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<sst xmlns="http://schemas.openxmlformats.org/spreadsheetml/2006/main" uniqueCount="3165">
  <si>
    <t>id</t>
  </si>
  <si>
    <t>created_at</t>
  </si>
  <si>
    <t>fav</t>
  </si>
  <si>
    <t>rt</t>
  </si>
  <si>
    <t>text</t>
  </si>
  <si>
    <t>media1</t>
  </si>
  <si>
    <t>media2</t>
  </si>
  <si>
    <t>media3</t>
  </si>
  <si>
    <t>media4</t>
  </si>
  <si>
    <t>compound</t>
  </si>
  <si>
    <t>neg</t>
  </si>
  <si>
    <t>neu</t>
  </si>
  <si>
    <t>pos</t>
  </si>
  <si>
    <t>So disappointed no more rosanne, those damn liberals get to say and do anything they want.</t>
  </si>
  <si>
    <t>@Markknight45 None of this has been fair, it’s infuriating 🤬😡</t>
  </si>
  <si>
    <t>RT @Markknight45: @kendylei What a fuckin bitch</t>
  </si>
  <si>
    <t>@sharonkingsmill @sreednak Kid deserved it!</t>
  </si>
  <si>
    <t>@DJamesHoward1 @sreednak My question is ? Who took this pic?</t>
  </si>
  <si>
    <t>@DJamesHoward1 @sreednak Hopefully not! Mom and dad better teach that kid not to hurt animals, especially if they’re going to leave it alone with one.</t>
  </si>
  <si>
    <t>Please fire this corrupt biotech!! We know that won’t happen, she did exactly what corrupt krewson and mcCaskill wanted her to do. They are running stl mo straight into the ground.</t>
  </si>
  <si>
    <t>RT @mikaOnPoint: "You cannot turn a Donkey into a Thoroughbred." - Jean-Michel Rene Souche #Trump2020 #MAGA https://t.co/0Esrw1d9dp</t>
  </si>
  <si>
    <t>@Dragonsenergy17 @GregNorberg @therealroseanne @WhoopiGoldberg Whoopi is such a piece of 💩.</t>
  </si>
  <si>
    <t>@Dragonsenergy17 @GregNorberg @therealroseanne @WhoopiGoldberg Infuriating!!</t>
  </si>
  <si>
    <t>RT @Dragonsenergy17: This is far worse then what @therealroseanne said. But hey @WhoopiGoldberg still has her show because the left thinks…</t>
  </si>
  <si>
    <t>RT @VistaJake: Roseanne-- I need no apology -- I recognized that you just alluded to Jarrett being ugly - big deal-- she is..  So is Sharpt…</t>
  </si>
  <si>
    <t>St. Louis prosecutor says she's resolved Greitens charges https://t.co/9kh3RQZk6A</t>
  </si>
  <si>
    <t>RT @Dj3uh8HnWcyMDU4: @realDonaldTrump Finally...  a President who recognizes we don't need to lose American lives in vain.  We are the stro…</t>
  </si>
  <si>
    <t>RT @Sglass10Glass: @realDonaldTrump Home of the free, because of the brave. God bless America!!</t>
  </si>
  <si>
    <t>RT @CherylTorner: @realDonaldTrump Thank you, Mr President!!  👍🇱🇷💞🙏</t>
  </si>
  <si>
    <t>RT @vintage48: @realDonaldTrump Love our great President , Donald Trump.</t>
  </si>
  <si>
    <t>RT @kpowellbanks: @realDonaldTrump  https://t.co/Wlk7J7N3X6</t>
  </si>
  <si>
    <t>RT @p2cat: @rosecorrie607 @ThoughtsOfTony @audiomagnate @realDonaldTrump Bless {hugs}</t>
  </si>
  <si>
    <t>@contestmichael @realDonaldTrump Sorry, that was for all the jerk liberals that keep saying they’re nasty stuff, I’m sick to death of having to see all their masty comments. I can’t work this block button fast enough.</t>
  </si>
  <si>
    <t>@contestmichael @realDonaldTrump Piece of shit</t>
  </si>
  <si>
    <t>RT @DrPhilla: @realDonaldTrump MAGA</t>
  </si>
  <si>
    <t>@CroanCharlie @realDonaldTrump U r some sick pieces of 💩.</t>
  </si>
  <si>
    <t>@Kokomothegreat @realDonaldTrump Talk about STUPID PPl</t>
  </si>
  <si>
    <t>RT @realDonaldTrump: #MemorialDay🇺🇸 https://t.co/Iohcuhi4dQ</t>
  </si>
  <si>
    <t>RT @Real_Gaz: Nancy Pelosi said that @realDonaldTrump letter to NK was a valentine
Since #POTUS cancelled the summit, NK has come back to…</t>
  </si>
  <si>
    <t>@yasss_honeyyy @CHIZMAGA I don’t do liberals</t>
  </si>
  <si>
    <t>RT @sreednak: #IFinallySnappedWhen the kid slapped me https://t.co/Glj9SOYol0</t>
  </si>
  <si>
    <t>RT @mamabridgee: #IFinallySnappedWhen my dress split open trying to show off my twerking skills. https://t.co/7lcY75C3FS</t>
  </si>
  <si>
    <t>RT @SomeWhatLivin: #IFinallySnappedWhen When I reunited with my family https://t.co/5jYMxrTpfh</t>
  </si>
  <si>
    <t>@navyvet55 @codeofvets What kind of bullshit is that ??😡😡🤬🤬</t>
  </si>
  <si>
    <t>RT @navyvet55: #ifinallysnappedwhen a family of illegals were given housing, food, and cash assistance in the same waiting room and within…</t>
  </si>
  <si>
    <t>RT @mimisooner: Candace fiancé not only has a ex-wife but a baby momma &amp;amp; he sees his little kids only once a month &amp;amp; hasn’t seen his older…</t>
  </si>
  <si>
    <t>RT @le_intanetz: These uber wealthy #RHOP women referring to other women as “tricks” ... whew chile, the ghetto.</t>
  </si>
  <si>
    <t>RT @devonfdickerson: #rhop @RobynDixonRHOP u need to tell @iammrssamuels that u have more money in ur bank acct then she will every earn in…</t>
  </si>
  <si>
    <t>@Tha_Watercooler Uh, I think they do have a little money now, since juan got the coaching job.</t>
  </si>
  <si>
    <t>@misslacy09 You mean the black dough boy?? Really??</t>
  </si>
  <si>
    <t>RT @chrissyKB: #RHOP Monique talking about lifting up other women and all you did was attack her bank account . Get over yourself..</t>
  </si>
  <si>
    <t>RT @spinandzen: I would never attack someone financially because any given day... you may be without!  Roosters have a way of coming home t…</t>
  </si>
  <si>
    <t>RT @UppityInsomniac: Is it me or is Candiace stuttering extra hard while she was giving that blended family speech? Blended families are on…</t>
  </si>
  <si>
    <t>RT @tonyawillis: @chandrapntx @iammrssamuels @RobynDixonRHOP And Monique likes to pretend to be nice she’s really not that nice. It is what…</t>
  </si>
  <si>
    <t>@PebbzPR I know, most dead beat dads blame it on the mother,  it’s a convenient excuse.</t>
  </si>
  <si>
    <t>Sherman’s definitely not going to get any better than gizelle.#rhop</t>
  </si>
  <si>
    <t>So what does princess Candace even do for a living? I guess mommy just keeps paying for her living?#rhop</t>
  </si>
  <si>
    <t>RT @kathy_attardo: @kendylei @AndreaNRuth @Gabbiedrice78K Kendy, I couldn't believe how out of control it got. I can't stand that! That's w…</t>
  </si>
  <si>
    <t>@kathy_attardo @AndreaNRuth @Gabbiedrice78K Those were my thoughts too krae, I was incensed how someone turned this whole topic into how racist she feels every white person is.  Yet the hatred was coming from a black girl.</t>
  </si>
  <si>
    <t>RT @kathy_attardo: @AndreaNRuth @kendylei @Gabbiedrice78K THIS IS SOOO RIDICULOUS!! THE POOR GIRL WAS PEACEFULLY TWEETING ABOUT SOMETHING A…</t>
  </si>
  <si>
    <t>Fake news, Liars  https://t.co/cFYBnsEKWv</t>
  </si>
  <si>
    <t>RT @The_Trump_Train: @realDonaldTrump BACK THE BLUE!</t>
  </si>
  <si>
    <t>RT @KMGGaryde: Good Morning Patriots!
#StopTheThrottling
#GiveMyFollowersBack
#mastersoftheuniverse
#enough
#censorship
@DiamondandSilk
@Do…</t>
  </si>
  <si>
    <t>RT @CortesSteve: It's totally legally and appropriate for any employer, from the NFL to a diner, to restrict an employee's on-the-job prote…</t>
  </si>
  <si>
    <t>RT @RealJack: It’s okay to be a black Conservative.
It’s okay to be white.
It’s okay to be a female Trump supporter.
It’s okay to be a g…</t>
  </si>
  <si>
    <t>RT @DAGrizzMeister: After their 8 year reign of terror in the Oval Office practically sending the citizens of our country sailing over a cl…</t>
  </si>
  <si>
    <t>@fredontwittur @JustaFan18 @AndreaNRuth There’s no comparison between Trump kids and chelsey Clinton. Trump kids-💯,  Chelsey Clinton-0. https://t.co/DgD4MB3AmW</t>
  </si>
  <si>
    <t>@AndreaNRuth @Gabbiedrice78K Crazy insane to be accused of being a racist no matter what we say. We’re being called racist just because of the color of our skin when we say or do anything.</t>
  </si>
  <si>
    <t>RT @Plonerock: @Gabbiedrice78K @AndreaNRuth This is 100% false on many levels.  It’s these blanket generalizations that are costing the dem…</t>
  </si>
  <si>
    <t>RT @allovergirl: @Gabbiedrice78K @AndreaNRuth Commendable how you conflated questioning Chelsea with racism.  That's really using all the l…</t>
  </si>
  <si>
    <t>RT @Bot_Vigilante: @Gabbiedrice78K @AndreaNRuth Apparently it's racist just not to BE white now. WTF?</t>
  </si>
  <si>
    <t>RT @AndreaNRuth: @Gabbiedrice78K Bye now, racist.</t>
  </si>
  <si>
    <t>@RandyN90468488 @Krush59 @realDonaldTrump Sounds pretty simple to me. Basically, don’t bite the hand that feeds you, and feeds you WELL!!!</t>
  </si>
  <si>
    <t>RT @RandyN90468488: @Krush59 @realDonaldTrump If someone is paying you to do a job in a specific way huge sums of money. You don't breathe…</t>
  </si>
  <si>
    <t>@Kimo_Gish @Krush59 @realDonaldTrump True, and most cops are trained to defend themselves and make it home alive everyday which everyone knows. If you’re going to be a criminal that’s already a dangerous risk, but if you’re resisting and becoming a threat. Game over. Very simple!!!</t>
  </si>
  <si>
    <t>RT @sadbluegal: @Krush59 @realDonaldTrump Once the players put on their mandatory uniforms,they are representatives of the company and must…</t>
  </si>
  <si>
    <t>RT @jdsimar: @Krush59 @realDonaldTrump The NFL is preventing them from protesting while they're supposed to be working.  The NFL is a priva…</t>
  </si>
  <si>
    <t>RT @PoppyMarkSr: @Krush59 @realDonaldTrump I don’t think you have the faintest clue what a Christian is my friend. I will tell you. Come in…</t>
  </si>
  <si>
    <t>@Krush59 @PoppyMarkSr @realDonaldTrump 🙄🙄🙄</t>
  </si>
  <si>
    <t>RT @PoppyMarkSr: @Krush59 @realDonaldTrump What you see is truth. Like it or lump it...truth you shall see!</t>
  </si>
  <si>
    <t>RT @PoppyMarkSr: @Krush59 @realDonaldTrump They have the right FP. They just have to suffer the consequences! Colin did and he is now toast…</t>
  </si>
  <si>
    <t>@paintinghorses @im_angination @kyle_ricci @AussieDrudgeRep @Krush59 @realDonaldTrump It’s thrown around alot , especially when ppl don’t get their way.  There’s just not that many corrupt police officers, there’s some but nothing like what the media tries to portray . It’s an excuse for ppl to get what they feel their entitled to.</t>
  </si>
  <si>
    <t>RT @AussieDrudgeRep: @Krush59 @realDonaldTrump He has already done something. He told them to stand for the anthem. So cancelling works mate</t>
  </si>
  <si>
    <t>RT @AussieDrudgeRep: @Krush59 @realDonaldTrump Actually I do. My subscription ends up with NFL and it goes to owners who pay the players.</t>
  </si>
  <si>
    <t>@Krush59 @AussieDrudgeRep @realDonaldTrump Uh yeah pukin, they wouldn’t get paid if nobody bought tickets 🤷🏻‍♀️.</t>
  </si>
  <si>
    <t>RT @AussieDrudgeRep: @Krush59 @realDonaldTrump I tune it to watch the whole show. I am not paying for protestors. I am the customer. I am p…</t>
  </si>
  <si>
    <t>@Krush59 @AussieDrudgeRep @realDonaldTrump I don’t give 2 💩’s where the whine bag NFL players protest, just as far away from me as possible. Their disgusting 😡😡.</t>
  </si>
  <si>
    <t>RT @AussieDrudgeRep: @Krush59 @realDonaldTrump They should do during their own time. We not paying to watch protest</t>
  </si>
  <si>
    <t>RT @realDonaldTrump: Chicago Police have every right to legally protest against the mayor and an administration that just won’t let them do…</t>
  </si>
  <si>
    <t>RT @brd999: Exactly right Mr. President if I were you, I'd send in the National Guard. Rahm seems to have a great deal of trouble doing his…</t>
  </si>
  <si>
    <t>RT @kj1958: @NJ_Optimist Until Dead Fish is gone as mayor, I refuse 2 go 2 Chicago. Rahm is as big a jackass as Soetoro.</t>
  </si>
  <si>
    <t>RT @Sievyal8r23: @Lrihendry I'm from Chicago and it's a shit show up here with Rahm as mayor. Thanks Obama!</t>
  </si>
  <si>
    <t>RT @LiamRushtonRUS: On July 22nd, 1946, Benjamin Emanuel, (Father of Chicago's mayor Rahm Emanuel) dressed up like a Palestinian and plante…</t>
  </si>
  <si>
    <t>RT @NYCChelseaGirl: Cheers to Carole for standing her ground against Bethenny trying to bully her at the dinner  #rhony https://t.co/Pg9P07…</t>
  </si>
  <si>
    <t>@badgaliris78 Awwww, I’m so proud of her the way she didn’t let bethanny Shake her. Bethanny can be a real asshole and a huge hypocrite.</t>
  </si>
  <si>
    <t>@tweeetfan @AllAboutDaTea Yep</t>
  </si>
  <si>
    <t>@AllCelebPolls @TamraBarney @melissagorga @CaroleRadziwill @Teresa_Giudice @Bravotv @Andy Melissa Gorga is tied with Teresa.</t>
  </si>
  <si>
    <t>RT @RealityTvNMe: Y’all saying Carole doesn’t have a backbone? Please Carole has been giving it out since she’s been on the show. She went…</t>
  </si>
  <si>
    <t>@Anthisla Bethanny didn’t like it either, the queen has fallen, humble yourself bethanny.!!</t>
  </si>
  <si>
    <t>RT @Anthisla: Some have given it a very good try (Heather, Dorinda, Jules.)
Some have failed (Ramona, LuAnn, Jill, Kelly, Sonja.)
But I t…</t>
  </si>
  <si>
    <t>RT @SpillrealityT: Bethenny has something negative to say about every single person in that room. Like damn if you hate them why did you ev…</t>
  </si>
  <si>
    <t>RT @maddy5lev: #rhony sonja gave her pets away what a bitch</t>
  </si>
  <si>
    <t>@MizzPittman @CaroleRadziwill @Bethenny Or call her out on her BS.</t>
  </si>
  <si>
    <t>RT @Wh0SaidDat: Bethenny just age shamed Carole. What a terrible thing to do to another woman, let alone someone who was your friend. #RHONY</t>
  </si>
  <si>
    <t>@doseofhousewife New Jersey for sure!!</t>
  </si>
  <si>
    <t>RT @Pinky81949548: Bethenny: carol isn't married, don't have kids or a career????  Bc she don't shlep dirty sock water doesnt mean no caree…</t>
  </si>
  <si>
    <t>RT @AlmostAdulting1: Bethenny went head to head with the most intelligent woman in this group and she is losing. #RHONY</t>
  </si>
  <si>
    <t>RT @TruthMaga: The Rat 🐀 Are Squealing Mr Comey  Is the Truth Coming Out  ......Maybe Your lies will be Exposed 🤨🤨 https://t.co/nUcsWHY8Va</t>
  </si>
  <si>
    <t>RT @dbongino: “If people in the media cannot decide whether they are in the business of reporting news or manufacturing propaganda, it is a…</t>
  </si>
  <si>
    <t>@Eric37789053 @ForwardValues @RobertoWinsSher Crazy that we’re still discussing this topic for poor, crazy delusional hillary and her over indulged, spoiled brat.</t>
  </si>
  <si>
    <t>RT @Eric37789053: @ForwardValues @RobertoWinsSher Trump won. Get over it or get outta the USA</t>
  </si>
  <si>
    <t>@AndreaNRuth Exactly</t>
  </si>
  <si>
    <t>RT @AndreaNRuth: Why are we apparently supposed to care what Chelsea Clinton thinks about anything? https://t.co/9xNxjxrZfD</t>
  </si>
  <si>
    <t>@DivineTurbine And for the wealthy life chelsey Clinton has been enjoying as well.</t>
  </si>
  <si>
    <t>RT @real_defender: "Chelsea Clinton" says Trump degrades what it means to be American. 
I’m pretty sure she must mean the 8 years of her f…</t>
  </si>
  <si>
    <t>Just be grateful chelsey, you’re not visiting mommy through bars, but never say never.</t>
  </si>
  <si>
    <t>@Michael76896180 @HillaryClinton @ChelseaClinton Remind me how this little twits entire lavish wedding was paid for again....</t>
  </si>
  <si>
    <t>RT @Michael76896180: Neither @HillaryClinton nor @ChelseaClinton have a clue what being an American means! They have no values, no morals,…</t>
  </si>
  <si>
    <t>@TwitterMoments Chelsey Clinton, you’re a disgrace to this country. 😡😡</t>
  </si>
  <si>
    <t>RT @CHIZMAGA: Chelsea Clinton has the balls to say Donald Trump degrades being an American?
Has she met her parents?</t>
  </si>
  <si>
    <t>RT @1Romans58: 😂😂😂😂 https://t.co/gSVxFlGngL</t>
  </si>
  <si>
    <t>RT @QuantumTransfer: #FreeTommyRobinson UK hands over the country to terrorist. And then put the guy in jail, who tries to do something abo…</t>
  </si>
  <si>
    <t>RT @RachelPGWeiss: #ThisIsInMemoryOf All my failed relationships. Living well is the best revenge. https://t.co/8PNYu66BQ6</t>
  </si>
  <si>
    <t>RT @Norasmith1000: @ResignNowKim @JW1057 @CaseyNolen @SheenaGreitens @EricGreitens @HereLiesMoon @ksdknews @EdBigCon @HennessySTL @Avenge_m…</t>
  </si>
  <si>
    <t>RT @ResignNowKim: @bbusa617 @kendylei Oprah is a billionaire- why doesn’t she share her wealth with the tent people living outside her head…</t>
  </si>
  <si>
    <t>https://t.co/oBiv9mdmnQ</t>
  </si>
  <si>
    <t>https://t.co/eOrduj8TbY</t>
  </si>
  <si>
    <t>RT @LivPsy: Stop paying attention to the people who aren't trying to make an effort to be in your life, and start paying attention to the o…</t>
  </si>
  <si>
    <t>RT @porfie_moreno: @IsraelUSAforevr @gr8tjude  https://t.co/WclCmTuRyI</t>
  </si>
  <si>
    <t>RT @bobcatmusic: @IsraelUSAforevr Cancel Netflix I did</t>
  </si>
  <si>
    <t>RT @DebiLevine3: @IsraelUSAforevr @warthoggs83 i dont think they will be watching them either not from GITMO</t>
  </si>
  <si>
    <t>RT @KathyPate20: @IsraelUSAforevr N E V E R - PLUS RT</t>
  </si>
  <si>
    <t>RT @OpposingLogic: @IsraelUSAforevr Heck … I want even be watching Netflix, because I will not help fund more Obama propaganda and efforts…</t>
  </si>
  <si>
    <t>RT @mastamune: @IsraelUSAforevr Cancelled my netflix. #BoycottNetflix</t>
  </si>
  <si>
    <t>@nicklaroberts @IsraelUSAforevr Stick to your guns snd let them know exactly why https://t.co/s8f8EAErb8</t>
  </si>
  <si>
    <t>RT @nicklaroberts: @IsraelUSAforevr Netflix already wants me back..
I said No Thank You.. https://t.co/HcYxEdRsWA</t>
  </si>
  <si>
    <t>RT @IsraelUSAforevr: Retweet if you will NOT be watching Barack and Michelle Obama’s Netflix series.</t>
  </si>
  <si>
    <t>RT @fanamuigh: @mean_caveman @Conservative_VW This is great to hear. The left doesn't give a damn about it though. They want the opposite,…</t>
  </si>
  <si>
    <t>RT @KayaJones: Have a blessed Memorial Day weekend and as you celebrate with family and friends remember why and what the holiday stands fo…</t>
  </si>
  <si>
    <t>RT @USANEWS007: MORE FAKE NEWS FROM PITIFUL Reuters ..... Liberal media outlets continue to soil themselves over the fact that President Tr…</t>
  </si>
  <si>
    <t>RT @bbusa617: James Woods Posts Video Taken Outside Oprah's HQ, Shows Just How Wretched CA Has Become https://t.co/yyfcKoRBsb
JAMES WOODS…</t>
  </si>
  <si>
    <t>RT @Maggieb1B: .”I didn’t fight because I hated what was in front of me, I fought because I loved what I left behind!”-US Veteran 🇺🇸🙏🏻♥️🙏🏻…</t>
  </si>
  <si>
    <t>RT @TeedIsMe: 🇺🇸🇺🇸Shout out to these MAGA accounts. Please give them a follow. Let's keep MAGA going strong and unite in our fight for our…</t>
  </si>
  <si>
    <t>RT @TrumpsDC: Giuliani is right when he says it would be a 'Trap' for the president to sit down with Mueller and his corrupt cronies.
They…</t>
  </si>
  <si>
    <t>@YoungDems4Trump @murphy_marita Amen!!!</t>
  </si>
  <si>
    <t>RT @YoungDems4Trump: ”We dodged a bullet when Clinton lost. More than a bullet. We avoid war with Russia, and we avoided the creation of an…</t>
  </si>
  <si>
    <t>RT @buzzman888: 🇺🇸🇺🇸 @JudgeJeanine Judge Jeanine Pirro: “We Come Face to Face With Hard Evidence That The #DeepState Planned to Take Down O…</t>
  </si>
  <si>
    <t>RT @gr8tjude: Remember what the Dems want ...
Take away tax cuts-our guns-they are obstructionists and trying to impeach the best president…</t>
  </si>
  <si>
    <t>@TrumpTrainMRA4 @ChelseaClinton Not only is chelsey Clinton a disgrace, but she’s looking pretty hideous 😬😬.</t>
  </si>
  <si>
    <t>RT @TrumpTrainMRA4: #MemorialDayWeekend  
@ChelseaClinton Wants to Continue the Legacy 
Of Her 👹EVIL👹 Parents &amp;amp; the Islamic Fundamentalist…</t>
  </si>
  <si>
    <t>RT @RNcat50: Still Think There’s Hope for London?? 😳📵⚖️
#FreeSpeech
#FreeTommyRobinson https://t.co/lvBYpQXtIt</t>
  </si>
  <si>
    <t>RT @ScottPresler: MS-13 Murder: An illegal alien, who entered America as an unaccompanied alien child, reportedly killed a man &amp;amp; burned his…</t>
  </si>
  <si>
    <t>RT @Johnrfox3R: @FoxNews @DiamondandSilk This is why we stand. https://t.co/hRac897ogi</t>
  </si>
  <si>
    <t>RT @shar_abbott: @jojoh888 @ChelseaClinton A Clinton Saying bad things about our president only makes him stronger</t>
  </si>
  <si>
    <t>RT @LATiffani1: @jojoh888 @ChelseaClinton Boom 💥 
#GoAwayChelseaClinton</t>
  </si>
  <si>
    <t>RT @jojoh888: @rial_rocks @stella1897 @ChelseaClinton Thank you for your service 🇺🇸</t>
  </si>
  <si>
    <t>RT @rial_rocks: @jojoh888 @stella1897 @ChelseaClinton Chelsea's timing really sucks ... I mean seriously she just insulted all of us Vetera…</t>
  </si>
  <si>
    <t>RT @greekzebra: @jojoh888 @ChelseaClinton The Bitter Heart Eats Its Owner. Bantu Proverb</t>
  </si>
  <si>
    <t>RT @WandererMellow: @jojoh888 @RuthieRedSox @ChelseaClinton  https://t.co/H0x0LQOg51</t>
  </si>
  <si>
    <t>RT @jojoh888: Keep speaking up Chelsea, because you guys are doing us a huge favor campaigning for us. 
#VoteRED2018 
#VoteRepublican 
#Vo…</t>
  </si>
  <si>
    <t>RT @jojoh888: No one told me to vote for him, no one forced me to either. I'll vote for him again #Trump2020 and I'm a minority. I've alway…</t>
  </si>
  <si>
    <t>RT @jojoh888: If #HillaryClinton truly valued herself as much as she says after 1.5 yrs she would've accepted her loss gracefully, rather t…</t>
  </si>
  <si>
    <t>RT @jojoh888: So .@ChelseaClinton care to comment on how much shame your mom brings to America still to this day when she won't go away gra…</t>
  </si>
  <si>
    <t>https://t.co/CrdiM2EZUh</t>
  </si>
  <si>
    <t>RT @KurtSchlichter: First, you have to believe the media. I don't. Second of all, you have to put illegal aliens in a special class of crim…</t>
  </si>
  <si>
    <t>RT @feingold32: If YOUR Congressman or Senator is not screaming at the top of their lungs, about a SPY put into OUR Presidential campaign,…</t>
  </si>
  <si>
    <t>RT @ICEgov: ICE has created a smartphone app – the first of its kind in U.S. federal law enforcement – designed to seek the public's help w…</t>
  </si>
  <si>
    <t>RT @TammyGornick: God Bless America. 🇺🇸🇺🇸🇺🇸
Land of the free and home of the brave. 
#MemorialDayWeekend 
#AMERICA https://t.co/mlpmGQhB0S</t>
  </si>
  <si>
    <t>RT @Pink_About_it: Hillary says we are now living through a "crisis in our democracy"---
........The real crisis is Hillary, who spent 16…</t>
  </si>
  <si>
    <t>RT @magathemaga1: @suchhate @RightSideUp313 @tkinder @Markknight45 @BigJShoota @HDowning113 @thisisjames @729ret @ohsynesthesia @trumpchess…</t>
  </si>
  <si>
    <t>@Trucker_4_trump @TallahForTrump There are a few  bad apples in every profession and all walks of life. But it’s not as common as liberals say.</t>
  </si>
  <si>
    <t>RT @Trucker_4_trump: @TallahForTrump Rahm Emanuel is the MAYOR and should be FIRED for fighting the police trying to protect the citizens o…</t>
  </si>
  <si>
    <t>RT @bc7164: @DonnaValente5 @realDonaldTrump but Obama is from Chicago.  And Rahm EManuel is Mayor...that's why protesting in Chicago is a g…</t>
  </si>
  <si>
    <t>@DobsyK @realDonaldTrump St. Louis is well on it’s way to being as corrupt as Chicago mayor and administration.</t>
  </si>
  <si>
    <t>RT @DobsyK: @realDonaldTrump Help rid Chicago of a war zone lifestyle. Mayor Rahm has kept minorities in harm's way while his machine makes…</t>
  </si>
  <si>
    <t>RT @BillRuthhart: Chicago Fraternal Order of Police members are protesting Mayor Rahm Emanuel in the lobby of City Hall. “Rahm must go! Bac…</t>
  </si>
  <si>
    <t>RT @darhar981: @PriscillasView This is so disturbing...
#BackTheBlue
#BlueLivesMatter</t>
  </si>
  <si>
    <t>@SpiritualAsprin @PriscillasView @mary122514 One can only hope.</t>
  </si>
  <si>
    <t>@PriscillasView what a piece of 💩. I wish so bad that if she ever needs the police they could spit in her face.  But fortunately for her they won’t because they have to take 💩 like that all the time, but still do their job.</t>
  </si>
  <si>
    <t>RT @PriscillasView: During a “Back The Blue” protest in Chicago at city hall, a woman was caught on camera spitting on a police officer who…</t>
  </si>
  <si>
    <t>RT @p3driver: @PriscillasView Think authorities are looking for her. Hope they find her and take her to class:  Manners of an adult 101</t>
  </si>
  <si>
    <t>RT @Holly210: @PriscillasView @GorkaMonica She needs to be charged with assault.</t>
  </si>
  <si>
    <t>@gr8tjude @100PercFEDUP Oh for Gods sake Hillary, aren’t you tired of making such an ass out of yourself?  Don’t you have an ounce of dignity? 🙄🙄</t>
  </si>
  <si>
    <t>@meesh_626 @adarney820 @KateCasey It’s katherines call all the way. Trashley is trying to make this all about her. She’s wrong on so many levels .</t>
  </si>
  <si>
    <t>@WithoutATraci @KateCasey She was basically threatening to use her kids against her.  Even when you’ve got the ring, there are boundaries that step parents need to respect.</t>
  </si>
  <si>
    <t>@wisearse Ashley is quite the opposite of our FLOTUS. Melania is smart, full of grace and class and compassion.</t>
  </si>
  <si>
    <t>RT @DannaBaird: ....or don’t like avocado</t>
  </si>
  <si>
    <t>RT @DannaBaird: I don’t trust anyone who doesn’t like horses.🐎 #Southerncharm</t>
  </si>
  <si>
    <t>@HatterReality I hope she appreciates you, most ppl that can find something nice about her are usually her hired help, or those intimidated by her. She’s so full of hate, bitterness, jealousy and revenge. There’s a reason she’s old, alone and bored.</t>
  </si>
  <si>
    <t>I wish the best for cameron and her family. And congrats on the new baby, but not trying to be bitchy, just my opinion. But this new group does fine without her, she just really has no story line.#SouthernCharm</t>
  </si>
  <si>
    <t>@lillymckim @slavanj @TwitterMoments @NFL Exactly, the left and right are always going to see things differently.</t>
  </si>
  <si>
    <t>RT @lillymckim: @kendylei @slavanj @TwitterMoments They’ve forgotten they’re employees of the @NFL and the @NFL owners the employers have f…</t>
  </si>
  <si>
    <t>Loving this season so far. But I’ve seen way too much of pat, hasn’t she had her 5 minutes yet??she brings nothing to the show except for hateful, nasty and fake.#SouthernCharm</t>
  </si>
  <si>
    <t>RT @TimRunsHisMouth: Dear stupid woman that hates Tomi Lahren so much that you threw a drink at her,
If you want her to go away, you remai…</t>
  </si>
  <si>
    <t>@marklevinshow The left always resorts to violence, they can’t help themselves.</t>
  </si>
  <si>
    <t>RT @marklevinshow: The violent, intolerable left shows its ugly face yet again https://t.co/QFua4afvkH</t>
  </si>
  <si>
    <t>RT @TomiLahren: I appreciate the words of support- even from those who normally dislike me. Free speech is a gift- no need to resort to tha…</t>
  </si>
  <si>
    <t>RT @realDonaldTrump: Everybody is with Tomi Lahren, a truly outstanding and respected young woman! @foxandfriends</t>
  </si>
  <si>
    <t>@amybrown1221 @realDonaldTrump He certainly won’t be indicted, or impeached, what has he done that a court of law could legally do either one?</t>
  </si>
  <si>
    <t>RT @Tess4579: If President Trump, as a PUBLIC OFFICIAL, is violating the 1st amendment by blocking anyone on Twitter, as the New York Feder…</t>
  </si>
  <si>
    <t>RT @1Romans58: They did nothing wrong you imbecile, so not sure what you mean by Justice.  If you mean record membership and donations then…</t>
  </si>
  <si>
    <t>RT @Pixinamerica1: And that's EXACTLY what we the people did when we elected Trump as OUR President
We shunned liars like you, Hillary &amp;amp; B…</t>
  </si>
  <si>
    <t>RT @vachilly64: Oops! Not exactly the look he was trying to maintain. He forgot to wash his face after the meeting. https://t.co/1vake1tLgo</t>
  </si>
  <si>
    <t>RT @buzzman888: 🇺🇸🇺🇸 Alexander The Great ~ " I Am Not Afraid of An Army of #Lions Led By a Sheep; I am Afraid of An Army of Sheep Led By a…</t>
  </si>
  <si>
    <t>@amybrown1221 @realDonaldTrump Not quite sure how one becomes indicated, but Trump will not getting impeached. Your counting in vain.</t>
  </si>
  <si>
    <t>RT @MasonBilly87: SHOCKING: Hillary and Bill Clinton Had Slaves https://t.co/H1NTfJvsu0</t>
  </si>
  <si>
    <t>RT @realDonaldTrump: It was my honor to welcome @NASCAR Cup Series Champion @MartinTruex_Jr and his team to the @WhiteHouse yesterday! http…</t>
  </si>
  <si>
    <t>@MAGAisRacist @LadyAce127 @TwitterMoments We’re really kind of done here.</t>
  </si>
  <si>
    <t>RT @NeedMeBalls: @RHousewives101 He’s a wanker! Asshole needs a vasectomy and a job!</t>
  </si>
  <si>
    <t>RT @RHousewives101: I don’t feel bad for Kevin AT all, 20k is already a lot of money. She shouldn’t have to give him 40k because he struggl…</t>
  </si>
  <si>
    <t>@virginianpilot @IDAddictUSA Why not, that’s what Twitter advises us to do.</t>
  </si>
  <si>
    <t>@MAGAisRacist @LadyAce127 @TwitterMoments You have a right to your opinion, My opinion, Trump is the greatest president of all times.</t>
  </si>
  <si>
    <t>@slavanj @TwitterMoments Not going to waste my time.</t>
  </si>
  <si>
    <t>RT @Lrihendry: There is a war on Law Enforcement in America! 26th Officer murdered in the line of duty this year alone. 
What can be done…</t>
  </si>
  <si>
    <t>@MAGAisRacist @LadyAce127 @TwitterMoments Our country needs all the support it can get right now.</t>
  </si>
  <si>
    <t>RT @sylvianasteele: @TwitterMoments @u2bheavenbound Yes!! Proud American ❤️🇺🇸</t>
  </si>
  <si>
    <t>@YungTruxx @TwitterMoments You have no right judging anybody.</t>
  </si>
  <si>
    <t>@YungTruxx @TwitterMoments Then what?</t>
  </si>
  <si>
    <t>@YungTruxx @TwitterMoments True, but I don’t care.</t>
  </si>
  <si>
    <t>RT @freedom_moates: Thank you for proving my point. Liberals think it’s okay to assault someone they disagree with. https://t.co/4knJY6UXLO</t>
  </si>
  <si>
    <t>RT @SandyMSantiago: @TwitterMoments About time! Wise up privileged players!</t>
  </si>
  <si>
    <t>@YungTruxx @TwitterMoments No, but I’ll be evil eyeing them.</t>
  </si>
  <si>
    <t>RT @Ph1llyTom: @TwitterMoments People sitting here saying they lost a fan lol. You clowns probably dont even know the Nba, another league m…</t>
  </si>
  <si>
    <t>RT @Relaxin60: @TwitterMoments Why don’t those who say they aren’t going to watch the NFL anymore because they don’t like the flag, go one…</t>
  </si>
  <si>
    <t>RT @WomenWhoThink: @TwitterMoments #TakeAKnee or hide in the lockerroom.  So sad to watch these grown men whine like toddlers who think the…</t>
  </si>
  <si>
    <t>@slavanj @TwitterMoments Do you get to go to work and protest things you don’t like?</t>
  </si>
  <si>
    <t>@royannaf @TwitterMoments Let me guess, you’re not a Trump fan 🙄🙄🙄</t>
  </si>
  <si>
    <t>@OneWokeWoman @TwitterMoments We stand united!!</t>
  </si>
  <si>
    <t>RT @OneWokeWoman: @TwitterMoments #BoycottNFL #TakeAKnee https://t.co/3Z0AOcnCbi</t>
  </si>
  <si>
    <t>@MAGAisRacist @LadyAce127 @TwitterMoments Whatever, get the hell out of our country if it’s so bad.</t>
  </si>
  <si>
    <t>RT @LadyAce127: @TwitterMoments America WINS #StandForOurAnthem #StandForOurFlag</t>
  </si>
  <si>
    <t>@brandyplanotx @TwitterMoments It seems like half of this country has went crazy, and they’re all just ok with this behavior. The ridiculous comments I’m reading here are just blowing my mind.</t>
  </si>
  <si>
    <t>RT @IsraelUSAforevr: RETWEET IF YOU AGREE ⤵
The worst president in history of the US! https://t.co/UghChaPFJz</t>
  </si>
  <si>
    <t>Just in: NFL owners decide on policy for players kneeling during National Anthem; open app for the latest
(Via KMOV News) https://t.co/RUUMmsxq7y</t>
  </si>
  <si>
    <t>RT @starcrosswolf: This photo says it all &amp;amp; what veterans know, only a rare few care. This HERO has to live this horror. Him &amp;amp; all veterans…</t>
  </si>
  <si>
    <t>@RealTrumpLady @Real_PeachyKeen Antifa are nothing but animals in the wild.</t>
  </si>
  <si>
    <t>RT @RealTrumpLady: Here’s independent CITIZEN journalist Faith Goldy being attacked by Antifa who don’t want their criminal behavior filmed…</t>
  </si>
  <si>
    <t>RT @SwensonBrigette: Liberals work under many "assumed falsehoods"
1) They are smarter than "Simple Masses"
2) (Only) They know what is goo…</t>
  </si>
  <si>
    <t>RT @mflynnJR: You’re all going down. You know who you are. Mark my word....</t>
  </si>
  <si>
    <t>RT @jcpenni7maga: 🚨🚨🚨ALERT🚨🚨🚨
 BATTLESHIP TRAIN
In CHEYENNE, Wyoming Was Recently Spotted
Oh What A  Beautiful Sight!!
#PeaceThroughStre…</t>
  </si>
  <si>
    <t>RT @RealCandaceO: We really are witnessing the end of the Democratic Party. Their public admittance that they will move to impeach a presid…</t>
  </si>
  <si>
    <t>RT @realDonaldTrump: Big legislation will be signed by me shortly. After many years, RIGHT TO TRY and big changes to DODD FRANK.</t>
  </si>
  <si>
    <t>RT @GrizzleMeister: When Barry Obama stated all white people R racist because it’s in R DNA I don’t recall us taking to streets in vagina c…</t>
  </si>
  <si>
    <t>RT @RichardTBurnett: As a Texan, I’m embarrassed that we have a complete jack ass in Al Green as a Representative!
This racist had better…</t>
  </si>
  <si>
    <t>RT @RealCandaceO: BREAKING: This @HuffPost writer has just informed me that  “Hillary won”.
Imagine having no idea that @realDonaldTrump’s…</t>
  </si>
  <si>
    <t>RT @realDonaldTrump: WITCH HUNT!</t>
  </si>
  <si>
    <t>@GrizzleMeister You’re right they’re trash. It’s disgusting the way these ppl or anyone else think it’s ok to publicly bash the POTUS. There not so forgiving of this in other countries.</t>
  </si>
  <si>
    <t>RT @DragonEnergized: @GrizzleMeister @1Romans58 When will these fools learn? In their haze of booze and drugs, they must’ve missed the #MAG…</t>
  </si>
  <si>
    <t>RT @GrizzleMeister: Another worthless washed up entertainer attempting 2score cheap fan points in an attempt 2remain relevant by trashing R…</t>
  </si>
  <si>
    <t>RT @dave1234_david: They need to be held accountable. I would flag all of their passports and begin criminal indictments. A Military Court…</t>
  </si>
  <si>
    <t>@DaejaVeux Yeah, you’re right, no judgment,  to each his own is my motto.</t>
  </si>
  <si>
    <t>@MrsPinkychichi Too funny, you know what’s even funnier? After that, I did a marathon of this season on my bravo app looking for this one night stand. https://t.co/bsYOjxHveV</t>
  </si>
  <si>
    <t>@OVDub Touche</t>
  </si>
  <si>
    <t>Omg who is luann kidding, she can’t carry a tune in a bucket.#RHONY</t>
  </si>
  <si>
    <t>Tinsley’s phone says mommy’s cell, isn’t she like 40? And she still calls her mom mommmy?🙄🙄#RHONY</t>
  </si>
  <si>
    <t>Bethanny, you were such a bitch to dorinda.#RHONY</t>
  </si>
  <si>
    <t>Shut up bethanny, you’re the crazy bitch.#RHONY</t>
  </si>
  <si>
    <t>Dorinda is tanked at this dinner,  it’s hilarious 😆 #RHONY</t>
  </si>
  <si>
    <t>Scott, I hope you’re ready for tinsley, she is HIGH maintenance!!#RHONY</t>
  </si>
  <si>
    <t>I’ve never realized how neurotic and loud bethanny is.#RHONY</t>
  </si>
  <si>
    <t>Ok, Tinsley is used to being a kept woman. Who’s debating that?#RHONY</t>
  </si>
  <si>
    <t>@BravoTherapy @Bethenny I’ve never heard all this bitching ppl are saying.</t>
  </si>
  <si>
    <t>RT @jaimesevyn: Is Bethenny serious right now abt Tinsley never thanking Sonja? That’s all she’s done. Hmmm, jealous of her friendship w Ca…</t>
  </si>
  <si>
    <t>RT @BobbiG58: Wait a New York MINUTE! Sonja treated Tinsley like GARBAGE and talked NON stop about her! 😕 #RHONY</t>
  </si>
  <si>
    <t>Forget about being rude bethanny and luann, it’s uncomfortable to sit across from someone staring daggers at you.#RHONY</t>
  </si>
  <si>
    <t>I don’t blame ramona for moving seats, that would be so uncomfortable.#RHONY</t>
  </si>
  <si>
    <t>@MegSull24 I think maybe I haven’t seen it before. I’ve always been such a bethanny fan because of her business savy and no nonsense.</t>
  </si>
  <si>
    <t>Sonja seems like such an entitled mooch.#RHONY</t>
  </si>
  <si>
    <t>LuAnn is attractive sometimes.#RHONY</t>
  </si>
  <si>
    <t>RT @caroline3167: You know, we all watched Sonja treat Tinsley like she was a petulant child and made her feel like an ingrate. When Tinsle…</t>
  </si>
  <si>
    <t>RT @AdMen501: Carole has won 3 Emmys &amp;amp; a Peabody. If she doesn't want to do diddly, she doesn't have to.  #RHONY</t>
  </si>
  <si>
    <t>RT @LOVNADVICE: Everybody can’t afford to take a week off work when they’re self employed. Not fair of Betheny to malign Adam because he ca…</t>
  </si>
  <si>
    <t>Sonja is so full of 💩, as just like the j in her name.#RHONY</t>
  </si>
  <si>
    <t>RT @WhatCrappens: NEW EPISODE!!
#710 RHOP: Scents and Sensibility
Listen here:  https://t.co/xuLDFFE08o
#rhop #wwcrappens #podcast #brav…</t>
  </si>
  <si>
    <t>RT @brittany_strand: Monique is ruining her image with holding an umbrella to Robyn’s throat lol #RHOP</t>
  </si>
  <si>
    <t>@MalikThaElite It’s because Monique is denying and deflecting instead of taking responsibility for her actions and learning from it, so there won’t be a horrible tragedy in her future.</t>
  </si>
  <si>
    <t>@cadenshmaden 😂😂😂😂</t>
  </si>
  <si>
    <t>RT @cadenshmaden: Monique from #RHOP when she woke up in a ditch after drinking and driving and decided to go back to the bar https://t.co/…</t>
  </si>
  <si>
    <t>RT @MrChrisC84: If you consume a whole bottle of wine by yourself, and you do not recall doing it, you may have a problem...
But, whatever…</t>
  </si>
  <si>
    <t>RT @lild829: Alright @iammrssamuels u had 4 martinis &amp;amp; went to drive home, fell asleep behind the wheel &amp;amp; ended up in a ditch. Not saying u…</t>
  </si>
  <si>
    <t>@lild829 @candeegal TRUTH!!</t>
  </si>
  <si>
    <t>RT @lild829: $100k for a wedding? your momma pays half your mortgage and gave the $100k towards your wedding. A wedding is a day and a marr…</t>
  </si>
  <si>
    <t>@bravoholclique I think till this irs thing gets cleared up. To keep karen out of it. And hang on to anything that’s in her name.</t>
  </si>
  <si>
    <t>RT @MrsPinkychichi: How is Monique going to force the issue at her party, then complain about issues at her parties?  And was that true tha…</t>
  </si>
  <si>
    <t>@MrsPinkychichi All of us women have strong emotions at one time or another. It’s part of being a woman.💪🏻</t>
  </si>
  <si>
    <t>@MrsPinkychichi Dorinda had a one night 🤭,  oh oh , I gotta catch up. What episode?</t>
  </si>
  <si>
    <t>Does anyone know the deal with sherman? He would be crazy to walk out on a woman like gizelle. She has got it goin on!!!#rhop</t>
  </si>
  <si>
    <t>RT @lild829: Yesss for the Green Eyed Bandits @RobynDixonRHOP and @GizelleBryant I LOVE YOU !! #RHOP #GreenEyeBandits</t>
  </si>
  <si>
    <t>@tonyawillis @NayRizzy I totally get why anyone would be upset with how irresponsible Monique  was, drinking &amp;amp; driving then trying to deflect and deny. It’s a matter of life and death, not just Monique’s either.</t>
  </si>
  <si>
    <t>RT @tonyawillis: @NayRizzy SHE said she had drinks and was sleepy/tired.  That’s IRRESPONSIBLE and WRONG. Even if she was only sleepy she’s…</t>
  </si>
  <si>
    <t>@SugaDD73 It makes sense that they teamed up.</t>
  </si>
  <si>
    <t>RT @housewivesofdmv: Biracial queen! #RHOP https://t.co/Pg9h3uqbKg</t>
  </si>
  <si>
    <t>@JonnyDeLaSanta I never noticed, I gotta pay attention.</t>
  </si>
  <si>
    <t>@bravoholclique What’s frosty mean?</t>
  </si>
  <si>
    <t>@bravoholclique Robyn is an athlete, I wouldn’t want her getting ahold of me, she’ll tear that ass up.</t>
  </si>
  <si>
    <t>@kompafan She looks tanked.</t>
  </si>
  <si>
    <t>@greatadvisor @iammrssamuels We see things differently</t>
  </si>
  <si>
    <t>@greatadvisor @iammrssamuels We’ll have to agree to disagree</t>
  </si>
  <si>
    <t>@BJKing54 @candeegal Yeah, especially one that pays all the bills, a fact that Candace seems to conveniently forgets.</t>
  </si>
  <si>
    <t>@OVDub @candeegal Ovdub, was your mother paying for everything though? It does make a difference. Mom probably wouldn’t give her opinion so freely if she wasn’t paying for most of it.</t>
  </si>
  <si>
    <t>@candeegal Well, if you were the one putting out the money for everything instead of her , maybe she would respect your opinion more.</t>
  </si>
  <si>
    <t>RT @reneegraziano: Love my #RHOP but if they get insulted about a comment like #shadybitchmoment NOT UR A BITCH they wouldnt last 1.2 secon…</t>
  </si>
  <si>
    <t>@WaltWhite_man @Agathaachrisite Yeah, a bit entitled too. 🤷🏻‍♀️</t>
  </si>
  <si>
    <t>@WaltWhite_man @Agathaachrisite Who are you saying this to?</t>
  </si>
  <si>
    <t>@candeegal I’m sure you are older than you look, but I would try to start paying my own bills if i wanted to be considered a grown up.</t>
  </si>
  <si>
    <t>Gizelle and robyn are my faves.#rhop</t>
  </si>
  <si>
    <t>RT @GizelleBryant: Ashley is the best...Kurn was savagely  hilarious #RHOP</t>
  </si>
  <si>
    <t>RT @KarenHugersMole: Ashley's Mom is DONE talking about Michael?? And doesn't see why a grown man not even related to her resents supportin…</t>
  </si>
  <si>
    <t>RT @NineDaves: More happened in this week’s episode of #RHOP than happened in the entire last season of #RHOBH.</t>
  </si>
  <si>
    <t>@HWCulture Katie wasn’t as annoying but she is prettier.</t>
  </si>
  <si>
    <t>RT @HWCulture: Imagine if they brought back Katie Rost, with Monique Candiace and Ashley still on the cast. I would LIVEEEEE #RHOP https://…</t>
  </si>
  <si>
    <t>@lionessvibes Oh, sorry,. Thought you meant Candace’ s mom.</t>
  </si>
  <si>
    <t>RT @JediBeagle1: Here’s what we know:
Monique had four drinks
Monique crashed her car shortly after
Monique is mad because people put two a…</t>
  </si>
  <si>
    <t>@MikeBlaze617 @iammrssamuels Really?? Have you looked in the mirror lately with that scraggly dirty ass ugly mustache.... CREEPY</t>
  </si>
  <si>
    <t>@lindsayRaeg @Lowkey_TELLEM But robyn did say it in her face like Monique dared her , Monique did nothing except keep saying, say it to my face.</t>
  </si>
  <si>
    <t>RT @Agathaachrisite: #RHOP Ashley's mother can't pay rent but she wants to travel https://t.co/hbIGqO9tGE</t>
  </si>
  <si>
    <t>@SalvaCambranes @iammrssamuels She not very pretty inside ☹️</t>
  </si>
  <si>
    <t>@RealityTvNMe @SalvaCambranes @iammrssamuels Too bad it’s not on the inside ☹️</t>
  </si>
  <si>
    <t>RT @Lissa62817: @iammrssamuels Honey do you not have your resources now because of your retired NFL playing man ? Was he not making all the…</t>
  </si>
  <si>
    <t>RT @Layla46998134: @iammrssamuels You are no better than Ashley so you need to  slide off your high horse,  your true colours are showing a…</t>
  </si>
  <si>
    <t>RT @mspettyqueen: @iammrssamuels Do I think you have a problem, maybe not, I don’t know you personally however, looking back you have to ad…</t>
  </si>
  <si>
    <t>RT @realhousebitch: @iammrssamuels Stop drinking and driving girl</t>
  </si>
  <si>
    <t>RT @joeyjune1123: @_AshleyDarby @iammrssamuels Forget all these negative posts! If ahe had one, two or four drinks got behind a wheel and "…</t>
  </si>
  <si>
    <t>@SwampGramma @_AshleyDarby @iammrssamuels And Monique</t>
  </si>
  <si>
    <t>RT @VanessaColbert8: @iammrssamuels When you’re drunk you’re drunk 😵 if the police had come you would have been arrested for drunk driving…</t>
  </si>
  <si>
    <t>RT @KarensWigLine: @iammrssamuels No offense but neither do I. Monique looked wasted smoking that cigar in the hot tub.</t>
  </si>
  <si>
    <t>@RHOPettyAngry @iammrssamuels What’s that?</t>
  </si>
  <si>
    <t>RT @ReneeStrayer: @iammrssamuels Quit being defensive just oowwwwwn it already</t>
  </si>
  <si>
    <t>RT @UppityInsomniac: Karen confided in Charisee in a weak moment and Charisse took the first opportunity she had to tell everyone. With fri…</t>
  </si>
  <si>
    <t>RT @burtonkim76133: Dam! Ashleys mom is fighting hard for that money, horrible guilt trip! Why can't she understand its Micheals money! #RH…</t>
  </si>
  <si>
    <t>RT @GizelleBryant: Robyn for the WIN! Everyday! #RHOP</t>
  </si>
  <si>
    <t>@lionessvibes But she’s paying the bills, Candace can shut her down anytime, she doesn’t want to stop the flow of money. Same old story. Kid doesn’t like to be told what to do, wants to make their own decisions but doesn’t want to pay for it.</t>
  </si>
  <si>
    <t>@ReinaApril17 You sound a whole more responsibility and mature than Candace.</t>
  </si>
  <si>
    <t>RT @ReinaApril17: I would never spend $120k on a wedding. Not ever. Not even 20k... #RHOP</t>
  </si>
  <si>
    <t>RT @tonyawillis: @Ocean20182 Buzzed driving IS drunk driving...stop defending foolishness.</t>
  </si>
  <si>
    <t>RT @tonyawillis: @Midnite1985 LOL...Nah, but if you're stupid enough to STATE THAT YOU DRANK AND DROVE then "Fell Asleep" that's enough for…</t>
  </si>
  <si>
    <t>@MDLADY13 @tonyawillis I kind of hope they and local authorities did, because she’s not taking any responsibility at all.</t>
  </si>
  <si>
    <t>@NubianLuv6 @tonyawillis Thank you, Monique is dodging all around this and blaming everyone else and just refusing to admit this.</t>
  </si>
  <si>
    <t>RT @NubianLuv6: @tonyawillis I think a lot of people want to believe that crashing your car because you’re drunk or tipsy means that you’re…</t>
  </si>
  <si>
    <t>RT @LrJava: I don’t care what Monique’s “excuse” is you don’t drink and drive!! #RHOP</t>
  </si>
  <si>
    <t>@iammrssamuels I never stalked your page, your not that important. I just replied to other comments on the #rhop page, I don’t believe that’s YOUR page. Wow, get over yourself already 🙄🙄.</t>
  </si>
  <si>
    <t>@iammrssamuels I can definitely see why gizzelle and robyn have had such a problem with you from day one.</t>
  </si>
  <si>
    <t>@Cheers_from_Lu It’s not her money, she’s paying for nothing, she’s been pampered, she’s got nothing to lose.</t>
  </si>
  <si>
    <t>RT @Cheers_from_Lu: Over $120k for a wedding to a dude with no money and 3 kids? Oh no sis, what are you doing? #rhop https://t.co/XpDmFGm4…</t>
  </si>
  <si>
    <t>@tonyawillis Exactly!!</t>
  </si>
  <si>
    <t>RT @tonyawillis: Monique was DRUNK...stop fronting and thank GOD that you didn't kill anyone.  Monique was the one who introduced the FACT…</t>
  </si>
  <si>
    <t>@Irfanna1 @The_Black_Daria If he is on drugs, most sober ppl can’t live with other ppl addicted to drugs. Most addicts hang together, if your sober you usually can’t tolerate it.</t>
  </si>
  <si>
    <t>@iammrssamuels Either block me, or don’t be on a reality show, because I am very active on Twitter with reality shows and politics.</t>
  </si>
  <si>
    <t>@iammrssamuels Either block me,  or don’t be  on a reality show, because I am very active on Twitter with reality shows and politics. 🤷🏻‍♀️</t>
  </si>
  <si>
    <t>@iammrssamuels From what I’ve seen of you on  your reality show, you seem like a loud mouth, overbearing, obnoxious braggert that’s not very believable all the time. And Who invites ppl to their house then throws them out for no good reason?</t>
  </si>
  <si>
    <t>@iammrssamuels Then stop replying,  hey dumbass, you’re on a reality show, with this new thing called twitter, ppl can comment and discuss with other tweeters what they see and watch on the 📺. Guess what?? You’re on 📺. https://t.co/ooyOfIMxon</t>
  </si>
  <si>
    <t>RT @QueenKingdomDD: #rhop monique, Monique, MONIQUE. You get an *allowance* too. At least Ashley works. Every time I think you can't be any…</t>
  </si>
  <si>
    <t>RT @QueenKingdomDD: #rhop monique acts like she has it so bad, WHILE, bragging about how good life is. 2 kids, a wealthy hubby, a few busin…</t>
  </si>
  <si>
    <t>@iammrssamuels You are certainly one that’s got to have the last word, but I don’t think it’s sinking into your brain, that YOU have put yourself on a REALITY show. I could care less about your driving record, takes 1 time to kill or  cripple someone when you choose to drive drunk.</t>
  </si>
  <si>
    <t>@sumswords @The_Black_Daria So what is the deal with this  dude anyway??</t>
  </si>
  <si>
    <t>@iammrssamuels Forgive me if I don’t believe you. I like to have a few cocktails too, but I make sure and have a ride. That’s all anyone is asking you to do.</t>
  </si>
  <si>
    <t>@Lanyiadr @iammrssamuels But atleast call an uber, or get a driver, it’s not just about her.</t>
  </si>
  <si>
    <t>RT @Lanyiadr: @iammrssamuels If you bring your own bottle and wine aerator in your purse; you may have an issue. 🤷🏽‍♀️ Just saying...who do…</t>
  </si>
  <si>
    <t>@KarenSm53033722 @iammrssamuels Yeah, while she’s at it she needs to think about other ppl’s babies too, that are also out on the streets while she’s passing out drunk.</t>
  </si>
  <si>
    <t>@MikeBlaze617 @iammrssamuels Not crazy, just irresponsible and driving drunk. This grown ass woman needs to own it and call a damn uber already.</t>
  </si>
  <si>
    <t>@greatadvisor @iammrssamuels I think it’s more because she’s always bragging about what all she has, and how important she is, and her big loud mouth. https://t.co/10J34K8TCi</t>
  </si>
  <si>
    <t>RT @helen_mcinnes11: @QueenKingdomDD @JoanneObrien20 @iammrssamuels It’s making me crazy that she hasn’t. The fact that she never said that…</t>
  </si>
  <si>
    <t>RT @QueenKingdomDD: @iammrssamuels I DK u &amp;amp; it concerns ME. One drink is too many. Especially, when ur *tired* u brag on ur life &amp;amp; in the s…</t>
  </si>
  <si>
    <t>I wish robyn would have kicked Monique’s but.#rhop</t>
  </si>
  <si>
    <t>Thank goodness for security!!#rhop</t>
  </si>
  <si>
    <t>RT @Ayksha: @iammrssamuels You're tweeting a lot more than anyone else on this topic. You're not new, you know the show. You chose this; as…</t>
  </si>
  <si>
    <t>Why is that little girl got her boobies out? Especially at the dinner table. Not very appetizing when you’re trying to eat. Keep it in the bedroom 🙄🙄.#rhop</t>
  </si>
  <si>
    <t>@jeanmwells @iammrssamuels It doesn’t take much to be over the legal limit,</t>
  </si>
  <si>
    <t>RT @jeanmwells: @iammrssamuels You called her out to..saying you drank 5 beers and then you drove home.not sure what the legal limit is in…</t>
  </si>
  <si>
    <t>RT @Daelnlie: @HelloLucy4 @iammrssamuels and @_AshleyDarby should be ashamed of themselves for driving under influence of alcohol, period.…</t>
  </si>
  <si>
    <t>RT @nmspann79: @HelloLucy4 U can only help a grown person so much</t>
  </si>
  <si>
    <t>@kapuzie @HelloLucy4 Yep! Especially the way Monique is always bragging about how rich they are, then have a driver like karen does.</t>
  </si>
  <si>
    <t>RT @kapuzie: @HelloLucy4 Both should of took a uber irresponsible for both of them</t>
  </si>
  <si>
    <t>@iammrssamuels Bottom line, 4 martinis puts you over the legal limit, take some of that money you’re always bragging about and get a  freakin uber. It’s incredibly simple Monique.</t>
  </si>
  <si>
    <t>@fitcherie @HelloLucy4 Exactly!!</t>
  </si>
  <si>
    <t>RT @fitcherie: @HelloLucy4 Cause she was drunk too</t>
  </si>
  <si>
    <t>As obnoxious as Monique is, i think she feels she’s above any laws, it’s not how intoxicated you feel, it’s about what your blood alcohol is, 4 martinis would put you over the limit.#rhop</t>
  </si>
  <si>
    <t>I feel karen hugers frustration, I don’t understand why the other ladies weren’t more sensitive and understanding when she’s going through such a hard time.#rhop</t>
  </si>
  <si>
    <t>RT @Travvie_Dearest: Ashley’s Mom:  I’m so frustrated talking about Michael.
Also Ashley’s Mom: Can I have $500?
#RHOP</t>
  </si>
  <si>
    <t>RT @TROYN68: @CNN  https://t.co/iVwosDehZj</t>
  </si>
  <si>
    <t>RT @area1351: #FloridaSchoolShooting #GunRights #AirMarshal #SchoolMarshal @FoxNews @CNN We need school Marshals similar to Air Marshals. I…</t>
  </si>
  <si>
    <t>RT @area1351: #Timesup #metoo #Oscars These hypocrites cheer a child rapist, Roman Polanski r protected by police with guns on the red carp…</t>
  </si>
  <si>
    <t>Welcome to STL !!!  Krewson and Kim Gardner must be so proud!!</t>
  </si>
  <si>
    <t>https://t.co/bTvjx8FXxJ | Teen punches woman several times at St. Louis Zoo https://t.co/6BQEgPtPpV</t>
  </si>
  <si>
    <t>Welcome to STL https://t.co/ocKvQ0aIue</t>
  </si>
  <si>
    <t>RT @TrumpTrainMRA4: The memes that justs keeps on meming...
Happy Saturday TrumpLicans 
Thank you @POTUS Trump @realDonaldTrump 
🇺🇸#MAGA🇺🇸#…</t>
  </si>
  <si>
    <t>RT @Thomas1774Paine: CNN’s Navarro Says Nazis Call Others Animals, Forgets She Called Trump an Animal https://t.co/iZbCMqml1l</t>
  </si>
  <si>
    <t>RT @PrisonPlanet: Thanks to the Swedish government's disastrous immigration policies, the anti-mass migration Sweden Democrats are now trie…</t>
  </si>
  <si>
    <t>RT @jmattbarber: Like clockwork: Anti-2ndAmendment extremists are already politicizing this, blaming guns, #Republicans, the @NRA &amp;amp; everyon…</t>
  </si>
  <si>
    <t>RT @MarkDice: Watch Nancy Pelosi defend MS-13 gang members who have infiltrated America.  If you want her to be the Speaker of the House ag…</t>
  </si>
  <si>
    <t>RT @tgatorguy: The Royal Wedding. Do you care? Vote and retweet</t>
  </si>
  <si>
    <t>RT @JulieHenricks: @therealroseanne I’m sorry. I appreciate you, your tweets and your common sense!</t>
  </si>
  <si>
    <t>RT @alseybold: @therealroseanne Sad to hear, but understand. 
Twitter brings out the worst thugs.  But censorship leads to Silicon Valley…</t>
  </si>
  <si>
    <t>RT @HillelSims: @LynnePatton @therealroseanne Twitter has made it untenable for real patriots to coexist here, through their shadowbanning…</t>
  </si>
  <si>
    <t>RT @HelloUncleDonny: @LoolooMagdalena @therealroseanne  https://t.co/P0OSb5GLSg</t>
  </si>
  <si>
    <t>@therealroseanne @pjbowles4 Wow, just reading some of these comments, reminds me, there are some very angry, disturbed ppl in this universe. 😬😬</t>
  </si>
  <si>
    <t>RT @MrNashvilleTalk: @LauraLoomer @therealroseanne Roseanne is a bright star serving as a vessel of the hurt, oppressed, hardworking, commo…</t>
  </si>
  <si>
    <t>RT @JennyPentland: “Dad puts you on a timeout and takes your video games away, but Mom peels you like an artichoke, taking off one leaf at…</t>
  </si>
  <si>
    <t>RT @FLOTUS: My heart goes out to Santa Fe and all of Texas today.</t>
  </si>
  <si>
    <t>RT @SecondWalk: @therealroseanne I've noticed that if I tweet,RT or follow someone who's fighting to save,protect &amp;amp; help with ending sex tr…</t>
  </si>
  <si>
    <t>RT @CarmineSabia: He had a shotgun. He did not legally own a gun. He had pressure cooker bombs and pipe bombs. Tell me what law would have…</t>
  </si>
  <si>
    <t>RT @mizzoudownunder: .@scottfaughn looked disgusting —nipples protruding — in his blue shirt before the Poplar Bluff PD. Very very disrespe…</t>
  </si>
  <si>
    <t>RT @KaitMarieox: If Hillary Clinton can come out and call for gun control in the immediate wake of the Texas school shooting, then I have n…</t>
  </si>
  <si>
    <t>RT @KaitMarieox: With a school shooting back in the news, there is only one sensible solution. BAN GUN FREE ZONES. 98% of mass shootings si…</t>
  </si>
  <si>
    <t>RT @KaitMarieox: The tolerant left is now sending death threats to my boyfriend. Congrats on continuing to prove to everyone why it's impor…</t>
  </si>
  <si>
    <t>RT @LibertyHangout: Stand with @KaitMarieox. Support #CampusCarryNow
Order here -&amp;gt; https://t.co/uwNG19bV5z https://t.co/I62I2ExG8W</t>
  </si>
  <si>
    <t>RT @KaitMarieox: The Internet after I posted my graduation photos https://t.co/oEFT7zQD7i</t>
  </si>
  <si>
    <t>RT @Oathkeepers: This brave patriot is getting death threats, so Oath Keepers retired cops and Special Forces vets are offering her free pr…</t>
  </si>
  <si>
    <t>RT @KaitMarieox: Jim you should be the one in this picture with this caption. You're the one that supports gun control policies that let th…</t>
  </si>
  <si>
    <t>RT @KaitMarieox: Now that I graduated from @KentState, I can finally arm myself on campus. I should have been able to do so as a student- e…</t>
  </si>
  <si>
    <t>RT @KaitMarieox: Since I'm receiving hundreds of messages an hour, am getting contacted by media all around the world, and am now being bla…</t>
  </si>
  <si>
    <t>RT @JackPosobiec: There’s Something About Gina https://t.co/SnWM0rQq0L</t>
  </si>
  <si>
    <t>RT @peterjhasson: He wasn't spying on them, just secretly investigating without them knowing https://t.co/tZnL0RzOoH</t>
  </si>
  <si>
    <t>RT @TheJordanRachel: Trump is exposing the dems for exactly who they are. He makes huge pronouncements JUST for the exact INSANE reaction f…</t>
  </si>
  <si>
    <t>RT @dbongino: Mueller indicts company that doesn’t even exist.  https://t.co/DJcLMqX5ID</t>
  </si>
  <si>
    <t>RT @gr8tjude: 💥💥BLUE WAVE CRASHING: Poll Shows Americans Side with TRUMP on Economy, Security ↘️
https://t.co/o2v9mhvzDs</t>
  </si>
  <si>
    <t>RT @GregWest_HALOJM: Your former boss promised to move the embassy to Jerusalem, so did Bush and Bill Clinton. Difference is Trump actually…</t>
  </si>
  <si>
    <t>RT @ScottPresler: THANK YOU to every single person in Pennsylvania who voted for Trump &amp;amp; flipped the state red. 
Today is Primary Day, so…</t>
  </si>
  <si>
    <t>RT @GartrellLinda: Witnesses confirm: Cheesecake Factory Employees in Miami FL Attack Black Man For Wearing MAGA Hat.
This kind of behavior…</t>
  </si>
  <si>
    <t>RT @ArizonaKayte: Stormy has assaulted all of us actually.  She is absolutely the definition of a nasty woman.   We should all sue her. 
#…</t>
  </si>
  <si>
    <t>RT @jsolomonReports: Mueller may have a conflict — and it leads directly to a Russian oligarch https://t.co/xBQ940hp6j</t>
  </si>
  <si>
    <t>RT @gatewaypundit: Liberal Logic: Bette Midler Blames A**hole Trump for Deaths of 52 Hamas Supporters Storming Israeli Border https://t.co/…</t>
  </si>
  <si>
    <t>RT @JacobAWohl: https://t.co/iFUJNI0HCz</t>
  </si>
  <si>
    <t>RT @CHIZMAGA: Back in 2009 as FBI Director, Mueller solicited $25M from Oleg Deripaska to free an Agent from Iran...
Mueller’s investigati…</t>
  </si>
  <si>
    <t>RT @Blavity: Michelle Obama hilariously told her daughters: don't go to your lil' friends for advice, 'all of you are dumb' (try not readin…</t>
  </si>
  <si>
    <t>RT @blackwidow07: #donnybrookstl Ray needs to disclose he's buddies with Faughn. Convicted felons don't deliver large sums of cash. Did you…</t>
  </si>
  <si>
    <t>RT @blackwidow07: #donnybrookstl she hasn't hurt herself just wait. Her job is to prosecute and so far she is a colossal failure. South cit…</t>
  </si>
  <si>
    <t>RT @blackwidow07: #donnybrookstl @aareid1 sealed or not???? https://t.co/yOF30eysAm</t>
  </si>
  <si>
    <t>RT @CaseyNolen: Greitens case unsealed: Judge's advice to STL prosecutor https://t.co/trSMlFFxv9 via @ksdknews</t>
  </si>
  <si>
    <t>RT @HotPokerPrinces: Why No Haste to Find The Bag Man ? 
Supoenas were issued !   Why Doesn’t Jay Barnes &amp;amp; 
Committee  want to hear &amp;amp; cro…</t>
  </si>
  <si>
    <t>RT @HotPokerPrinces: FOLLOW THE MONEY ➡️➡️➡️MISSOURI COLLUSION 
GREITENS CUT 150 MILLION DOLLARS IN LOW INCOME HOUSING TAX CREDITS.. Devel…</t>
  </si>
  <si>
    <t>RT @Sticknstones4: @NickBSchroer No way to review this evidence effectively,  jay Barnes needs to slow dow his witch hunt! Also why doesn’t…</t>
  </si>
  <si>
    <t>RT @JCunninghamMO: #MOLeg beware. This letter writer expresses what a lot of your base strongly think.  https://t.co/ReVLsgmItg</t>
  </si>
  <si>
    <t>RT @SykesforSenate: Missouri House of Representatives: Urgent! Stop the Coup Against Gov. Eric Greitens - Sign the Petition! https://t.co/8…</t>
  </si>
  <si>
    <t>RT @carlyle65270: Greitens: "Rural Missouri is coming back" https://t.co/XMVhdHzFTq</t>
  </si>
  <si>
    <t>RT @area1351: @DebFriedell @LRB What's really bizarre here is that your claim to being close to #SheenaGreitens and then you backstabbed he…</t>
  </si>
  <si>
    <t>RT @DebFriedell: On the night Trump was elected president, the Republican husband of an old friend won the race to be Governor of Missouri.…</t>
  </si>
  <si>
    <t>RT @JW1057: @KCStar Evidence to support conviction of protestors. No evidence to support conviction of Greitens for alleged false statement…</t>
  </si>
  <si>
    <t>RT @YearOfZero: Why don’t you audit the Low Income Housing Tax Credit or how much month was spent on lying Kim Gardner’s farce?
#moleg #mo…</t>
  </si>
  <si>
    <t>RT @JCunninghamMO: This decision is significant in bringing closure to the @EricGreitens investigations.  https://t.co/gBdo7vErBy</t>
  </si>
  <si>
    <t>RT @SheenaGreitens: Delighted to see the Missouri General Assembly pass both #SB819 and #SB800! We worked hard last year to develop many of…</t>
  </si>
  <si>
    <t>RT @JohnLamping: #moleg go home stay there till Veto Session. Youve been played by lobbyists n leadership. Think how much has changed since…</t>
  </si>
  <si>
    <t>RT @JohnLamping: #moleg If special interests can take out a sitting MOGOV think what will happen to you when you don't vote as you're told…</t>
  </si>
  <si>
    <t>RT @melody_grover: Someone call Ringling Brothers, because PT Barnum wants his circus back from @jaybarnes5. Somehow #moleg has managed to…</t>
  </si>
  <si>
    <t>RT @melody_grover: Those pushing impeachment are trying to oust #mogov over unproven allegations of "moral turpitude" and for calling his f…</t>
  </si>
  <si>
    <t>RT @melody_grover: "It is clear" is best translated as "I can't make a compelling argument with evidence so just take my word for it. I wen…</t>
  </si>
  <si>
    <t>RT @Sticknstones4: W O K E    A F    V O T E R 
#Democrats #Republicans #independents #libertarians
#turncoat #Moleg #Mosen #MoSen #DrainT…</t>
  </si>
  <si>
    <t>RT @tkinder: That won’t stop #moleg though. They aren’t about to be swayed by facts because they are on a mission to overturn the election…</t>
  </si>
  <si>
    <t>RT @tkinder: At this point #moleg is basically a runaway legislature believing it’s desire to undo the election of Governor .@EricGreitens…</t>
  </si>
  <si>
    <t>RT @tkinder: Live from the #moleg - We didn’t like the result of the last election so let’s undo it. Not so fast Swampy McSwampthing... htt…</t>
  </si>
  <si>
    <t>RT @grcfay: @Sticknstones4 You are one sharp cookie, @Sticknstones4 .  Great read.  I keep getting mad all  over again.</t>
  </si>
  <si>
    <t>RT @threadreaderapp: @dsm012 Hello there is your unroll: Thread by @Sticknstones4: "Greitens Felony Invasion of Privacy Case Thread Time Fo…</t>
  </si>
  <si>
    <t>RT @Sticknstones4: How Many 
Feel Lied To by the Media  ?
Feel Betrayed By #Moleg House Investigative Committee ?   🙋‍♂️🙋🏽‍♀️🙋‍♂️🙋🏻‍♂️…</t>
  </si>
  <si>
    <t>RT @Sticknstones4: 8)  NO COERCION  👇👇👇
Katrina testified to giving Consent 
The behind closed door 🚪 house committee lead a series of que…</t>
  </si>
  <si>
    <t>RT @Sticknstones4: 6 &amp;amp; 7     THE BARE NAKED TRUTH  👇👇👇
6 ) NO PHOTO &amp;amp; NO WITNESS TO TESTIFY THEY EVER SAW SUCH PHOTO 
7) KATRINA NAKED FA…</t>
  </si>
  <si>
    <t>RT @Sticknstones4: 5) Katrina can not testify to in both the house committee and in deposition  the following 
👇👇👇 https://t.co/js9qhzf3Zq</t>
  </si>
  <si>
    <t>RT @Sticknstones4: 4) The Proscutor Kim Gardner has repeatedly lied 
Judge Rex Burlison says the case reeks of sanctions 
👇👇👇 https://t.co/…</t>
  </si>
  <si>
    <t>RT @Sticknstones4: 3) constitutually unable to present Evidence
* He did say he would speak to committee after criminal case was over   👇👇…</t>
  </si>
  <si>
    <t>RT @Sticknstones4: 2) consensual 👇👇👇 https://t.co/cxINmWMs65</t>
  </si>
  <si>
    <t>RT @Sticknstones4: Greitens Felony Invasion of Privacy Case  
Thread Time 
Follow Along  
See What the Media Isn’t Telling You👇👇👇 https:…</t>
  </si>
  <si>
    <t>RT @Sticknstones4: @ABorealis77 @CStamper_ The LIHTC give money to Republicans &amp;amp; Democrats to keep passing there crooked scam through the M…</t>
  </si>
  <si>
    <t>RT @ABorealis77: @CStamper_ I know the whole interview isn't here, but when he said he wasn't going to subsidise these big developer's here…</t>
  </si>
  <si>
    <t>RT @leegi1089: @CStamper_ Soros is detrimental to our world</t>
  </si>
  <si>
    <t>RT @HorwitzKelly: @CStamper_ Keep on sharing Chris!!  Gov. Greitens is the best thing that has happened to Missouri in a long time!!  He ha…</t>
  </si>
  <si>
    <t>RT @SHominiuk: @CStamper_ Soros is evil.  Keep fighting</t>
  </si>
  <si>
    <t>RT @YearOfZero: @CStamper_ Thanks for sharing. Great speech</t>
  </si>
  <si>
    <t>RT @VisioDeiFromLA: @KathleenMom4 @CStamper_ Great speech</t>
  </si>
  <si>
    <t>RT @KathleenMom4: @CStamper_ I’m not from Missouri but I would be so proud of your governor if I were. He is inspiring! Instead I am an Ore…</t>
  </si>
  <si>
    <t>RT @ResignNowKim: (2) he has made a play to take out eg.  Exposing himself as he has, his best option is to double down. And that is what w…</t>
  </si>
  <si>
    <t>RT @ResignNowKim: (1) Nora: Truth is @HawleyMO sold his soul for his AG election.  The piper came to collect, and these “bombshells” have b…</t>
  </si>
  <si>
    <t>RT @DiamondandSilk: Breaking: School Shooting In Illinois, Suspect Stopped by Good Guy with a Gun.
Where's the outrage from the left? Oh,…</t>
  </si>
  <si>
    <t>RT @DiamondandSilk: Senate Passes Bill to Reinstate Disastrous Obama-Era Rules — Here Are the 3 Republicans Who Voted ‘Yes’
Not surprised.…</t>
  </si>
  <si>
    <t>RT @realDonaldTrump: Congratulations America, we are now into the second year of the greatest Witch Hunt in American History...and there is…</t>
  </si>
  <si>
    <t>RT @DiamondandSilk: Do the left wing media know the difference between MS-13 Gang members and law abiding citizens?
They must be trying to…</t>
  </si>
  <si>
    <t>RT @DiamondandSilk: Congratulations to Gina Haspel who was confirmed as CIA Director.  She's the first woman to head the CIA.   What a grea…</t>
  </si>
  <si>
    <t>RT @WhiteHouse: #Laurel? #Yanny? Or... https://t.co/5hth07SdGY</t>
  </si>
  <si>
    <t>RT @DiamondandSilk: ‘REASONABLE GROUNDS FOUND’: Inspector General to Declare FBI, DOJ Broke Law In Hillary Probe.
https://t.co/viy4SZspOm</t>
  </si>
  <si>
    <t>RT @realDonaldTrump: “Apparently the DOJ put a Spy in the Trump Campaign. This has never been done before and by any means necessary, they…</t>
  </si>
  <si>
    <t>RT @realDonaldTrump: Fake News Media had me calling Immigrants, or Illegal Immigrants, “Animals.” Wrong! They were begrudgingly forced to w…</t>
  </si>
  <si>
    <t>RT @DiamondandSilk: Stormy Daniels’ Lawyer Just Got Blindsided By News He Never Expected.
Told Y'all.  Don't throw stones when you live in…</t>
  </si>
  <si>
    <t>RT @realDonaldTrump: Reports are there was indeed at least one FBI representative implanted, for political purposes, into my campaign for p…</t>
  </si>
  <si>
    <t>RT @realDonaldTrump: We grieve for the terrible loss of life, and send our support and love to everyone affected by this horrible attack in…</t>
  </si>
  <si>
    <t>RT @DiamondandSilk: .@DiamondandSilk go off on Jay-Z for convincing rapper Meek Mill to be a no show for the Prison Reform Summit at the Wh…</t>
  </si>
  <si>
    <t>RT @oldmansview: @RealMAGASteve @Patriot261 Rosenstein, if you didnt do anything wrong you couldnt be blackmailed, notice how Trump works.…</t>
  </si>
  <si>
    <t>RT @FoxNews: .@TomiLahren: “Every nation has the right to enforce their border. Every nation has a right to protect its citizens.” https://…</t>
  </si>
  <si>
    <t>RT @foxandfriends: .@TomiLahren hits back after ‘The View’ hosts mock her ancestry: “Take on Elizabeth Warren’s next” https://t.co/Sp6mh7dt…</t>
  </si>
  <si>
    <t>RT @TomiLahren: Our police officers need all the love they can get! https://t.co/4UZEWik2Ls</t>
  </si>
  <si>
    <t>@TomiLahren So refreshing and right!!</t>
  </si>
  <si>
    <t>RT @TomiLahren: Finally a POTUS who loves our LEOs! https://t.co/8gICQJ3Syn</t>
  </si>
  <si>
    <t>RT @TomiLahren: Don’t drink the propaganda Kool-Aid! https://t.co/Y4OD7Aohar https://t.co/UCVgBjYhEX</t>
  </si>
  <si>
    <t>RT @TomiLahren: Ladies and gents (wouldn’t want to assume your gender) the Left defines hate speech as anything they are too fragile to und…</t>
  </si>
  <si>
    <t>RT @TomiLahren: Our hearts are with Officer Whitaker’s family. 😣 https://t.co/P6UDulutJe</t>
  </si>
  <si>
    <t>RT @KaynarOhad: Here's some undeniable truth for you. Senior #Hamas official Salah Albardawil, admits live during interview to 'Bladna alal…</t>
  </si>
  <si>
    <t>RT @TomiLahren: Sounds like she’s more of a feminist than any of you! She chooses to empower herself while you march in pink hats and compl…</t>
  </si>
  <si>
    <t>RT @TomiLahren: There’s nothing “feminist” about telling another woman how she should and should not protect herself. There’s also nothing…</t>
  </si>
  <si>
    <t>RT @prageru: You tell em' Tomi! @TomiLahren https://t.co/1EbUDpHgPv</t>
  </si>
  <si>
    <t>RT @TomiLahren: Tickets 50% off for military and first responders today at the box office! Keswick Theatre in Glenside, PA! See ya tonight!</t>
  </si>
  <si>
    <t>RT @TomiLahren: Truth is the new hate speech. You don’t intimidate me! See you tonight, Glenside. https://t.co/uXaBi4bCFt</t>
  </si>
  <si>
    <t>RT @TomiLahren: You go girl! Empowerment is knowing your rights and knowing how to protect and defend yourself! https://t.co/xMyegToUgL</t>
  </si>
  <si>
    <t>RT @TrumpStudents: @TomiLahren Our team wishes you the best tonight! Go get ‘em! 🇺🇸</t>
  </si>
  <si>
    <t>RT @TomiLahren: Democrats, media hacks, Hollywood Libs, and Hillary Clinton when Trump won the election! https://t.co/xNC0dS0ZbU</t>
  </si>
  <si>
    <t>RT @MarkDice: Your great-grandparents were in MS-13?  Whoah!  Sad https://t.co/Q06tdMAuk3</t>
  </si>
  <si>
    <t>RT @TomiLahren: Where does it end? Political correctness is intellectual dishonesty. Stop being so damn offended by everything. https://t.c…</t>
  </si>
  <si>
    <t>@BHudTV @TomiLahren @NBCPhiladelphia These protesters are just down right scary and out of control!! ☹️😣😤</t>
  </si>
  <si>
    <t>RT @TomiLahren: It’s sad your brother Stephen got all the brains and good taste. Good luck with that Trump Derangement Syndrome! Make Ameri…</t>
  </si>
  <si>
    <t>RT @NickPetersonTV: Inside @TomiLahren’s show last night: Military, vets, police, Christians, proud Americans. 
Outside Tomi’s show protes…</t>
  </si>
  <si>
    <t>RT @TomiLahren: Horrific news out of Houston. Our schools need to have the same level of security as our red carpet events! We don’t need t…</t>
  </si>
  <si>
    <t>RT @TomiLahren: And once again the NRA and its members are blamed for a tragedy they did not commit. The immediate and constant crusade aga…</t>
  </si>
  <si>
    <t>RT @TomiLahren: Don’t judge me by my political beliefs, judge me by how I treat you. You’ll find I’m a nice person. https://t.co/CNj3SSee8G</t>
  </si>
  <si>
    <t>RT @payrs: Great show last night @TomiLahren  your courage and determination are an inspiration to Young Republicans ❤️ thank you so much f…</t>
  </si>
  <si>
    <t>RT @DunnSearcher: @WendyWilliams @erikajayne Wonder why 19 yrs  of “Wealth Coma” have hardened her so much?? Does book explain 🤷🏼‍♀️🤷🏼‍♀️…</t>
  </si>
  <si>
    <t>RT @UWS10025: @WendyWilliams @erikajayne Sorry, just not feeling the glitzy, middle aged, blonde vixen rock star shtick from this gold digg…</t>
  </si>
  <si>
    <t>RT @gemini_gal307: @WendyWilliams @erikajayne Nah. I don't support hypocrites that say women should support &amp;amp; empower other women, then pro…</t>
  </si>
  <si>
    <t>RT @janet_phung: @WendyWilliams @erikajayne  https://t.co/8bwQ2pyTv9</t>
  </si>
  <si>
    <t>RT @redcaper: @kpanarella @WendyWilliams @erikajayne Same. Her true colors came out in the last episode. I am over her. She can keep her bo…</t>
  </si>
  <si>
    <t>RT @kpanarella: @WendyWilliams @erikajayne I'll pass on the book as well</t>
  </si>
  <si>
    <t>RT @chris07841: @WendyWilliams @erikajayne  https://t.co/pdWuZ0I3l6</t>
  </si>
  <si>
    <t>RT @the_tv_bitch_: LMAO Erika loves women so much #RHOBH https://t.co/sG1MD3xyRX</t>
  </si>
  <si>
    <t>RT @the_tv_bitch_: #RHOBH LVP please give up on this bitch</t>
  </si>
  <si>
    <t>RT @1ChiefRocka: Are you buying or did you buy Erika’s book?  #rhobh #wwhl</t>
  </si>
  <si>
    <t>RT @the_tv_bitch_: WHYYY is she having Dorit’s back when she’s been being a bitch to her, Kyle and teddy all season</t>
  </si>
  <si>
    <t>RT @the_tv_bitch_: lmao sheana poor girl spent the whole season looking dumb as hell #PumpRules</t>
  </si>
  <si>
    <t>RT @BlackLarryByrd: Why are they spending their time on petty stuff with James. The real mystery is if Jax hooked up with his therapist. Al…</t>
  </si>
  <si>
    <t>RT @housewivesfan4: Erika Jayne getting ready for the Reunion #RHOBH https://t.co/7co329SDVu</t>
  </si>
  <si>
    <t>RT @philstreece: Beverly Beach is a RV park in Florida! True story!  #RHOBH https://t.co/Yr96duoJVR</t>
  </si>
  <si>
    <t>RT @RhoodGirl: #RHOBHReunion Alllllright ladies, you all officially have permission to knock @erikajayne the f*@k out!! Gads! The jealously…</t>
  </si>
  <si>
    <t>@the_tv_bitch_ We’re on the same page.</t>
  </si>
  <si>
    <t>RT @the_tv_bitch_: #RHOBH Rinna &amp;amp; Erika hate LVP with such a passion it’s insane</t>
  </si>
  <si>
    <t>@chilequile @mariokiki I’m thinking she was never real.</t>
  </si>
  <si>
    <t>RT @Starkarygen: #RHOBHReunion #rhobh Please stop with the Erika fashion nonsense. She is a fashion victim. Just because she spends a stupi…</t>
  </si>
  <si>
    <t>RT @mariokiki: “It costs a lot of money to look this cheap” - Dolly Parton. #RHOBH https://t.co/A59sv53x3U</t>
  </si>
  <si>
    <t>RT @Paddy_R: @LOV3JONES31 The only reason I would want Erika back next season is if a new wife is cast who will drag her. So much material…</t>
  </si>
  <si>
    <t>RT @TobyandMel: Lisa Rinna is still a massive bitch this year and so jealous of @LisaVanderpump - “different standards” to Rinna is zero st…</t>
  </si>
  <si>
    <t>RT @mrjaxtayIor: #MeToo #pumprules</t>
  </si>
  <si>
    <t>@SNBonaccorsi not a bot sara, you just didn’t like what I said. Typical lib!! Good bye to you, https://t.co/7WkaDao1d8</t>
  </si>
  <si>
    <t>RT @BareJeane: @w_terrence Love our President Donald John Trump! WWG1WGA! mamabare</t>
  </si>
  <si>
    <t>RT @RickRicks4: @Azazel666____ @w_terrence Nevertheless, he did the right thing.</t>
  </si>
  <si>
    <t>RT @rouhanim: @w_terrence @pjpaton Incredible moment🇺🇸✌️💜
#ThankYouTrump💜🇺🇸✌️#TrumpTheLionHeart admired by #Iranians but don’t get MSM cove…</t>
  </si>
  <si>
    <t>@JeffGrant8898 @w_terrence @Fat_Mac34 The truth doesn’t fit the liberals or MSM narrative.</t>
  </si>
  <si>
    <t>RT @JeffGrant8898: @w_terrence @Fat_Mac34 Trump cares way more then people think.    The mainstream media and liberals country  wide don’t…</t>
  </si>
  <si>
    <t>RT @realalfiealpha: @w_terrence I saved this pic of Trump. One of the most telling proofs he’s not racist at all, but a leader with a big h…</t>
  </si>
  <si>
    <t>RT @DragonEnergized: @w_terrence The first video and images I’ve seen on Twitter that actual brought a tear. So sorry for the loss of your…</t>
  </si>
  <si>
    <t>RT @w_terrence: Why wasn’t this Trending on Twitter? I didn’t see this in the Twitter Moments. https://t.co/8sp3lNGUIm</t>
  </si>
  <si>
    <t>RT @kmoxnews: While the deaths of 129 police officers who died in the line of duty last year got the headlines, 140 committed suicide, that…</t>
  </si>
  <si>
    <t>@kmoxnews @MRfourty2fourty 😥, good police officers are being put through hell, more and more.</t>
  </si>
  <si>
    <t>RT @PershingSoldier: @MarkReardonKMOX @SmokeyBear2018 Sad group of useless hacks, Mark.   We will fall behind Detroit soon as the poster ch…</t>
  </si>
  <si>
    <t>RT @RightSideUp313: @MarkReardonKMOX Mark, she a Dem in the city.....I know it was a rhetorical question. I would like to know what this sh…</t>
  </si>
  <si>
    <t>RT @MarkReardonKMOX: @Resistreform Let's not.</t>
  </si>
  <si>
    <t>RT @Genie4Fun: @MarkReardonKMOX Greiten’s lawyers filed a complaint against Gardner today for perjury, etc.</t>
  </si>
  <si>
    <t>RT @Norasmith1000: @kendylei @JW1057 It disgusts me to think of the violent criminals still on our streets, and probably innocent people ro…</t>
  </si>
  <si>
    <t>@Norasmith1000 @JW1057 @stlcao So true, and she crippled the city of STL even more than it already was. She’s got to go.</t>
  </si>
  <si>
    <t>@moefromcanada We’re awake, and we see right through you libs.</t>
  </si>
  <si>
    <t>RT @Str8DonLemon: @JW1057 @MissouriGOP @GovGreitensMO @KevinCorlew @kendylei @parscale @grcfay @RetNavy93 @dbongino @Cernovich @Thomas1774P…</t>
  </si>
  <si>
    <t>RT @AndyHortin18: .@marklevinshow: The Mueller investigation...has revealed that the greatest perpetrator against the American people was t…</t>
  </si>
  <si>
    <t>RT @Thomas1774Paine: WATCH: CIA Interrogator Sends Whoopi Goldberg a Warning After She Suggests Trump Be Waterboarded https://t.co/Di8Nm6t0…</t>
  </si>
  <si>
    <t>RT @SKYRIDER4538: Every time I think she can’t say anything stupider, she lowers the bar. According to her if a baby cries, you should ask…</t>
  </si>
  <si>
    <t>RT @IngaSher: @kendylei @jturnershow @1Romans58 His ugly inside is coming out</t>
  </si>
  <si>
    <t>RT @JW1057: @kendylei So, Kim Gardner decided to ruin herself instead!
#moleg #mogov #greitens #KimShady #IStandWithGreitens</t>
  </si>
  <si>
    <t>@Norasmith1000 @JW1057 So True, and she’s acting like she’s a victim and trying to turn this whole thing around on the person she was trying to victimize. We see right through you corrupt Kim. https://t.co/DSCIarsJmQ</t>
  </si>
  <si>
    <t>RT @MrWhiskas24: @kendylei @SNBonaccorsi @MattBatzel @TomiLahren Seriously, they repeat the same thing like they were zombies. And try to g…</t>
  </si>
  <si>
    <t>@Norasmith1000 @JW1057 Amen Sister!!!!!</t>
  </si>
  <si>
    <t>RT @Norasmith1000: @JW1057 @kendylei It's funny how Kim Gardner thinks anyone should believe a single word she says. She's lost all credibi…</t>
  </si>
  <si>
    <t>@BearLawrence2 @NBCNews Most liberals feel the law or ethics don’t apply to them, it’s all about them getting what they want. 😔</t>
  </si>
  <si>
    <t>@MrWhiskas24 @SNBonaccorsi @MattBatzel @TomiLahren Thank you louis, and hallelujah more ppl are coming together with the same message and not letting the other side intimidate or coerce them.</t>
  </si>
  <si>
    <t>RT @MrWhiskas24: @SNBonaccorsi @MattBatzel @TomiLahren Meaning those that apply &amp;amp; are needed, will come in, those who aren't, won't. It all…</t>
  </si>
  <si>
    <t>RT @MrWhiskas24: @SNBonaccorsi @MattBatzel @TomiLahren Tomi would agree with you. Yes, they can come in legally. All they have to do is app…</t>
  </si>
  <si>
    <t>@MattBatzel @TomiLahren Thanks again Tomi Lahren for your straight shooting common sense.😉</t>
  </si>
  <si>
    <t>@donmccaskill No, it really is that simple.</t>
  </si>
  <si>
    <t>RT @xomazatl: @MattBatzel @TomiLahren https://t.co/s93tHyQzpy</t>
  </si>
  <si>
    <t>RT @MLubow: @MattBatzel @TomiLahren it is really that simple</t>
  </si>
  <si>
    <t>Who could blame him if he did say that, when someone as corrupt as kim Gardner is trying to ruin your life and career no matter what it takes, who wouldn’t want that person held accountable for their evil and corruption?</t>
  </si>
  <si>
    <t>Prosecutor: Greitens' lawyers threatened to 'ruin' her
(Via KMOV News) https://t.co/5WPE6HKlow</t>
  </si>
  <si>
    <t>RT @MattBatzel: .@TomiLahren: “If you don’t want your family to be broken up when you cross the border illegally… don’t cross the border il…</t>
  </si>
  <si>
    <t>@LaCina52 @NBCNews @TomiLahren There are bad ppl in all walks of life, doesn’t make everyone in that profession bad, the Majority of cops are good and have to take this 💩 every day 😡😡.</t>
  </si>
  <si>
    <t>@ShowMeRep2020 @NBCNews 🙄🙄</t>
  </si>
  <si>
    <t>RT @BearLawrence2: @NBCNews Meanwhile we have African American trump supporters getting called the n word by Cheesecake Factory employees a…</t>
  </si>
  <si>
    <t>@moefromcanada https://t.co/7LnyPPiM6Q</t>
  </si>
  <si>
    <t>RT @Markknight45: @MarkReardonKMOX @VisioDeiFromLA If she was a Repub she would be on house arrest by know</t>
  </si>
  <si>
    <t>@Genie4Fun @MarkReardonKMOX Lock her up!!</t>
  </si>
  <si>
    <t>@MarkReardonKMOX @RightSideUp313 So true mark!!</t>
  </si>
  <si>
    <t>@MarkReardonKMOX @RightSideUp313 So true!!</t>
  </si>
  <si>
    <t>RT @MarkReardonKMOX: Has ONE elected official in St. Louis called for Kim Gardner's resignation for her incompetence? If she was a Republic…</t>
  </si>
  <si>
    <t>@FOX2now @RightSideUp313 #lock her up</t>
  </si>
  <si>
    <t>@FOX2now @RightSideUp313 I hope they don’t let kim shady wiggle out this one too!!</t>
  </si>
  <si>
    <t>RT @FOX2now: Aldermen plan to grill Circuit Attorney over cost of the Greitens’ trial https://t.co/7txB3MCWEu https://t.co/BAXEkZi13G</t>
  </si>
  <si>
    <t>RT @BigLeague2020: @DannyHortonMO @joel_capizzi @realDonaldTrump @HawleyMO #MOSEN #MISSOURI 
COURTLAND SYKES FOR SENATE
HE SHOWS UP FOR T…</t>
  </si>
  <si>
    <t>RT @PhilMcCrackin44: 💥Sorry Crying @jimmykimmel , You can’t put the toothpaste back in the tube !  Trump supporters despise you, and we’ll…</t>
  </si>
  <si>
    <t>@LoveAndyC @Bravotv Love the pic 😂😂</t>
  </si>
  <si>
    <t>@TasteOf_Reality Absolutely!!</t>
  </si>
  <si>
    <t>RT @TasteOf_Reality: Do you think Erika was out of line with how she spoke to Teddi? #RHOBH #RHOBHReunion</t>
  </si>
  <si>
    <t>@alienfromMIB Ikr</t>
  </si>
  <si>
    <t>RT @alienfromMIB: What Lisa Vanderpump should have done to Dorit's pictures: #RHOBHReunion #rhobh https://t.co/fVxAKTiAj9</t>
  </si>
  <si>
    <t>@rytybts Yeah, but I still want to see dorito get what’s coming to her.</t>
  </si>
  <si>
    <t>@HWObsessed Ug, I can’t stand erika with a k anymore.</t>
  </si>
  <si>
    <t>RT @Jim_Jordan: It’s high time for transparency. The DOJ and FBI have continually and repeatedly thwarted congressional oversight. We’re as…</t>
  </si>
  <si>
    <t>RT @IngrahamAngle: Every American should hope that @realdonaldtrump &amp;amp; his team succeed in its work to de-nuclearize the Korean Peninsula. B…</t>
  </si>
  <si>
    <t>RT @1Romans58: This should be a weekly segment.  This week in uncovered HRC crimes...  
How many of these do we need to throw her a$$ in a…</t>
  </si>
  <si>
    <t>RT @realDonaldTrump: Lou Barletta will be a great Senator for Pennsylvania but his opponent, Bob Casey, has been a do-nothing Senator who o…</t>
  </si>
  <si>
    <t>RT @ArizonaKayte: Yes, how did #Avenatti get a private citizen’s private banking records that were seized by federal agents who are suppose…</t>
  </si>
  <si>
    <t>RT @YearOfZero: But not #KimShady investigators?
This is a coup
#moleg #mogov @Neilin1Neil @JW1057 @BobOnderMO @KevinCorlew @BillEigel @B…</t>
  </si>
  <si>
    <t>RT @philip_saulter: @robschaaf @DaynaGould @mcbridetd I read all 24 pages.  Nothing but unsubstantiated claims, admitted "contradictory" st…</t>
  </si>
  <si>
    <t>RT @for_congress: @realDonaldTrump They carried out a similar political witch hunt against Governor Greitens - now charges dismissed due in…</t>
  </si>
  <si>
    <t>RT @Education4Libs: It actually pisses me off.
People are literally having their heads sawed off while still alive &amp;amp; liberal pansies like…</t>
  </si>
  <si>
    <t>RT @MAGANinaJo: This is a test to see if anyone can see my tweet.  Seems as if conservatives are being shadow banned right and left.  If yo…</t>
  </si>
  <si>
    <t>Are you kidding me? That crook kim Gardner started this whole witch hunt with taxpayers money and lots of it, because she wanted to hand pick her crooked cronies instead of using the ppl that were already in place for her investigation, because she couldn’t corrupt them.</t>
  </si>
  <si>
    <t>NOW ON NEWS 4: Did you help pay for Gov. Greitens’ attorneys? The state auditor is looking to see if taxpayer dollars were used to pay for his private attorneys.
(Via KMOV News) https://t.co/RPRUw9ukDr</t>
  </si>
  <si>
    <t>RT @JamesleeMiles: @senecatrust @thall82914 @stltoday Who was abused?  The only evidence of anything was that the story changed....."It may…</t>
  </si>
  <si>
    <t>@JamesleeMiles @senecatrust @thall82914 @stltoday Thank you James, I’m so tired of ppl spouting that BS already, they either haven’t taken the time to look at the whole case from the beginning or just plain stupid. There was never any abuse or a victim. 🙄🙄</t>
  </si>
  <si>
    <t>RT @thall82914: @stltoday #disbargardner</t>
  </si>
  <si>
    <t>RT @realdeannalynn: @stltoday Good luck with that! 
Haahaaahaaa!</t>
  </si>
  <si>
    <t>RT @SMBWhitney: @stltoday Doubtful!
Defense lawyer Jim Martin said after dismissal that prosecutors searched every phone, email &amp;amp; cloud sto…</t>
  </si>
  <si>
    <t>RT @JohnBisciJr: @stltoday She should be charged.</t>
  </si>
  <si>
    <t>RT @MarkReardonKMOX: The whole case was a joke...I'm not talking about the behavior of the Governor...I'm talking about the criminal charge…</t>
  </si>
  <si>
    <t>RT @HennessySTL: Now, that crooked Kim Gardner dropped fraudulent charges, it’s time for the people to take down the crooks trying to overt…</t>
  </si>
  <si>
    <t>@STLsherpa What about the victims of violent criminals that she has refused to charge and a multitude of injustices kim Gardner has committed against th e citizens of STL?</t>
  </si>
  <si>
    <t>RT @STLsherpa: You spend taxpayer money to prosecute a governor. You hire experts, investigate and file charges. Then your case gets dismis…</t>
  </si>
  <si>
    <t>@MarkReardonKMOX @LydaKrewson Should have been done along time ago, and don’t think krewson and granny mcCaskill didn’t know how corrupt kim Gardner was and still is.</t>
  </si>
  <si>
    <t>RT @MarkReardonKMOX: .@LydaKrewson should call for Kim Gardner’s resignation tonight. So should every other St. Louis Democrat.</t>
  </si>
  <si>
    <t>RT @MarkReardonKMOX: Wanna bet that sooner rather than later Kim Gardner pulls the race card to respond to the criticism of her gross incom…</t>
  </si>
  <si>
    <t>RT @KMOV: #Breaking the criminal case against Governor Greitens has been dismissed: https://t.co/SCl40IyI74</t>
  </si>
  <si>
    <t>RT @Justin_EAndrews: #BREAKING: The criminal case against Missouri Governor Eric Greitens was suddenly dismissed Monday. @KMOV</t>
  </si>
  <si>
    <t>RT @nytimes: Prosecutors have abruptly dropped a felony invasion-of-privacy charge against Missouri’s governor, Eric Greitens https://t.co/…</t>
  </si>
  <si>
    <t>RT @NeganWins: @EricGreitens Every Republican should learn from President Trump and Governor Greitens. Don't back down to Dems dirty politi…</t>
  </si>
  <si>
    <t>RT @BreitbartNews: “Today the prosecutor has dropped the false charges against me. This is a great victory and it has been a long time comi…</t>
  </si>
  <si>
    <t>@RealSaavedra @for_congress @Cheesecake Those employees are disgusting creatures, who do they think they are? I hope they all got fired immediately!! 😡😡</t>
  </si>
  <si>
    <t>RT @RealSaavedra: EXCLUSIVE: @Cheesecake Factory Employees Attack Black Man For Wearing MAGA Hat
https://t.co/EqRSxYJMgF</t>
  </si>
  <si>
    <t>RT @r_little_finger: Melania, 
We adore, respect, cherish, and admire you @FLOTUS
EVERY RETWEET is from each of us who pray you are safe,…</t>
  </si>
  <si>
    <t>RT @philip_saulter: @for_congress No kidding, what was the actual cost of this baseless political attack?</t>
  </si>
  <si>
    <t>RT @for_congress: GOP golden boy mails it in https://t.co/DDfGcVfuzR via @politico Josh Hawleys veiled attempt to unseat our Governor, not…</t>
  </si>
  <si>
    <t>RT @HotPokerPrinces: HOW TAX CREDITS CONTINUED FOR SO LONG
Follow the Money 💰 
DEVELOPERS 
BANKS
SPECIAL INTERESTS 
LOBBYIST &amp;amp; POLITICAL O…</t>
  </si>
  <si>
    <t>#IndictKimGardner</t>
  </si>
  <si>
    <t>RT @for_congress: @ws_missouri Lies upon lies. The statute of limitations has expired - what new "dreamed up" evidence will they be using t…</t>
  </si>
  <si>
    <t>RT @for_congress: The frivolous case against our Governor has been dismissed - they had no substantive evidence to back up their baseless i…</t>
  </si>
  <si>
    <t>RT @Str8DonLemon: #MoLeg 
Food 4 thought
There would be no special committee if no fake indictment
Think.
U dbags only formed special h…</t>
  </si>
  <si>
    <t>RT @TMikeCurry: The #Democrat don't care about truth in their quest to destroy political opponents. Their definition of justice is "their s…</t>
  </si>
  <si>
    <t>RT @VisioDeiFromLA: @Shox820 @staceynewman First off the charges are fake. Second, Stacey knewman is involved with these fake charges. You…</t>
  </si>
  <si>
    <t>RT @caesar718: @Str8DonLemon @HotPokerPrinces @RealTravisCook @MSTLGA @Hope4Hopeless1 @RetNavy93 @grcfay I think there are a lot of people…</t>
  </si>
  <si>
    <t>RT @sweetatertot2: #Greitens was another victim of a political witch hunt. Democrats no longer believe in the Democratic process, they now…</t>
  </si>
  <si>
    <t>RT @JW1057: @StevenDialTV @41actionnews This is what a persecution (aka witch hunt) looks like. @EricGreitens we are with you through this…</t>
  </si>
  <si>
    <t>RT @mazzyvictor: @FoxNews @POTUS Hey Keith Richards,  maybe we should keep "undesireable" Brits like you OUT of the USA. P.S. Your music is…</t>
  </si>
  <si>
    <t>@guyjohnson2000 @FoxNews @POTUS Ikr</t>
  </si>
  <si>
    <t>RT @guyjohnson2000: @FoxNews @POTUS Besides he's British and has no say</t>
  </si>
  <si>
    <t>@KanakAlex @FoxNews @POTUS None of these buthurt liberals ever have a good answer to that question.</t>
  </si>
  <si>
    <t>RT @KanakAlex: @FoxNews @POTUS Why? What has he done so wrong?</t>
  </si>
  <si>
    <t>RT @achertkov77: @hootfan @AmericanFirstUS @FoxNews @POTUS Butthurt liberal alert...lol.</t>
  </si>
  <si>
    <t>RT @AmericanFirstUS: @FoxNews @POTUS President Trump is the Greatest President in History</t>
  </si>
  <si>
    <t>RT @madmojo1972: @FoxNews @POTUS Yes I always look to 70 year old drugged out rockstars for political advice lol</t>
  </si>
  <si>
    <t>RT @RavenHawk4: I am Raven Hawk's daughter, Summer. My dad was admitted to the hospital today due to an accident while working. He was unco…</t>
  </si>
  <si>
    <t>RT @JustinCaseUSA1: @JDugudichi ✔Black u employment down 
✔ Hispanic unemployment down 
✔ Liberals exposed as being nut jobs 
✔ Neil Gorsuc…</t>
  </si>
  <si>
    <t>RT @Thomas1774Paine: POLL: ‘Blue Wave’ Collapsing, Millennials And Minorities Report Declining Trust In The Democratic Party https://t.co/Z…</t>
  </si>
  <si>
    <t>RT @USAHotLips: Texas Attorney General Ken Paxton announced Monday he will prosecute a Mexican woman charged with stealing an American citi…</t>
  </si>
  <si>
    <t>RT @GreekSTL: The real losers  in the  #GreitensTrial are the people of The City of St. Louis. Think about the hard earned tax dollars just…</t>
  </si>
  <si>
    <t>RT @DragonEnergized: @1Romans58 There they go again, there they go... Shootin’ off their big stupid mouths again. Don’t you have the Devil…</t>
  </si>
  <si>
    <t>RT @jtoufas: @1Romans58 @KatTheHammer1 King has NO CLASS.</t>
  </si>
  <si>
    <t>RT @SteveMeltonGSO: @1Romans58 @rcjhawk86 Who's the woman on the left?  I recognize the first lady but the other woman I have no clue about.</t>
  </si>
  <si>
    <t>RT @MTucker_a2: @1Romans58 @bbusa617 Consider the source...Leftists have no honor and no class.</t>
  </si>
  <si>
    <t>RT @M_Martian_69: @1Romans58 @MsVAA @StephenKing just got on my Sht list lol</t>
  </si>
  <si>
    <t>RT @jim_ossman: @1Romans58 @Dbax1fan Another idiotic comment. A writer, who doesn't know how to speak. The last thing the left needs to do…</t>
  </si>
  <si>
    <t>@1Romans58 @jturnershow What in the heck is going on with stephen kings face?</t>
  </si>
  <si>
    <t>RT @BluesDeacon: @1Romans58 Simple:  FU Stephen King!</t>
  </si>
  <si>
    <t>RT @ROHLL5: @1Romans58 We can just boycott his films.</t>
  </si>
  <si>
    <t>RT @1Romans58: These people have no civility, no class, no moral compass, just disgraceful.  
Stephen King slammed for 'cruel' joke about…</t>
  </si>
  <si>
    <t>RT @GartrellLinda: IN HIS FINAL YEAR IN OFFICE OBAMA Spent Stunning $36.2 MILLION On Lawsuits To Hide Federal Records From Public
This will…</t>
  </si>
  <si>
    <t>RT @DineshDSouza: I paid the price. Now it’s Rosie’s turn https://t.co/VV5zfSYLc9</t>
  </si>
  <si>
    <t>Greitens' lawyer to file police report against Kim Gardner, investigator https://t.co/W5xwbPdaDs</t>
  </si>
  <si>
    <t>RT @Sticknstones4: WHO PAID FOR GREITENS POLITICAL HITJOB ?
📌 SHAM HOUSE COMMITTEE WONT TELL
📌THE MEDIA WONT TELL 
📌PROSECUTOR KIM GARDN…</t>
  </si>
  <si>
    <t>RT @realDonaldTrump: On behalf of the American people, WELCOME HOME! https://t.co/hISaCI95CB</t>
  </si>
  <si>
    <t>RT @TexPatriotGirl: Watching our President meet and greet the three Americans from Korea!  God bless our President.  He makes me so proud.…</t>
  </si>
  <si>
    <t>RT @gr8tjude: Your audacity is unbelievable Chuck!
SCHUMER MELTDOWN: Chuck Schumer SLAMS Trump for Prisoner Release ↘️
https://t.co/a31X5…</t>
  </si>
  <si>
    <t>RT @VisioDeiFromLA: CLEAN MISSOURI IS SCAM
ITS AN ATTACK ON THE PEOPLE OF #MISSOURI
#moleg #mogov 
@SpeakerTimJones https://t.co/eQdKbhb…</t>
  </si>
  <si>
    <t>RT @JW1057: KG concedes the following: No alleged photo. No witness who saw alleged photo. No evidence photo was transmitted to cloud (pres…</t>
  </si>
  <si>
    <t>RT @sigi_hill: Commending our great conservative MO Governor @EricGreitens.
While #Moleg #MoGov sewer is trying hard through nefarious #wit…</t>
  </si>
  <si>
    <t>RT @VisioDeiFromLA: Non citizens SHOULD NOT BE COUNTED, PERIOD. Only citizens.
Also clean Missouri is a giant scam perpetrated on the peop…</t>
  </si>
  <si>
    <t>RT @Pinky81949548: Bethenny told Lu that saying penthouse is pretentious af but Bethenny can brag about her properties, and brand? News fla…</t>
  </si>
  <si>
    <t>RT @SKOLBLUE1: I see my boss in that meeting, well done! @EricGreitens you are doing a wonderful job! Thank you for your hard work and dedi…</t>
  </si>
  <si>
    <t>RT @VisioDeiFromLA: Outsider advice
U screwed a man. Lied about him. Released incomplete report, timed 4 maximum political damage
U all a…</t>
  </si>
  <si>
    <t>RT @Avenge_mypeople: In case you haven't seen the latest article describing how @staceynewman used Kitty Sneed to attempt to bring down Gov…</t>
  </si>
  <si>
    <t>RT @HrrEerren2A: Documents Reveal Billionaire George Soros Spends $100smillions to influence US elections https://t.co/3UfyiNoJqM #RuleofLa…</t>
  </si>
  <si>
    <t>Nothing is going to happen to these assholes as long as Gardner is in office.</t>
  </si>
  <si>
    <t>What a shit show, I’m so disgusted, this crooked piece of 💩 Gardner uad just got so much crooked backing in cesspool st.louis, they’re determined to get him out of politics, i just can’t stand them watch these injustices from such a corrupted city.</t>
  </si>
  <si>
    <t>Jury selection set to begin tomorrow in Gov. Greitens' invasion-of-privacy trial
(Via KMOV News) https://t.co/npItqFnnUn</t>
  </si>
  <si>
    <t>@lisa_elizaxo It’s time to release Erika, this is far beneath her. https://t.co/Vz5eATWkaJ</t>
  </si>
  <si>
    <t>RT @lisa_elizaxo: Live footage of Erika looking for her personality..... 
#RHOBH #RHOBHReunion https://t.co/bPz809AGVt</t>
  </si>
  <si>
    <t>And honestly Erika, you are one of the the most ignorant bitches I have seen in a long time. You want everyone to be honest 🤷🏻‍♀️#RHOBH</t>
  </si>
  <si>
    <t>WANTED: Group of men assault deaf man in Central West End
(Via KMOV News) https://t.co/2poezOh552</t>
  </si>
  <si>
    <t>A St. Louis County woman’s projects are costing you a ton but she doesn’t see it that way.
News 4 investigates at 10:00
(Via KMOV News) https://t.co/XhqV74JzNI</t>
  </si>
  <si>
    <t>RT @msTiffanyLyn: Rinna has a vendetta for LVP. And now Erika is following along. Jealousy is an ugly thing #RHOBH #RHOBHReunion</t>
  </si>
  <si>
    <t>RT @bravopolling: Like for Erika, Retweet for Teddi! Go! 
#RHOBHReunion #RHOBH #BravoTV</t>
  </si>
  <si>
    <t>@1sweet_WI Plain jealousy!!</t>
  </si>
  <si>
    <t>RT @VanderVVtm: Everybody walks on eggshells when  Erika is around. For somebody who claims to give zero Fs, she sure gives a lot. #rhobh #…</t>
  </si>
  <si>
    <t>@Jennifer_delora @lynjes1123 @doritkemsley1 @LisaVanderpump A couple of reasons, some have their own vendetta, against LVP, others don’t want to have to have to deal with the pig and Dorito team again.</t>
  </si>
  <si>
    <t>RT @angela_lauder: Dorit has got to be the phoniest, most aggravating person in this franchise  #RHOBH</t>
  </si>
  <si>
    <t>RT @pistachio_dot: Anyone else think that Erika is Jealous of Teddi? Teddi is naturally gorgeous, has 2 babies, and a husband her age while…</t>
  </si>
  <si>
    <t>@TasteOf_Reality Absof-inglutely!!</t>
  </si>
  <si>
    <t>RT @Pinky81949548: Erika's head is so far up her own ass that if somebody said boo she wld turn herself inside out. #RHOBH</t>
  </si>
  <si>
    <t>RT @VanderVVtm: Erika OWNS Rinna. How pathetic is that? Rinna must lacks self awareness, if she can’t see how viewers see her kissing Erica…</t>
  </si>
  <si>
    <t>RT @ReputationTour: “I guess with the snakes, I wanted to send a message [to] you guys that if someone uses name calling to bully you on so…</t>
  </si>
  <si>
    <t>You just see a chance to chime in and take things out of context because you hate lvp so much, when the  real culprit is dorito all along.</t>
  </si>
  <si>
    <t>2/2 rinna, you really have no idea that dorito,was trying to sabotage LVP nor do you really care. Dorito made a complete ass out of herself and Lisa, total diva bitch that she was just totally put out having to do this. Thank goodness lisa didn’t let her continue, but you</t>
  </si>
  <si>
    <t>RT @deasepicable_me: Is it just me or is Erika’s entire demeanor totally off putting in this reunion? #RHOBH</t>
  </si>
  <si>
    <t>Ok rinna ,this  is where i have a huge problem with you this season, you have so much resentment towards LVp and you know it could be the end of you if you try to go after her on your own, so u jump on any bandwagon against LVP.1of2#RHOB</t>
  </si>
  <si>
    <t>I knew it!! Jax has a real ❤️. I’m so sorry for your loss jax. Sending 🙏🏻🙏🏻for you and your family 🙏🏻🙏🏻.#VanderpumpRules</t>
  </si>
  <si>
    <t>RT @EllaMacavoy: In all my RHOBH and Vanderpump Rules watching, I have NEVER seen anyone insult Lisa this way. It was filthy, disgusting an…</t>
  </si>
  <si>
    <t>@_carrienet_ but are you a true trump supporter?</t>
  </si>
  <si>
    <t>@Ego_Akokwalam I could see it ,</t>
  </si>
  <si>
    <t>@IQShowbiz @stassi Say it isn’t so , did stassi really dump neanderthal patrick?? https://t.co/XDnmTTGEOr</t>
  </si>
  <si>
    <t>RT @genevive77: Arianna has NEVER EVER been funny. She's a comedian, I'm an anthropologist. #vanderpumprules #PumpRules</t>
  </si>
  <si>
    <t>RT @CLINTCrazeAZZ: #Jax needs to get a life woth his old, ugly, messy, immature ass. Dude your 40! Waay too old to be acting like a Highsch…</t>
  </si>
  <si>
    <t>@genevive77 She sure has changed from the beginning.</t>
  </si>
  <si>
    <t>RT @genevive77: Arianna NEVER fails to remind me of what an UTTER TWAT she is. #PumpRules #VanderpumpRules</t>
  </si>
  <si>
    <t>Stassi, patrick is a neanderthal, he’s a nasty little man with a big ego, get rid of him girl, you’re way better than that.#VanderpumpRules</t>
  </si>
  <si>
    <t>RT @MorgansStar: @kristendoute I'm watching #vanderpumprules FUNNIEST thing listening2 #arianaMadix say #RachelObryan has no talent, lmfao!…</t>
  </si>
  <si>
    <t>@rxpatrick Burlison is obviously crooked.</t>
  </si>
  <si>
    <t>RT @PatriciaMario10: Rosie O'Donnell illegally exceeded campaign contribution limits to FIVE different Dem candidates using different addre…</t>
  </si>
  <si>
    <t>RT @chfortrump: @FoxNews @FLOTUS The most beautiful &amp;amp; intelligent Flotus in American History 🇺🇸 #BeBest 🇺🇸 https://t.co/qv8FXZZrzv</t>
  </si>
  <si>
    <t>RT @covfefeartist: Broward Co school &amp;amp; law enforcement officials have admitted Nikolas Cruz was a participant in the Promise Program👉🏻a cor…</t>
  </si>
  <si>
    <t>RT @pjbowles4: #DJTrumplicans
@I_AM_AwakeNow
@JohnCooper0610
@TBruceTrp773
@JuJak23
@MMchiara
@KerfuffleBuff 
@Nadine4MAGA
@jat1019
@KerGiv…</t>
  </si>
  <si>
    <t>RT @DiamondandSilk: Just so you know, we will always have our Presidents back. 
"Don't Get It Twisted!"
(Official White House Photo by She…</t>
  </si>
  <si>
    <t>This is a rumor I heard, but was wondering if anyone knew more about it? McCaskill supposedly getting kim Gardner on video accepting a $20. 000 bribe. That’s all I heard.</t>
  </si>
  <si>
    <t>RT @Sticknstones4: Ask @PresReed @LydaKrewson 
Don’t depend on the media
How much taxpayer monies are being used by Kim Gardner for #Grei…</t>
  </si>
  <si>
    <t>RT @CkpPelker: https://t.co/0E4y7PIyZg. The left tried to ruin him but he’s back, bigger &amp;amp; better!  Check this out if you’re into common se…</t>
  </si>
  <si>
    <t>RT @TomJEstes: I came across this today. Is this a thing? Is Scott hiding from a subpoena?? #moleg https://t.co/bJD6lj7Ofs</t>
  </si>
  <si>
    <t>@Sticknstones4 @MarthaEW People that say they are trying to find solutions to make St. Louis not such a cesspool, should start with getting kim Gardner out if any st.louis office, period. Nothing will change as along as she’s got a hand in it.</t>
  </si>
  <si>
    <t>@Sticknstones4 @MarthaEW CROOKED, kim Gardner is as CROOKED as the day is long.</t>
  </si>
  <si>
    <t>RT @Sticknstones4: #KimShady is really Shady and this one Has nothing to do with Eric Greitens
We saw the carnage of Stockley, We’re livin…</t>
  </si>
  <si>
    <t>RT @MarthaEW: LOL  love this MEME!!! https://t.co/tKVtv7hvOR</t>
  </si>
  <si>
    <t>@NRATV @MarthaEW @DiamondandSilk Omg, i love these ladies.</t>
  </si>
  <si>
    <t>RT @NRATV: “We have the right to bear arms in this country. And for those that’s having a problem with it…No. We don’t need to rewrite the…</t>
  </si>
  <si>
    <t>RT @Sticknstones4: Mo’ Money Mo’Money Mo’Money 
Wow now we know Scott Faughn made 2 bag drops to 
Al watkinns
Oh #FindFaughn explain that…</t>
  </si>
  <si>
    <t>RT @jrosenbaum: Judge Burlison says he will decide on whether to rule from the bench as opposed to letting jury decide on case after voir d…</t>
  </si>
  <si>
    <t>RT @jrosenbaum: But Robert Dierker, when asked by Judge Burlison, says prosecution does not have photo or copy of photo. That’s important b…</t>
  </si>
  <si>
    <t>RT @Sticknstones4: At the end of the day 
There is still No Photo or copy of any Photo 
When the judge asks the Prosecution 
No Picture…</t>
  </si>
  <si>
    <t>RT @emkfc: Congrats @jallman971 on a FABULOUS first #RadioFreeAllman show 🍾🎈. You are on to bigger &amp;amp; better things 👏🏻 #istandwithjamieallma…</t>
  </si>
  <si>
    <t>RT @kendylei: https://t.co/VHjz2g3wKC</t>
  </si>
  <si>
    <t>https://t.co/VHjz2g3wKC</t>
  </si>
  <si>
    <t>@mopns Every time I see this smug face, I keep waiting to see bars over her face. It’s coming.</t>
  </si>
  <si>
    <t>@Sticknstones4 @blackwidow07 @mopns Who’s getting hacked?</t>
  </si>
  <si>
    <t>@blackwidow07 @mopns @Sticknstones4 What does that mean? Sorry, I’m in the dark. Trying to understand?</t>
  </si>
  <si>
    <t>RT @mopns: Rep. Curtman Files Bar Complaint Against St. Louis Circuit Attorney https://t.co/JOg6JOzA1G</t>
  </si>
  <si>
    <t>RT @mopns: Audio: Rep. Curtman Complaint Against Kim Gardner https://t.co/8VptNHbOJv</t>
  </si>
  <si>
    <t>RT @mopns: EXCLUSIVE: Whistleblower Claims STL Circuit Attorney Under FBI Investigation https://t.co/06Db0hHYZS</t>
  </si>
  <si>
    <t>RT @mopns: Greitens Mistress Testifies She Never Saw Camera or Phone; May Have “Dreamed it” https://t.co/H5E3Siscvb</t>
  </si>
  <si>
    <t>RT @mopns: STL Circuit Attorney Claims Greitens Mistress Taped Testimony Lost Due to “Malfunction” https://t.co/pKcqgFYbCK</t>
  </si>
  <si>
    <t>RT @mopns: Should Mo. Attorney General Josh Hawley investigate STL Circuit Attorney Kim Gardner for malicious prosecution of Governor Greit…</t>
  </si>
  <si>
    <t>https://t.co/QKDKrxoETe</t>
  </si>
  <si>
    <t>https://t.co/8LvwV0er73</t>
  </si>
  <si>
    <t>What I don’t understand is how has kim Gardner been getting away with so much blatant corruption under the noses of all these public officials? I hold them responsible for allowing this horrible abuse of authority and power.</t>
  </si>
  <si>
    <t>https://t.co/YzGUSFyQoi</t>
  </si>
  <si>
    <t>https://t.co/u5NQXjuCYJ</t>
  </si>
  <si>
    <t>RT @LoriinUtah: "We love our country, and we believe our Government owes us the same concern. We are putting the people first." ~ Donald J.…</t>
  </si>
  <si>
    <t>RT @ThomasSowell: “Civil rights used to be about treating everyone the same. But today some people are so used to special treatment that eq…</t>
  </si>
  <si>
    <t>RT @FiveRights: John Kerry is working behind the scenes with Iran against USA.
Obama was working behind the scenes with Hezbollah against U…</t>
  </si>
  <si>
    <t>RT @TheJordanRachel: BREAKING: John Kerry has secretly met multiple times with a top-ranking Iranian official to save the Iran deal and "ap…</t>
  </si>
  <si>
    <t>RT @GemMar333: #FridayMotivation ....She is a "PORN Star" ...what Character is she trying to defend?? https://t.co/hiDwZyAGnf</t>
  </si>
  <si>
    <t>RT @brenda_lummus: A special shout-out to Joshua
My 15 yr old who I'm proud of
He's off to Austin, State UIL
Won't with me you wish him wel…</t>
  </si>
  <si>
    <t>RT @gr8tjude: 💥WATCH: Sarah Sanders Puts Adam Schiff In His Place During Press Breifing ↘️
Daily Wire https://t.co/hVqWWOOKEQ</t>
  </si>
  <si>
    <t>RT @joyshewbrooks: What’s up with Erica rolling her eyes when Lisa Vanderpump talks about Dorit’s photo shoot!! So ridiculous!! I officiall…</t>
  </si>
  <si>
    <t>@BougieHousewife Who’s pecan?</t>
  </si>
  <si>
    <t>@sandiego_kat 🤣🤣 ok, who’s pecan?</t>
  </si>
  <si>
    <t>RT @linseyfischer24: For someone with an alter ego, erika sure has zero personality. It's like watching a robot with an occasional temper.…</t>
  </si>
  <si>
    <t>RT @katgirl437: #RHOBH  I feel like people are ganging up on Teddi, who is so level headed</t>
  </si>
  <si>
    <t>@cooperjackson No doubt, what petty boring women these women are.</t>
  </si>
  <si>
    <t>@mariokiki Other ppl like real stars that earn a living, not just a hobby that a sugar daddy pays for his bored rich wife.</t>
  </si>
  <si>
    <t>RT @mariokiki: Erika “only” spends $40,000 a month on glam &amp;amp; warbdrobe, guys - other people spend $90,000 or $100,000. I’m glad she’s down…</t>
  </si>
  <si>
    <t>RT @Mingmingcherry: When you blow all your allowance at Claire’s. #RHOBH https://t.co/RJB51FOe6v</t>
  </si>
  <si>
    <t>@housewifegifs @TheRealCamilleG Thank goodness for a thinking mind, and not just a yes man.🙄🙄</t>
  </si>
  <si>
    <t>RT @housewifegifs: The viewers, like @TheRealCamilleG, aren't buying these excuses! #RHOBH https://t.co/QJsnSl46tC</t>
  </si>
  <si>
    <t>I just figured out rinna’s interest in this show, because she’s not as invested as before, she makes some $ for her family while doing her other hustle and she is only interested in getting revenge towards LVP. She will side with the devil to get at LVP#rhobh</t>
  </si>
  <si>
    <t>RT @Thomas1774Paine: Roseanne Barr Blasts ‘Asshole’ Michelle Wolf: ‘Comedy Comes From Love, Not From Hate’ https://t.co/U1caO1p7bB</t>
  </si>
  <si>
    <t>RT @1Romans58: #Robbiesway  Lets get Robbie to go Viral!  Rest in peace, you are with the Lord now. https://t.co/07yEr5lkzP</t>
  </si>
  <si>
    <t>@RightSideUp313 @Str8DonLemon @MOHouseGOP @EricGreitens @paulcurtman @MissouriGOP Thanks, I’ve seriously had to take some breaks, because I get so infuriated.</t>
  </si>
  <si>
    <t>RT @RightSideUp313: @kendylei @Str8DonLemon @MOHouseGOP @EricGreitens @paulcurtman @MissouriGOP Rex Burlison is the judge on EG’s case, but…</t>
  </si>
  <si>
    <t>RT @Cattrayeal3: @Pinky81949548 @kendylei She said Walmart! LOL I'm done LOL https://t.co/D3PBigQYCp</t>
  </si>
  <si>
    <t>It’s pissing me off, dorito and Erika do what they damn well please,  have the worst behavior ever, treats everyone like 💩. Andy is just ok with it. #RHOBH</t>
  </si>
  <si>
    <t>What kind of flim flam show is andy running? He never holds the real culprits accountablefor anything, they tell him what’s up and he’s like ok. This is Sesame Street we’re watching.#RHOBH</t>
  </si>
  <si>
    <t>Erica and dorito are soooooooooo full of 💩, and it’s so ridiculous because andy is never going to make them accountable for their behavior. #RHOBH</t>
  </si>
  <si>
    <t>RT @Pinky81949548: Rinna daughters are cute but maybe for walmart, jc penny magazine not high profile status. #RHOBH</t>
  </si>
  <si>
    <t>@phanofphillies Is that not the damn truth, what is his problem?  He needs to do his job, or get someone in there that will. He picks and chooses who he is going to take it easy on.</t>
  </si>
  <si>
    <t>RT @phanofphillies: Andy grow a set and start calling dorit out.  You don’t hesitate to call the Atlanta housewives out!!   #RHOBH</t>
  </si>
  <si>
    <t>@sippin_tea Penis</t>
  </si>
  <si>
    <t>I love the connection between giselle and candice.#rhop</t>
  </si>
  <si>
    <t>RT @lyssa8_7: Ashley should just drop it. Robyn is comfortable in her situation 🤷🏽‍♀️ Leave her alone #RHOP</t>
  </si>
  <si>
    <t>@iammrssamuels 🙄🙄</t>
  </si>
  <si>
    <t>@iammrssamuels You can’t handle what you got</t>
  </si>
  <si>
    <t>RT @mariaj81: Candace we know your fiance is white. You don't need to make a public announcement every episode with every person you meet #…</t>
  </si>
  <si>
    <t>Robyn, kick that little 💩ass.#rhop</t>
  </si>
  <si>
    <t>RT @Pinky81949548: Candiace is confused what show she's on. She's playing up to hard for the cam like she's trying out for clueless prt2. G…</t>
  </si>
  <si>
    <t>RT @Sweetsie_McGee: @kendylei @Maureen6126 @Zzzzznoname Contract. I wonder if she’s coming back next year. I could see her demanding an out…</t>
  </si>
  <si>
    <t>You couldn’t handle another kid, unless you have a hand full of nannies 🙄🙄. Monique #rhop</t>
  </si>
  <si>
    <t>@iammrssamuels You’re not only shady, you’re like a loud chihuahua.irritating as 💩.</t>
  </si>
  <si>
    <t>RT @prettygirlbrh: To me  Monique is very immature and thinks she is better than everyone while she spends up all her husband’s money #RHOP</t>
  </si>
  <si>
    <t>@mzneisha0005 Makes perfect sense.</t>
  </si>
  <si>
    <t>RT @mzneisha0005: Is Ashley obsessed with Robyn and Juan's situation because she hasn't been able to successfully talk her mother out of le…</t>
  </si>
  <si>
    <t>@_DashaRaesheen Love southern charm way better than atlanta and potomac!!</t>
  </si>
  <si>
    <t>RT @KARENHUGER: You got to lock a a batch down when you  gotta lock a batch down!  #RHOP  Wig Felicia got her life!!! https://t.co/j8KLnFFo…</t>
  </si>
  <si>
    <t>RT @BeyStare: I don’t know Monique’s past but the way she “thirstily” discusses her material possessions makes it seem like she came from t…</t>
  </si>
  <si>
    <t>@RantRaveRandom And the biggest shocker to her must be not every person That raises kids get nannies.</t>
  </si>
  <si>
    <t>RT @RantRaveRandom: Monique better hope her husband never leaves her. Doesn’t seem like she realizes that there are people who work actual…</t>
  </si>
  <si>
    <t>Unless you live in a glass house Ashley, stop throwing rocks at robyns house.#rhop https://t.co/99qj0zF1KC</t>
  </si>
  <si>
    <t>@LostEinstein If Ashley would worry more about this and not robyn, she might straighten her life out.</t>
  </si>
  <si>
    <t>RT @Miss_Jasine: She’s not upset at causing issues in her daughter’s marriage. She upset at the thought of Ashley cutting her off financial…</t>
  </si>
  <si>
    <t>RT @keiafar: Im sorry...you can say what you want but Ashley's mom is manipulative...she gives a sob story and crocodile tears and she know…</t>
  </si>
  <si>
    <t>@Nique1922 But their ok with that. So why should anyone else care so much?</t>
  </si>
  <si>
    <t>Why does Ashley have such a hard on for robin when it has absolutely nothing to do with her? Is this her only way to have a storyline?#rhop</t>
  </si>
  <si>
    <t>RT @magathemaga1: They are lying Lauren. And you are praying on dumb people to actually believe this. If you actually read both, INCONSISTE…</t>
  </si>
  <si>
    <t>RT @christoferguson: Scott Faughn publisher of Missouri Times is source of mysterious $50k payment in Greitens case. 2nd payment origin sti…</t>
  </si>
  <si>
    <t>RT @Str8DonLemon: Question #MoLeg
If @scottfaughn was getting paid, what other journalists were getting paid???
Any at all?
Fair questio…</t>
  </si>
  <si>
    <t>@Str8DonLemon @MOHouseGOP @EricGreitens @paulcurtman @MissouriGOP Is it rexburlison, the judge,?</t>
  </si>
  <si>
    <t>RT @st_vockrodt: NEW: Al Watkins testified in a deposition that he received $50,000 from Missouri Times publisher Scott Faughn. "Faughn has…</t>
  </si>
  <si>
    <t>RT @Str8DonLemon: So @scottfaughn paid #MoneyBagsAl 50k to concoct this scheme... or was he just the message boy?
To all schemers out ther…</t>
  </si>
  <si>
    <t>RT @VisioDeiFromLA: Isn’t it convenient the media and the corrupt @MOHouseGOP they timed the release of the addendum to coincide with the b…</t>
  </si>
  <si>
    <t>RT @JW1057: @jaybarnes5 "As a result, the Committee will no longer provide such deference to [EG] cherry-picked evidence."
Barnes then adm…</t>
  </si>
  <si>
    <t>RT @rxpatrick: Scott Faughn, owner of the Missouri Times, gave $50k cash to the lawyer for the ex-husband of the accuser of MO Gov. Eric Gr…</t>
  </si>
  <si>
    <t>RT @Avenge_mypeople: Just to put this whole #Greitens  affair in perspective: Scott Faughn, owner of Missouri Times gave at least $50,000 t…</t>
  </si>
  <si>
    <t>Monique is so loud and so irritating, everytime she appears, I prepare my ears to take a beating.#rhop https://t.co/AIwbdhJHuz</t>
  </si>
  <si>
    <t>RT @StaceyW53702934: @MarkinNewson @Thomas1774Paine @AlecBaldwin LOVE IT !! They are getting tired of LOSING!!!🤣🇺🇸🇺🇸👉🏽#MAGA https://t.co/qB…</t>
  </si>
  <si>
    <t>RT @RichardTBurnett: @drt7319 @Thomas1774Paine 👍🏻😎</t>
  </si>
  <si>
    <t>RT @Thomas1774Paine: Alec Baldwin: Trump White House Full of ‘Whores’ and ‘Thieves’ https://t.co/Kyd5so6FZL</t>
  </si>
  <si>
    <t>Golden State Killer was driven by hatred of ex-fiancée: investigator https://t.co/PH6WI4Hnyu via @nypost</t>
  </si>
  <si>
    <t>RT @gabbyandizzy: @dorit_kemsley you are so jealous of Teddy that I hurt for you! @RHOGossip @bravotvobsessed @TeddiMellencamp</t>
  </si>
  <si>
    <t>RT @juleeko: Dorit Kemsley is a classic narcissist  🤥🤯🤬 #rhbh #Dorit
https://t.co/ZSN9sf5D35</t>
  </si>
  <si>
    <t>@CharlottaX @Bravotv @doritkemsley1 This is not a nice person, she’s shallow, superficial, gold digger who will lie, cheat and fake her way to get what she wants.</t>
  </si>
  <si>
    <t>RT @internetbrady: LOL DORIT KEMSLEY IS SUCH AN UNBEARABLE PERSON.</t>
  </si>
  <si>
    <t>@RHOGossip Just send that irritating twit packing already 🙄🙄🙄.</t>
  </si>
  <si>
    <t>RT @shoman1012: Hearing @doritkemsley talk makes me cringe! #RHOBHReunion</t>
  </si>
  <si>
    <t>RT @Suelmarzec: If Dorit Kemsley is still on next season, I’m not watching. Who’s with me?  #RHOBH</t>
  </si>
  <si>
    <t>RT @VisioDeiFromLA: Hey @Dogan4Rep 
In this video you claim that the idea that the #greitensindictment is a partisan witch hunt is crazy.…</t>
  </si>
  <si>
    <t>RT @Sticknstones4: Why ? @Rep_TRichardson forcing this ?
Especially after Tisaby the liar  took the 5th. 
 Why not allow #greitens  due…</t>
  </si>
  <si>
    <t>RT @Sticknstones4: All that money wasted in hiring Tisaby an outside investigator , that lies &amp;amp; takes the 5th.  This is a disgrace to our j…</t>
  </si>
  <si>
    <t>RT @magathemaga1: My friends &amp;amp; my enemies
We may disagree on #Greitens but agree #Missouri a red state &amp;amp; must remain so
Clean Missouri is…</t>
  </si>
  <si>
    <t>RT @Sticknstones4: @MOHouseGOP   Too bad you let your colleague run a wonderful, hardworking, conservative man @jallman971 off the airways.…</t>
  </si>
  <si>
    <t>RT @magathemaga1: ⚠️ BREAKING ⚠️
Sketch released of person who convinced PS to go to KMOV with made up story about #Greitens &amp;amp; KS
Since #…</t>
  </si>
  <si>
    <t>RT @TuckerCarlson: The big digital monopolies demand that we conform to their worldview and shut us down when we dissent. They have too muc…</t>
  </si>
  <si>
    <t>RT @polishprincessh: Why this bar owner can choose who he wants to do business with, but the baker couldn't?
Talk about true legalized disc…</t>
  </si>
  <si>
    <t>RT @VisioDeiFromLA: A prophet. Trump on North Korea in 1999
#Maga #Korea #RedWave2018 #Missouri #StLouis #Kcmo #stl #trump #MeetThePress #…</t>
  </si>
  <si>
    <t>RT @realDonaldTrump: Please do not forget the great help that my good friend, President Xi of China, has given to the United States, partic…</t>
  </si>
  <si>
    <t>RT @OzarkEdge: #donnybrookstl
The prosecution of Gov. Greitens is not over until prosecuting attorney, Kim Gardner, lawyers up.</t>
  </si>
  <si>
    <t>RT @VisioDeiFromLA: Hug your president.
The media will never show this side of @realDonaldTrump 
@parscale @DanScavino @DonaldJTrumpJr @E…</t>
  </si>
  <si>
    <t>RT @Lrihendry: I’m hearing Mueller has been involved in some unsavory practices in the past. Just wanted to get that out there.</t>
  </si>
  <si>
    <t>RT @MasonBilly87: CNN producer, caught on camera: Russia-Trump ‘mostly bulls—’ https://t.co/wOn0dOIfiG</t>
  </si>
  <si>
    <t>Missouri Governor Eric Greitens Gave a Speech. At a Prayer Breakfast. For Police. https://t.co/SbFH7uRZN2</t>
  </si>
  <si>
    <t>@missyy888 Nothings worse than erika’s attitude.</t>
  </si>
  <si>
    <t>@MzFanta I wish she would get the f- off the couch and not come back.</t>
  </si>
  <si>
    <t>@katgirl437 I think it’s her true self coming out.</t>
  </si>
  <si>
    <t>@MsFF @NeedMeBalls @Zzzzznoname  https://t.co/3NB5JiBVXM</t>
  </si>
  <si>
    <t>@NeedMeBalls @MsFF @Zzzzznoname So true, she acts like the show and everything going on is so beneath her she oozes contempt and loathing, please andy put this woman out of her misery and ours too!</t>
  </si>
  <si>
    <t>@CarrieSue88 @Zzzzznoname It’s a fake ponytail</t>
  </si>
  <si>
    <t>@BradshawGlam @Zzzzznoname  https://t.co/r6uTnv51Ze</t>
  </si>
  <si>
    <t>@tisasituation @Zzzzznoname Right, she was just able to clean it up and hide it , the first two seasons.</t>
  </si>
  <si>
    <t>@Maureen6126 @Zzzzznoname And if this is such a bother to her, why be on the show if it’s so beneath you.</t>
  </si>
  <si>
    <t>@connie19jean @Zzzzznoname Exactly, joe gorga tried to buy Melissa a career, but he ran out of money, Tom has plenty of  💵 .</t>
  </si>
  <si>
    <t>@Zzzzznoname Is that really her? 🤔, I guess you really can’t be a believable popstar at 50. https://t.co/oRyvR9MMXS</t>
  </si>
  <si>
    <t>@IsaLeeWolf No one would even know who she was if her last name wasn’t McCain. https://t.co/B1C5GI0GTD</t>
  </si>
  <si>
    <t>@salynnesanae @gossipgirlie22 @TheRealCamilleG @TeddiMellencamp That’s the real Dorito.</t>
  </si>
  <si>
    <t>@1RobKlint @gossipgirlie22 @TheRealCamilleG @TeddiMellencamp Dorito invented fake though.</t>
  </si>
  <si>
    <t>@JasmineLoading @gossipgirlie22 @TheRealCamilleG @TeddiMellencamp Teddy genuinely tried to get along with her.</t>
  </si>
  <si>
    <t>@gossipgirlie22 @TheRealCamilleG @TeddiMellencamp Dorito is a mean, petty, fake , jealous person.</t>
  </si>
  <si>
    <t>Dorito and erika are so rude and disgusting to Teddy. You can see the jealousy oozing out of them.#RHOBH</t>
  </si>
  <si>
    <t>Dorito sounds so funny when she speaks, she has no clue how ridiculous she sounds.#RHOBH</t>
  </si>
  <si>
    <t>RT @RealityFixens: Erika really thinks she is the hottest shit sitting in the third spot on that couch .....😒🙄 #RHOBH</t>
  </si>
  <si>
    <t>RT @PamBennett99: #RHOBH reunion stylist https://t.co/OtByMMIdK0</t>
  </si>
  <si>
    <t>RT @katgirl437: #RHOBH I don’t like Erika’s condescending and snobby attitude this season, she’s acting like she’s above it all</t>
  </si>
  <si>
    <t>RT @bravopolling: Like for Dorit, Retweet for Kyle! Go!
#RHOBHReunion #RHOBH #BravoTV</t>
  </si>
  <si>
    <t>RT @NeedMeBalls: @MsFF @Zzzzznoname I don’t get why she’s on the show🙈</t>
  </si>
  <si>
    <t>RT @connie19jean: @Zzzzznoname It's career illusion! It was bought not earned. I'm not saying she isn't talented... 
But, when you spend th…</t>
  </si>
  <si>
    <t>RT @annsaidwhat: @Zzzzznoname You know who gets old?? Oh yeah, ALL OF US.   It's hard to be perfect/barbie, when you're actually moving.</t>
  </si>
  <si>
    <t>RT @Zzzzznoname: So, what's up with EJ's shit attitude? Is she figuratively and literally too big for her britches? #RHOBH  #RHOBHReunion h…</t>
  </si>
  <si>
    <t>RT @kate_mccrea: Please please please can we replace Erika with someone who actually has a personality?  #RHOBH</t>
  </si>
  <si>
    <t>RT @music_fest_life: Dorit is the Kim Zolciak of Beverly Hills. Constantly stirs the pot but acts surprised when things blow up in her face…</t>
  </si>
  <si>
    <t>RT @kate_mccrea: If someone shouldn’t be hired because of a famous last name, Megan McCain wouldn’t have a job.  #RHOBH</t>
  </si>
  <si>
    <t>RT @mattymonsterz: The fact that Tom hasn't even read Erika's book yet just shows their "relationship" is a total sham and a complete JOKE!…</t>
  </si>
  <si>
    <t>RT @badgaliris78: Erica's Tagline for Next season!! #RHOBH https://t.co/mGX9h7vaZQ</t>
  </si>
  <si>
    <t>RT @kate_mccrea: RT if you’re tired of Dorit saying she doesn’t remember saying something #RHOBH https://t.co/slw3t2OynA</t>
  </si>
  <si>
    <t>RT @pdubsuw: Erika said no to collaborating with John Mellencamp? #RHOBH https://t.co/gcH3kdaB1U</t>
  </si>
  <si>
    <t>RT @IWillRedPillU: DACA Was Never Law - But a Federal  Judge Just Called Trump's Expiration ‘Unlawful’ to Restore It
#NoDACA #NoAmnesty
#DA…</t>
  </si>
  <si>
    <t>RT @wisearse: Girl, please. Erika you have about 3 minutes left of your 15. Use them wisely! #RHOBH #RHOBHReunion https://t.co/lKQ675se1w</t>
  </si>
  <si>
    <t>RT @cathyinvegas: @gossipgirlie22 @TheRealCamilleG @TeddiMellencamp She needs to go....fire Dorit please!!!!!</t>
  </si>
  <si>
    <t>RT @CarolWa54555565: @RealityJunkie_ @gossipgirlie22 @TheRealCamilleG @TeddiMellencamp I Agree, Bring Back A Real Lady- CamilleG and intere…</t>
  </si>
  <si>
    <t>RT @RealityJunkie_: @gossipgirlie22 @TheRealCamilleG @TeddiMellencamp #RHOBH This is how Dorit rolls... What a evil manipulating lady! But…</t>
  </si>
  <si>
    <t>RT @gossipgirlie22: I didn’t like the fact that Dorit names a swim suit after everyone but @TheRealCamilleG  and @TeddiMellencamp. What a v…</t>
  </si>
  <si>
    <t>Kyle is being nice saying dorito exaggerates, because she’s actually a big fat liar 🤥.#RHOBH</t>
  </si>
  <si>
    <t>@Markknight45 @Sticknstones4 @EricGreitens @CNN @ksdk That’s because they are cnn and ktvi, fake news!</t>
  </si>
  <si>
    <t>RT @DBHnBuckhead2: @KryptoniteDragn @MrsParkington @sunny_granny @SpeakNoEvil85 @Politicallyin18 @jacketch1 @CantedQuips @Sherryrealtime @D…</t>
  </si>
  <si>
    <t>RT @LoriNeedham2: @KryptoniteDragn @MrsParkington @sunny_granny @SpeakNoEvil85 @Politicallyin18 @jacketch1 @CantedQuips @Sherryrealtime @De…</t>
  </si>
  <si>
    <t>Just please don’t bring dorito back, I don’t know how much more i can take of that fake accent and fake everything else 🙄🙄.#RHOBH</t>
  </si>
  <si>
    <t>@TaylorMoe Erika is making it that way.</t>
  </si>
  <si>
    <t>RT @realHWBravo: This woman is an unhappy, rude, and hateful human being. She should NOT be back for season 9. #RHOBHReunion #RHOBH 💎 https…</t>
  </si>
  <si>
    <t>@LoveAndyC We didn’t see this ugly person the first 2 seasons.</t>
  </si>
  <si>
    <t>@LoveAndyC Is she trying to be the new bitch on the show, or is that just really her?</t>
  </si>
  <si>
    <t>RT @LoveAndyC: Ugh, Erika can’t even take a friggen joke. Andy threw out a collaboration with John Mellencamp as a fun comment. The woman h…</t>
  </si>
  <si>
    <t>We all knowjax is a loser, but the toms are worthless sacks,  they drop everything to run to jax. They are in their 30’s , are you kidding me? 🙄🙄#VanderpumpRules</t>
  </si>
  <si>
    <t>RT @gayphoneop: You are so fucking pompous @TomSandoval1  No one gives a shit about your progress party.. SO LAME  #vanderpumprules  GET TH…</t>
  </si>
  <si>
    <t>RT @adru_6: Let’s be real, Tom and Tom are the real love story of this show #vanderpumprules https://t.co/0RabeVITon</t>
  </si>
  <si>
    <t>Michael Brown's mother considering run for Ferguson City Council https://t.co/6zfXyrPwCJ</t>
  </si>
  <si>
    <t>RT @Hope4Hopeless1: @ChrisDavisMMJ https://t.co/RHWHMjOkci</t>
  </si>
  <si>
    <t>RT @ChrisDavisMMJ: Watkins told the judge, he will be filing a "motion to quash" the subpoena tomorrow in court.</t>
  </si>
  <si>
    <t>RT @ChrisDavisMMJ: The Defense also stated today in court, they hear from a reliable source, that Attorney Al Watkins received $100,000 fro…</t>
  </si>
  <si>
    <t>RT @ChrisDavisMMJ: ALSO BREAKING: Judge rules that Al Watkins MAY NOT represent William Tisaby, citing a conflict of interest that he also…</t>
  </si>
  <si>
    <t>RT @ChrisDavisMMJ: BREAKING: Eric Greitens’ alleged mistress, along with her ex-husband, have been ordered by the judge to have their phone…</t>
  </si>
  <si>
    <t>RT @VisioDeiFromLA: After hearing, Al Watkins said 2 anonymous $50k cash payments arrived at his Clayton firm by courier in January w/ no i…</t>
  </si>
  <si>
    <t>RT @JW1057: Who is paying Katrina "Kitty" Sneed's attorney, Scott Simpson?
#moleg #mogov #greitens #KimShady #IStandWithGreitens</t>
  </si>
  <si>
    <t>RT @realDonaldTrump: Here’s a great stat - since January 2017, the number of people forced to use food stamps is down 1.9 million. The Amer…</t>
  </si>
  <si>
    <t>RT @Avenge_mypeople: "A #moleg investigation found credible." Ha ha ha. No cross examination, one sided and began trying to find ways to fi…</t>
  </si>
  <si>
    <t>RT @VisioDeiFromLA: At 2pm hearing, Greitens' lawyer Jim Martin said Al Watkins, who is representing the ex of the woman with whom Greitens…</t>
  </si>
  <si>
    <t>RT @KCNewsGuy: Attorney claims to have received mysterious $100k cash payment before @EricGreitens story broke &amp;gt;&amp;gt; 
 https://t.co/k4ZKII4Kue…</t>
  </si>
  <si>
    <t>RT @Hope4Hopeless1: Great! Gov @EricGreitens LEGAL TEAM are being allowed the opportunity to FOLLOW SOME OF $$$ that's going to these two F…</t>
  </si>
  <si>
    <t>RT @beltcounter: @ThePettyMess_ Listening to his father talk to him on the phone about women and if you can’t have sex with them   Etc... h…</t>
  </si>
  <si>
    <t>RT @itsnotny: @ThePettyMess_ Trashley?? &amp;lt;THUD&amp;gt; 😂</t>
  </si>
  <si>
    <t>RT @leeZurlee: @ThePettyMess_ Landon #2 🤷🏻‍♀️🤦🏻‍♀️</t>
  </si>
  <si>
    <t>@neunooga @ThePettyMess_ Me too</t>
  </si>
  <si>
    <t>@stephaniepiano @ThePettyMess_ Think it’s the morning after pill for when you have unprotected sex.</t>
  </si>
  <si>
    <t>@nitterb7 @ThePettyMess_ Trav is an idiot</t>
  </si>
  <si>
    <t>RT @nitterb7: @ThePettyMess_ Yup! But she should be careful!!  Didn’t work for Kathryn and won’t work for her...TRAV does not care</t>
  </si>
  <si>
    <t>RT @ThePettyMess_: I mean Trashley is already tracking her ovulation schedule. There is no Plan B, there’s only Plan A and that is to get k…</t>
  </si>
  <si>
    <t>RT @girlsleuth: "I don't want to be a single parent."
Yeah Ashley, well I'm pretty sure Kathryn didn't WANT to be a single parent either bu…</t>
  </si>
  <si>
    <t>I see nothing has changed with wicked patricia of the south.#southerncharm https://t.co/fDpY5pJ7Wa</t>
  </si>
  <si>
    <t>Ashley what’s her name is no t very subtle.#southerncharm</t>
  </si>
  <si>
    <t>RT @malmcmac: Regardless of what anyone thinks about her personality, my heart breaks for Katherine over how cruelly TRav took and kept tho…</t>
  </si>
  <si>
    <t>https://t.co/Sp2OSaXP25</t>
  </si>
  <si>
    <t>@Markknight45 @Sticknstones4 @EricGreitens @CNN @ksdk No.1 rule- NEVER believe Anything that CNN reports.</t>
  </si>
  <si>
    <t>@Sticknstones4 @EricGreitens I know the judge rex burlison is liberal, I wonder if there has been any mis conduct wit him? Stevie wonder could see the actions from corrupt kim Gardner are shady.</t>
  </si>
  <si>
    <t>I’m calling for the  disbarment of prosocuting attorney kim Gardner who is as corrupt as the day is long!#greitens</t>
  </si>
  <si>
    <t>@cecemimi17 More bull shit charges from a corrupt prosecuting attorney kim Gardner.</t>
  </si>
  <si>
    <t>https://t.co/n7v2oH1rGa</t>
  </si>
  <si>
    <t>@_SierraWhiskee @polishprincessh You got that right!</t>
  </si>
  <si>
    <t>RT @_SierraWhiskee: @polishprincessh  https://t.co/qdUkpXL7Pr</t>
  </si>
  <si>
    <t>RT @Commodog11: @polishprincessh Obama is out of office, but he was NEVER really relevant.</t>
  </si>
  <si>
    <t>RT @AliciaTolbert: @polishprincessh  https://t.co/E7f3nqCzNe</t>
  </si>
  <si>
    <t>RT @polishprincessh: Obama really is having a hard time handling the fact that he is out of office &amp;amp; no longer relevant. Doesn't realize ho…</t>
  </si>
  <si>
    <t>RT @VisioDeiFromLA: Jane thinks #Missouri and #MoLeg is dumb
BS charges about woman who clearly had consensual fling with @EricGreitens &amp;amp;…</t>
  </si>
  <si>
    <t>RT @Sticknstones4: Why he do that?   Who does it really hurt ?
The people of Missouri 
Missouri Your elected #moleg spites it’s voters in…</t>
  </si>
  <si>
    <t>@VisioDeiFromLA @EricGreitens This is exactly what we knew kim Gardner would do, distact, by claiming other  BS  charges to take the heat off of her corruption in the first place. Basically baffle them with bull shit!!!</t>
  </si>
  <si>
    <t>RT @VisioDeiFromLA: See your up early this Sunday for your Greitens bashing
Curious. How can U steal a public list? And how would TMC not…</t>
  </si>
  <si>
    <t>Mike Pompeo is a great pick for Secretary of State. @clairecmc, as your constituent I urge you: #ConfirmPompeo!! https://t.co/7YYiWdkpgP</t>
  </si>
  <si>
    <t>@Markknight45 @Sticknstones4 @EricGreitens @CNN @ksdk Cnn,  really?? There not real.</t>
  </si>
  <si>
    <t>RT @Hajh: ‘#Missouri Gov. #Greitens initiated unwanted #sex acts
"This is a political witch hunt," Greitens, 44, claimed before the report…</t>
  </si>
  <si>
    <t>@DorothyGale_Oz Fly away dorothy!!</t>
  </si>
  <si>
    <t>RT @Sticknstones4: The Witch Hunt Continues 
The St Louis temperatures Rise and so does
The Homocide Rate 
#kimshady doesn’t care about m…</t>
  </si>
  <si>
    <t>RT @Sticknstones4: Missourians know it’s a witch hunt
They love the governor @EricGreitens 
#moleg #noresign #teamgreitens #greitens http…</t>
  </si>
  <si>
    <t>@scasey09 @condorianflex @VisioDeiFromLA @timmy2handz @EricGreitens Bye rusty</t>
  </si>
  <si>
    <t>RT @VisioDeiFromLA: @condorianflex @scasey09 @kendylei @timmy2handz @EricGreitens George soros is buying elections. Pay attention</t>
  </si>
  <si>
    <t>RT @VisioDeiFromLA: @condorianflex @scasey09 @kendylei @timmy2handz @EricGreitens Well soros has anti American motives</t>
  </si>
  <si>
    <t>RT @VisioDeiFromLA: @condorianflex @scasey09 @kendylei @timmy2handz @EricGreitens As for “Russia” your an idiot. Russia is a shell of its f…</t>
  </si>
  <si>
    <t>RT @VisioDeiFromLA: @scasey09 @condorianflex @kendylei @timmy2handz @EricGreitens Mercer’s arent trying to flood the country with foreign c…</t>
  </si>
  <si>
    <t>@condorianflex @VisioDeiFromLA @scasey09 @timmy2handz @EricGreitens Bye nick</t>
  </si>
  <si>
    <t>@condorianflex @VisioDeiFromLA @scasey09 @timmy2handz @EricGreitens And your a liberal, that’s not a compliment,  I’m done with this tit for tat, and I’m done with you.</t>
  </si>
  <si>
    <t>@VisioDeiFromLA Keeping it fair, I admire that. Not much of that around anymore.</t>
  </si>
  <si>
    <t>RT @JCunninghamMO: I’m with Representatives Lindell Shumake, @lfshumake and Cheri Toalson Reisch, @CheriMO44. Allow the complete process to…</t>
  </si>
  <si>
    <t>RT @1Romans58: On this date in 1945
Journalist Ernie Pyle was killed by Japanese machine-gun fire on the island of Ie Shima in the Pacific…</t>
  </si>
  <si>
    <t>RT @RampsMAGARants: So, a disgraced FBI director, a washed up journalist and an elderly porn star walk into a bar .......😂
barkeep asks...…</t>
  </si>
  <si>
    <t>RT @melody_grover: I feel a tad bit sorry for @HawleyMO and the other Chicken Littles whose political careers will be flushed down the drai…</t>
  </si>
  <si>
    <t>RT @DeplorableGoldn: RT-ing 🚨 please share! 🚨
@jallman971 and @EricGreitens  are casualties of an ongoing attack against the republican est…</t>
  </si>
  <si>
    <t>@VisioDeiFromLA Yep, that’s exactly what A-⭕️’s are doing.</t>
  </si>
  <si>
    <t>RT @VisioDeiFromLA: TRANSLATION,
Dear #MoLeg
Let's post some snark 2 ingratiate myself with "cool kids" &amp;amp; do away with fairness/justice a…</t>
  </si>
  <si>
    <t>RT @magathemaga1: He might be a trump hater, but dude has talent. I respect that talent even if not all of his political rants are correct…</t>
  </si>
  <si>
    <t>@VisioDeiFromLA Why would ppl that don’t live here or know the politics and the history be commenting on anything going on with a crooked corrupt prosecutor?</t>
  </si>
  <si>
    <t>RT @VisioDeiFromLA: Must be nice not knowing that demographics of Twitter are 85 liberal/coastal &amp;amp; most people commenting there are from ou…</t>
  </si>
  <si>
    <t>RT @Thomas1774Paine: James Comey: I’m leaving the Republican Party https://t.co/7gAGVmFClD</t>
  </si>
  <si>
    <t>@Sticknstones4 @magathemaga1 @EricGreitens No doubt. Stevie Wonder would be able to see the corruption by kim Gardner’s office by now.</t>
  </si>
  <si>
    <t>RT @Sticknstones4: Just exactly how many investigations does it take to find something ?  Give it up Swampdwellers !
If you put as much ef…</t>
  </si>
  <si>
    <t>RT @adjunctprofessr: 🔥🔥🔥 Iran Nuclear Deal under the Trump scope!
The President appears fully prepared to walk away if he does not get what…</t>
  </si>
  <si>
    <t>@condorianflex @scasey09 @VisioDeiFromLA @timmy2handz @EricGreitens That’s your opinion, not going to try and change it. But I think we’ve seen that the far left (kim Gardner &amp;amp; george soro’s) don’t abide by the law to get what they want.</t>
  </si>
  <si>
    <t>@condorianflex @scasey09 @VisioDeiFromLA @timmy2handz @EricGreitens That’s exactly what stl prosecutor set out to do. Among many other complaints filed against her is the date on the document she filed was almost 30 days before it was admitted. Look it up. Kim Gardner.</t>
  </si>
  <si>
    <t>RT @MichaelCohen212: Bad reporting, bad information and bad story by same reporter Peter Stone @McClatchyDC. No matter how many times or wa…</t>
  </si>
  <si>
    <t>RT @babydoll_ga: @jerseygirl2you @bountytx @Starbucks I already had a problem with the $$$. Now I have to wean my husband off. Fingers cros…</t>
  </si>
  <si>
    <t>RT @PradRachael: BREAKING 🇺🇸 PRESIDENT DONALD J TRUMP ORDERS ALL AMERICAN FLAGS🇺🇸 IN THE U.S. AND AROUND THE WORLD 🌏LOWERED TO HALF STAFF "…</t>
  </si>
  <si>
    <t>@Anthisla Dorito is enough to drive anybody to commit homicide.</t>
  </si>
  <si>
    <t>@promopeace Dorito’s a pompous biotch.</t>
  </si>
  <si>
    <t>@BravoTwins  https://t.co/xlW1udCsLE</t>
  </si>
  <si>
    <t>RT @LoveAndyC: Kyle’s right. Erika could have squashed it. #RHOBH</t>
  </si>
  <si>
    <t>@Pinky81949548 Pinky, I didn’t realize how funny you are. You’re funny as hell.</t>
  </si>
  <si>
    <t>RT @Pinky81949548: Erika trying to act all intimidating is hilarious. What's rich lady going to do call her ass lickers to dress them to lo…</t>
  </si>
  <si>
    <t>@girlwithnojob I would never want to be like her though.</t>
  </si>
  <si>
    <t>@chris07841 @Andy It seems quite the other way around, just my opinion.</t>
  </si>
  <si>
    <t>This season was pretty boring!!#RHOBH</t>
  </si>
  <si>
    <t>RT @LoveAndyC: That's so bitchy and catty naming a swimsuit after everyone but Teddi. #RHOBH</t>
  </si>
  <si>
    <t>RT @bjreed91: Dorit confronted Kyle then blamed Kyle for ‘ruining’ her night?!?  #RHOBH https://t.co/z7msyG692A</t>
  </si>
  <si>
    <t>RT @realityaddictx: Kyle is DONE with Dorit and her exhausting behavior.  Me too.  #RHOBH</t>
  </si>
  <si>
    <t>What is the deal with Erica, it seems like she’s getting meaner and shadier.#RHOBH</t>
  </si>
  <si>
    <t>RT @SonofLiberty357: After years on the force, Lacy the bloodhound is turning in her leash and retiring from duty with the @DelCoSheriff.…</t>
  </si>
  <si>
    <t>RT @SavingAmerica4U: 🔴Well, Well, Well...
FACT: The Former Playboy-Bunny Judge That Is Presiding Over The Cohen Case Also Officiated Georg…</t>
  </si>
  <si>
    <t>RT @blackwidow07: Well it's about time! There may have been several so called operatives out for sometime offering goodies/rewards and not…</t>
  </si>
  <si>
    <t>RT @John_KissMyBot: The Recent Raid On Trumps, @realDonaldTrump Personal Attorney And The Judge Exposing His Clients And Contacts Like Sean…</t>
  </si>
  <si>
    <t>RT @YearOfZero: So now it’s just adultery?
Meaning story from PS and KS was just made up? 🤦‍♂️ 
And cheating isn’t a crime. It’s a sin. B…</t>
  </si>
  <si>
    <t>RT @VisioDeiFromLA: Hey everybody Patty weighed in.
Its humiliating that so many want to discard the presumption of innocence in this coun…</t>
  </si>
  <si>
    <t>RT @VisioDeiFromLA: If your not against chain migration, you hate America and Americans.
Fixed it for you. 
Sincerely, A brown man from M…</t>
  </si>
  <si>
    <t>RT @sigi_hill: Proud of our hard working @GovGreitensMO 
Stay strong @EricGreitens 
MO needs you to #DrainTheSwampInJeffersonCity
Midterms…</t>
  </si>
  <si>
    <t>RT @EricGreitens: Today is #TaxDay: Last year in March, only 35% of calls to Missouri’s tax call center got answered. We said that’s unacce…</t>
  </si>
  <si>
    <t>@EricGreitens @CStamper_ Hang in there Governor, we’re fighting for you.</t>
  </si>
  <si>
    <t>RT @KryptoniteDragn: Car 40
  @america_trust
  @a_8kloentrup
  @nicholj85
  @RedStateRule
  @Kaymandive
  @marylynng2015
  @RealJane_127…</t>
  </si>
  <si>
    <t>RT @KryptoniteDragn: Car 39
  @JohnnyMacHill
  @evans_pixie
  @4RNation
  @PadcPhillip
  @Elkaholic1Bruce
  @ScryingGlass
  @manasseh63
  @…</t>
  </si>
  <si>
    <t>RT @KryptoniteDragn: Car 38
  @DarrellCollin19
  @Twimom09
  @goodmedicine4us
  @rickzim4
  @TrickrickR
  @GaryKne728
  @17cmkelly
  @Priva…</t>
  </si>
  <si>
    <t>RT @KryptoniteDragn: Car 37
  @LibertySon76
  @AnaCha333
  @EllisonTeri
  @robert_vet4_USA
  @jarmjr81
  @Scrambu11
  @Pritzieee
  @Inspekt…</t>
  </si>
  <si>
    <t>@AshamedOkie @vomedical @EricGreitens Absolutely!!</t>
  </si>
  <si>
    <t>RT @3bbgurlz: @EricGreitens I’m so glad your gonna stick it out!  I stand beside you 100%</t>
  </si>
  <si>
    <t>RT @Markknight45: @EricGreitens Hang in there brother. We got you your back.</t>
  </si>
  <si>
    <t>RT @philip_saulter: @EricGreitens Stay strong Gov, we got your back!</t>
  </si>
  <si>
    <t>RT @Sticknstones4: @EricGreitens Thank you  governor !  Stay the course</t>
  </si>
  <si>
    <t>RT @VisioDeiFromLA: @EricGreitens Keep fighting brotha! #MoLeg</t>
  </si>
  <si>
    <t>RT @Culper_Lady56: @gotravelgear @BeauWillimon @EricGreitens people liking your reply- but I agree w/ you... priceless....  maybe they will…</t>
  </si>
  <si>
    <t>@Culper_Lady56 @gotravelgear @BeauWillimon @EricGreitens Amen, hallelujah!!</t>
  </si>
  <si>
    <t>RT @Culper_Lady56: @gotravelgear @BeauWillimon @EricGreitens and those calling for the end of a man's career/reputation, they are teaching…</t>
  </si>
  <si>
    <t>RT @sigi_hill: @EricGreitens Governor, Thank you for your service as a SEAL, your mission and for standing strong for your promise as our e…</t>
  </si>
  <si>
    <t>RT @VisioDeiFromLA: @DrewMitrisin @EricGreitens Will be dismissed. It’s fake anyway.</t>
  </si>
  <si>
    <t>RT @JW1057: @EricGreitens Thank you, Governor. We love you and @SheenaGreitens. 
@Rep_TRichardson @HawleyMO @elijahhaahr @RobVescovo you a…</t>
  </si>
  <si>
    <t>RT @Hope4Hopeless1: @EricGreitens GOOD for you, Sir! We ELECTED a STRONG LEADER who can stand up to POWERFUL Anti-Constitutional FORCES try…</t>
  </si>
  <si>
    <t>RT @VisioDeiFromLA: @condorianflex @scasey09 @timmy2handz @EricGreitens Real doesnt mean they are accurate. He has been falsely accused</t>
  </si>
  <si>
    <t>@condorianflex @scasey09 @VisioDeiFromLA @timmy2handz @EricGreitens They are supposed to be proven in a court of law.</t>
  </si>
  <si>
    <t>@VisioDeiFromLA @condorianflex @timmy2handz @EricGreitens Exactly!!</t>
  </si>
  <si>
    <t>RT @VisioDeiFromLA: @condorianflex @timmy2handz @EricGreitens Greitens is innocent until proven guilty. If he’s guilty, what are you so wor…</t>
  </si>
  <si>
    <t>RT @VisioDeiFromLA: @timmy2handz @EricGreitens Over fake charges?</t>
  </si>
  <si>
    <t>RT @JW1057: @EricGreitens You don't need to "prove your innocence." The law decrees you as innocent until the prosecution proves your guilt…</t>
  </si>
  <si>
    <t>RT @sigi_hill: @repckelly @VisioDeiFromLA @sarahfelts @EricGreitens Fake charges bc the grandjury was fed false information to start with.…</t>
  </si>
  <si>
    <t>RT @sigi_hill: @repckelly @VisioDeiFromLA @sarahfelts @EricGreitens Chris, are you illiterate or lefty ?! It's the fooling-around 2x ex-hus…</t>
  </si>
  <si>
    <t>@repckelly @VisioDeiFromLA @sarahfelts @EricGreitens No sir, that’s what alot of others are doing, but if you and others actually followed this case you would come to the same conclusion. The msm slant the facts or leave things out, but you can find the truth. It all starts with a corrupt stl prosecutor, kim Gardner.</t>
  </si>
  <si>
    <t>RT @repckelly: @VisioDeiFromLA @sarahfelts @EricGreitens How do you know the charges are false?  I think you do not know one way or the oth…</t>
  </si>
  <si>
    <t>RT @VisioDeiFromLA: @sarahfelts @EricGreitens The charges are fake. Sorry nobody is ever had an affair with you.</t>
  </si>
  <si>
    <t>RT @VisioDeiFromLA: @gordonlglaus @RealTravisCook @CryptoMatt06 @EricGreitens @blackwidow07 @Hope4Hopeless1 @SKOLBLUE1 @YearOfZero @DRUDGE…</t>
  </si>
  <si>
    <t>RT @VisioDeiFromLA: @RealTravisCook @CryptoMatt06 @EricGreitens @blackwidow07 @Hope4Hopeless1 @SKOLBLUE1 @YearOfZero @DRUDGE @joelpollak @S…</t>
  </si>
  <si>
    <t>RT @VisioDeiFromLA: @CryptoMatt06 @EricGreitens @blackwidow07 @RealTravisCook @Hope4Hopeless1 @SKOLBLUE1 @YearOfZero @DRUDGE @joelpollak @S…</t>
  </si>
  <si>
    <t>RT @VisioDeiFromLA: @EricGreitens Keep fighting. We are absolutely against Witch Hunts and this is one! 
#MoLeg #MoGov #Greitens #Missouri…</t>
  </si>
  <si>
    <t>RT @EricGreitens: I will not be resigning the Governor's office. In three weeks, this matter will go to a court of law—where it belongs and…</t>
  </si>
  <si>
    <t>RT @magathemaga1: Told ya #LadderBoy 
Not only does ur actions make it look like witch hunt and false charges,  it hands ammo to Claire. I…</t>
  </si>
  <si>
    <t>@bluefezman @EricGreitens I can’t believe how corrupt and crazy this case has been, or that this corrupt prosecutor is never getting called out on any of her corruption. https://t.co/OmwG2N8JbR</t>
  </si>
  <si>
    <t>RT @bluefezman: If someone withholds evidence in a case like @EricGreitens. Only to have more withheld evidence emerg it's a travesty of ju…</t>
  </si>
  <si>
    <t>RT @bluefezman: This virus they unleashed on  governor @EricGreitens is shameful never has there been anything like this. Remember the Kenn…</t>
  </si>
  <si>
    <t>@iammrssamuels Kids.</t>
  </si>
  <si>
    <t>RT @kablekimmy: “It’s a little too Beverly Hills for my liking” says the women who makes a point to comment on the incorrect glasses and un…</t>
  </si>
  <si>
    <t>RT @nug1: Umm Ashley considering that your husband told you to pack your shit &amp;amp; get out of HIS house.  You can’t give someone else relation…</t>
  </si>
  <si>
    <t>RT @CeeCeeMar: What is Monique so busy doing? I'm a single mom with three kids and a full-time job and it ain't that deep. #RHOP</t>
  </si>
  <si>
    <t>RT @Cmwgold: Women have been takin care of houses full of kids for years ...... and she needs a nanny to sit by the pool and smoke!  #RHOP…</t>
  </si>
  <si>
    <t>@iammrssamuels Take care of your lids,that you’re always complaining about.</t>
  </si>
  <si>
    <t>@iammrssamuels @RobynDixonRHOP I thought you didn’t have time for this biotch</t>
  </si>
  <si>
    <t>RT @AJP0130: Karen's press conference with no press is like Sheree's fashion show with no fashions. #RHOP</t>
  </si>
  <si>
    <t>@onlytclay @iammrssamuels @RobynDixonRHOP Monique is a bitch!</t>
  </si>
  <si>
    <t>@iammrssamuels Love you robyn. Stay true</t>
  </si>
  <si>
    <t>@iammrssamuels Shut up monique, you act like you’re the only one who is allowed an opinion. You’re ass gets on my last nerve 🙄🙄.</t>
  </si>
  <si>
    <t>@MoogsieB Yeah, isn’t that the blue eyed boyfriend they were talking about at the reunion?</t>
  </si>
  <si>
    <t>RT @jenncox24: #VanderPumpRules
Tom &amp;amp; Tom sound more ignorant by the week!
A progress party?
My husband &amp;amp; his workers would pounce u off th…</t>
  </si>
  <si>
    <t>RT @burs29: The cast at work be like #vanderpumprules #Pumprules https://t.co/ADOfkb3Bj7</t>
  </si>
  <si>
    <t>@HSuzyq123 I think the only person inside of him is the other tom 😂😂.</t>
  </si>
  <si>
    <t>I know what jax’s deal is, he wants to bone kelsey and not be tied down to brittany, but he doesn’t want to take all the 💩 from his friends.#VanderpumpRules</t>
  </si>
  <si>
    <t>RT @RabbitHoleTX: Stassi is speaking the truth Brittany is wasting her best years on a LOSER  #VanderpumpRules</t>
  </si>
  <si>
    <t>RT @Amanda_Rose: Patrick is fucking rude. He mansplains and talks over Stassi. So disrespectful. #vanderpumprules</t>
  </si>
  <si>
    <t>RT @FroBunni: Instead of focusing on kids, Tom needs to get to a point where he can drink without getting shxt faced and making out with ot…</t>
  </si>
  <si>
    <t>RT @PearnoTweeeeets: Fuck you Patrick .. stop talking to Stassi about consistency .. you're "consistently" a first class asshole you myopic…</t>
  </si>
  <si>
    <t>RT @TVtrashpanda: Kristen's long and dramatic exit #PumpRules #VanderpumpRules https://t.co/HT3qZF6iGf</t>
  </si>
  <si>
    <t>@RobynDixonRHOP Monique needs to stay in her own lane and stop yapping all the time.</t>
  </si>
  <si>
    <t>RT @RobynDixonRHOP: #RHOP is on tonight at 10pm!!! I’ll be on an airplane during the show so I won’t be able to live tweet with you all. Ho…</t>
  </si>
  <si>
    <t>Ug monique is still a big mouth who is obnoxious. #rhop</t>
  </si>
  <si>
    <t>@tenderesa311 Every bit of an asshole and condescending. I’d punch him in his fat head.</t>
  </si>
  <si>
    <t>RT @PearnoTweeeeets: Sometimes you can't help who you like or love .. Britt clearly doesn't see what we all see but it's her life and she's…</t>
  </si>
  <si>
    <t>RT @bumsyinthecity: Guuuuurl. Stassi stop pretending to be dumb in front of Patrick. You don’t know what clerical means? Come on. 🙄🙄🙄 #pump…</t>
  </si>
  <si>
    <t>@Taunitz I think she’s right, jax wants brittany to leave him. But i  wonder if she’s wanting the door open for herself .</t>
  </si>
  <si>
    <t>RT @Taunitz: #VanderpumpRules The relationship between Jax and his therapist is one I've never seen, "love you" &amp;amp; "honey" ? Yeah ok.</t>
  </si>
  <si>
    <t>@RabbitHoleTX  https://t.co/EFRpYDbzr6</t>
  </si>
  <si>
    <t>RT @RabbitHoleTX: Kristen talking about how clumsy she is it's because you're drunk about 99% of your life #VanderpumpRules</t>
  </si>
  <si>
    <t>Patrick acts like he is stassi’s parent. Dump him stassi , he’s just too out there for you.#VanderpumpRules</t>
  </si>
  <si>
    <t>RT @SonofLiberty357: Let’s keep POTUS ahead. Please vote and RT #MAGA https://t.co/KQnMOFpdd7</t>
  </si>
  <si>
    <t>RT @goofballgeorge: @powerglobalus @christophmacfa1 @chromadka60 @cjdtwit @ckriley67 @claudiascompan1 @ColtYorkhunter1 @CommanderLCHunt @co…</t>
  </si>
  <si>
    <t>RT @crazyjo53: President Trump stands for America! #WeThePeople stand for President Trump! https://t.co/jXXFdPGARv</t>
  </si>
  <si>
    <t>RT @Hope4Hopeless1: @EricGreitens https://t.co/Wcz4od1j45
.@EricGreitens Court Transcript exposes this whole case against #greitens AS NOTH…</t>
  </si>
  <si>
    <t>RT @Hope4Hopeless1: #KimShady witheld EVIDENCE in discovery and it MAGICALLY appeared 1hr after #Moleg's "report"  that SHOWS that when Kit…</t>
  </si>
  <si>
    <t>RT @magathemaga1: When U put UR ear 2 the ground &amp;amp; listen 2 what's going on in #MoSwamp that is #MoLeg, it becomes even more clear swamp in…</t>
  </si>
  <si>
    <t>RT @Hope4Hopeless1: @salter223 https://t.co/BUoItH5dKR Transcript shows#KimShady's MASSIVE #ProsecutorialMisconduct in this SHAM #GreitensI…</t>
  </si>
  <si>
    <t>RT @magathemaga1: @AndrewFmOregon @jdavidsonlawyer @ems1944 @RGreggKeller @missouriscout @EricGreitens @MOHouseGOP @DaynaGould @Hope4Hopele…</t>
  </si>
  <si>
    <t>@magathemaga1 @philip_saulter @JohnLamping @JaneDueker @EricGreitens @SKOLBLUE1 @strmsptr @DaynaGould @MOHouseGOP @Hope4Hopeless1 @Sticknstones4 @TuckerCarlson @Thomas1774Paine @Avenge_mypeople Also the victims and their families whom kim Gardner will not get justice for, because she’s too busy with what 🤷🏻‍♀️?</t>
  </si>
  <si>
    <t>RT @magathemaga1: @philip_saulter @JohnLamping @JaneDueker Old #KimShady and #NoNotesTisaby have caused a real mess down there and also UNF…</t>
  </si>
  <si>
    <t>RT @VisioDeiFromLA: ⚠️ Narrative Alert ⚠️
Allegations crumbling 
Victims shot their credibitly 
#KimShady shot hers
Case already bs 2 begi…</t>
  </si>
  <si>
    <t>@brenda_lummus @Hope4Hopeless1 @NCogneetoCon @EricGreitens I’m 🙏🏻🙏🏻 for some justice!! Finally😡😡!!</t>
  </si>
  <si>
    <t>RT @brenda_lummus: @Hope4Hopeless1 @NCogneetoCon @EricGreitens Somebody needs to wipe that smug smile off her face ! Perhaps she won't be s…</t>
  </si>
  <si>
    <t>@Hope4Hopeless1 @NCogneetoCon @EricGreitens Face of pure evil, she could care less about getting justice for the true victims of STL.</t>
  </si>
  <si>
    <t>RT @Hope4Hopeless1: @NCogneetoCon @EricGreitens #GreitensIndictment
is a HORRIFYING misuse &amp;amp; abuse of power &amp;amp; it puts us all at risk!
ACT…</t>
  </si>
  <si>
    <t>RT @JW1057: #moleg #mogov #greitens #GreitensIndictment #KimShady #mopns
Why did Philip remain silent about alleged forced "oral sex?" Rea…</t>
  </si>
  <si>
    <t>RT @VisioDeiFromLA: ⚠️ #KimShady Alert ⚠️
"Circuit Attorney Kim Gardner hid a video that she knew directly contradicted allegations in the…</t>
  </si>
  <si>
    <t>RT @magathemaga1: The #GreitensIndictment in a nutshell:
Media sucks
Consensual fling 
Inconsistent testimony
#KimShady
#NoNotesTisaby 
Wa…</t>
  </si>
  <si>
    <t>@Sticknstones4 Exactly, that’s the worst thing about this whole witch hunt. this prosecutor has her own ulterior motives, besides getting justice for true victims, and will continue to pursue those as long as she holds that office 😥😥😥.</t>
  </si>
  <si>
    <t>RT @Sticknstones4: The sad thing is we do have killers
And they are going free because #kimshady wont make a case 
#stlouis #stlboa #stl #…</t>
  </si>
  <si>
    <t>RT @JW1057: Rob Schaff accuses KS of committing perjury before committee!
Schaff says there were no consensual acts between KS and EG afte…</t>
  </si>
  <si>
    <t>RT @magathemaga1: @jdavidsonlawyer @ems1944 @RGreggKeller @missouriscout According to who? You? 
Allegations falling apart and moleg is ge…</t>
  </si>
  <si>
    <t>https://t.co/Xw10pjXyec</t>
  </si>
  <si>
    <t>https://t.co/J6TPYfu5jR</t>
  </si>
  <si>
    <t>Missouri Bar Complaint Filed Against Gardner Over Hiring Private Atty On Greitens' Case https://t.co/5uiALxNRnE</t>
  </si>
  <si>
    <t>@Wise_One8 Right dumb one! Do some research before you flap your gums.</t>
  </si>
  <si>
    <t>@Avenge_mypeople @magathemaga1 @EricGreitens @strmsptr @DaynaGould @Sticknstones4 @ErgoStreetNurse @Blackboxhalo @Hope4Hopeless1 @YearOfZero @AvrilMai91 Someone’s got some deep pockets for her. You would think think this prosecutor is going after the biggest serial killer of the century.</t>
  </si>
  <si>
    <t>RT @Avenge_mypeople: @kendylei @magathemaga1 @EricGreitens @strmsptr @DaynaGould @Sticknstones4 @ErgoStreetNurse @Blackboxhalo @Hope4Hopele…</t>
  </si>
  <si>
    <t>RT @VisioDeiFromLA: Why not debate? Yes lot people think this a witch hunt and @EricGreitens deserves day in court
Consensual affair — tha…</t>
  </si>
  <si>
    <t>@magathemaga1 @EricGreitens @strmsptr @DaynaGould @Sticknstones4 @ErgoStreetNurse @Avenge_mypeople @Blackboxhalo @Hope4Hopeless1 @YearOfZero @AvrilMai91 Tried to call, doesn’t give you an option of leaving message.</t>
  </si>
  <si>
    <t>RT @Sticknstones4: MIGHT definition expressing a possibility based on a condition not fulfilled
📌 NO PICTURE  NO DEVICE  NO TRANSMISSION📱🖥…</t>
  </si>
  <si>
    <t>RT @VisioDeiFromLA: Jack ... your paper hasn't asked basic questions about this case for the last 3 months.
Sorry but it is a witch hunt.…</t>
  </si>
  <si>
    <t>RT @magathemaga1: #Soros isn’t happy that money he spent on #KimShady is working out!
Call @MissouriGOP and @MOHouseGOP and tell them you…</t>
  </si>
  <si>
    <t>RT @VisioDeiFromLA: @ads302s @StefanMolyneux @EricGreitens How would you know? 
Maybe I know the state very well all the way from power an…</t>
  </si>
  <si>
    <t>RT @Sticknstones4: READ ALL THE LIES🤥🤥
A Must read , defense attornies present all the Lies The prosecution Told in the Greitens case 
#Mo…</t>
  </si>
  <si>
    <t>RT @Sticknstones4: This article has details of the evidence &amp;amp; testimony 
Regarding the alleged 👋🏻 SLAP
Greitens Lovers &amp;amp; Haters should read…</t>
  </si>
  <si>
    <t>RT @HotPokerPrinces: Give @robschaaf call at 573-751-2183
#moleg 
And tell him you support @EricGreitens day in court &amp;amp; not this witch hun…</t>
  </si>
  <si>
    <t>RT @magathemaga1: @robschaaf Ahem — they didn’t cross examine on the committee!
STOP THE WITCH HUNT
DO NOT STEP DOWN @EricGreitens 
#MoL…</t>
  </si>
  <si>
    <t>RT @VisioDeiFromLA: U mad bro that people see through the WITCH HUNT.
RINOs might not fight back against BS but we do.
#MoLeg #Greitens #…</t>
  </si>
  <si>
    <t>RT @magathemaga1: 🚨 JUSTICE WARRIOR UPDATE 🚨 
MUST READ NOW 
OMG
This just goes to show how much #GreitensIndictment is complete and TOT…</t>
  </si>
  <si>
    <t>RT @Sticknstones4: 🗣 ACTION ALERT 🚨 📞CALL  Leave a Message to the #Moleg Members of the House Committee that issued the Inaccurate  #Greite…</t>
  </si>
  <si>
    <t>RT @Sticknstones4: ⏳ Time to Call📞
The 3 Stooges 🤡🤡🤡of #Moleg
🗣DEMAND THEY READ &amp;amp; RESCIND
@Robschaaf @DougLibla25 #garyromine
#Greitens…</t>
  </si>
  <si>
    <t>RT @Sticknstones4: @KCStar I rather have a lone wolf #greitens than a swamp full of pussy crooked Republicans that cower to poltical operat…</t>
  </si>
  <si>
    <t>RT @DeplorableGoldn: RT-ing 🚨
EXCLUSIVE – Hantler: If The Democrats Remove Governor Eric Greitens, Their Witch Hunt of Donald Trump Will Be…</t>
  </si>
  <si>
    <t>RT @magathemaga1: When U begin 2 realize @MOHouseGOP didn’t actually cross examine witnesses or really do research on case, U realize even…</t>
  </si>
  <si>
    <t>RT @Sticknstones4: @magathemaga1 @VisioDeiFromLA @WillSchamper_ @EdBigCon @KathieConway @ohsynesthesia @YearOfZero @TommyLeeAllman @EricGre…</t>
  </si>
  <si>
    <t>RT @Sticknstones4: Instead of tweeting, emailing, stalking &amp;amp; shopping story
Why didn’t PS show that tape to the police ? 
The police, the p…</t>
  </si>
  <si>
    <t>RT @Sticknstones4: @MOHouseGOP  #Moleg #greitens #mogov #WitchHunt
When will you be having a special Reading session of the 77 page Transc…</t>
  </si>
  <si>
    <t>RT @Sticknstones4: @MoLegDems  #Moleg #greitens #mogov #WitchHunt
When will you be having a special Reading session of the 77 page Transcr…</t>
  </si>
  <si>
    <t>RT @Sticknstones4: Missourians need to take back #Missouri and not these corrupt greedy Mofos
Show Me Sate Needs to show them who’s the bo…</t>
  </si>
  <si>
    <t>RT @stltoday: @kendylei @blackwidow07 @Sticknstones4 Here's our article on the video: https://t.co/vRnCM01wI2
Here are links to our Greiten…</t>
  </si>
  <si>
    <t>RT @Avenge_mypeople: @stltoday @kendylei @blackwidow07 @Sticknstones4  https://t.co/1PncEozxb8</t>
  </si>
  <si>
    <t>RT @magathemaga1: @stltoday @kendylei @blackwidow07 @Sticknstones4 We don't believe you clowns
#moleg https://t.co/pEB2orr61G</t>
  </si>
  <si>
    <t>RT @RVA_dave: @Cernovich It’s the scortched earth policy: Anything to damage Trump, Trump voters, Trump advisors, Trump attorneys, pro-Trum…</t>
  </si>
  <si>
    <t>RT @YearOfZero: Hey @HawleyMO and #missouri
Choice now clear for #MoSen
Vote:
@Monetti4Senate
@SykesforSenate 
@AP4Liberty 
I can’t supp…</t>
  </si>
  <si>
    <t>RT @Sticknstones4: Why #moleg  ?  
A report based on just testimony 🤷🏼‍♀️🤷🏽‍♀️🤷🏾‍♀️🤷‍♂️🤷🏻‍♂️🤷🏾‍♂️
No Investigation  No Cross Examination…</t>
  </si>
  <si>
    <t>RT @Sticknstones4: @chuckwoolery Read her lies and what a witch hunt our duly elected governor is under attack #greitens 
https://t.co/ZRr…</t>
  </si>
  <si>
    <t>RT @Sticknstones4: @BFT_Podcast Soros paid #KimShady conducted a witch hunt based on lies
Indicted our duly elected governor based on lies…</t>
  </si>
  <si>
    <t>The MSM only report what they want the narrative to be.#greitens</t>
  </si>
  <si>
    <t>Kim Gardner, the prosocuting attorney is nothing but scum. This judge has got to be in on it, it’s crazy that he has excused this much blatant corruption with the prosecutions case.#greitens</t>
  </si>
  <si>
    <t>RT @Sticknstones4: @govwalker  you seem like  a Moron 
You should read before you speak , read a 77 page  transcript of court motion that…</t>
  </si>
  <si>
    <t>Andy you are so classless, STFU about TRUMP already and do your f-ing job asshole!!#RHOA</t>
  </si>
  <si>
    <t>RT @SoShaydee: Kroy backstage watching Kim at the reunion #RHOA @Andy @KenyaMoore https://t.co/u34clsX2PA</t>
  </si>
  <si>
    <t>@TripleTeaaa 🙄🙄🙄</t>
  </si>
  <si>
    <t>RT @CeeCeeMar: What Kim meant to say about her lips is if she can afford to keep getting her lips blown up. #Rhoa</t>
  </si>
  <si>
    <t>Make up?  #RHOA https://t.co/WcBigm9Utf</t>
  </si>
  <si>
    <t>So what the hell is joggers?#RHOA</t>
  </si>
  <si>
    <t>@Midwestocean So bizarre!!</t>
  </si>
  <si>
    <t>RT @Midwestocean: Been waiting or this ALL WEEKEND! Good heavens, Kim’s face looks so busted - those lips...those expressions. #RHOA https:…</t>
  </si>
  <si>
    <t>RT @promopeace: These two have more in common than either would ever admit. There are some things plastic surgery just can't fix.  #RHOA ht…</t>
  </si>
  <si>
    <t>RT @_DefinedByMyOwn: Am I the only who’s tired of Cynthia !??? Your shade is dry. The Bailey agency still on the ground. You dating an oppo…</t>
  </si>
  <si>
    <t>RT @AllAboutJordan_: At the end of the day Kim AND Brielle were wrong for this entire situation. And the only reason why Sheree didn’t chec…</t>
  </si>
  <si>
    <t>RT @iamreneejai: Y’all ready??? #RHOA https://t.co/JdJB2fBacG</t>
  </si>
  <si>
    <t>RT @Attorneyatlaw6: Kroy went from being in the NFL to being Kim's personal assistant #RHOA https://t.co/wxuZrgvuUw</t>
  </si>
  <si>
    <t>Captain save a bitch!!! Totally stealing it.#RHOA</t>
  </si>
  <si>
    <t>RT @4ever_Glamorous: Cynthia gets uncomfortable anytime someone says anything about will not being who he says he is 🤔 #RHOA</t>
  </si>
  <si>
    <t>@Kno_ur_purpose  https://t.co/Yu1dcLY93X</t>
  </si>
  <si>
    <t>RT @Kno_ur_purpose: KIM'S Final LOOK AFTER Tanning, botox, highlights, and LIP FILLERS #RHOA #RHOAReunion 👇 https://t.co/JsPD3r19gC</t>
  </si>
  <si>
    <t>RT @YoshikoBEsq: Poor Sheree doing conjugal visits for the d #RHOA https://t.co/Omv53iYK94</t>
  </si>
  <si>
    <t>RT @itsRamel: Kenya: Can we get some cocktails.
Nene : Girl you pregnant ain't ya?
#RHOA https://t.co/ZDjCkdApGl</t>
  </si>
  <si>
    <t>@TamelaLeMieux So what gives?</t>
  </si>
  <si>
    <t>@Dannya24 @housewivesguy @Kimzolciak Let the 💩 fly!!!!</t>
  </si>
  <si>
    <t>@debneds @housewivesguy @Kimzolciak Worst show ever!</t>
  </si>
  <si>
    <t>@Marthabellaloca @housewivesguy @Kimzolciak  https://t.co/rcEq1xvpnt</t>
  </si>
  <si>
    <t>Sheree is such a manipulating two face biotech.#RHOA</t>
  </si>
  <si>
    <t>@QueenBeee88 @housewivesguy @Kimzolciak She is a mess, I don’t know about hot.</t>
  </si>
  <si>
    <t>RT @DukeOfShade: @housewivesguy @Kimzolciak  https://t.co/ZvU5saAcyD</t>
  </si>
  <si>
    <t>@bellabreneet So is kenya really pregnant?</t>
  </si>
  <si>
    <t>RT @bellabreneet: did y’all peep when kenya asked for cocktails and nene said “but you pregnant chile” #RHOA https://t.co/eaSfG04mq3</t>
  </si>
  <si>
    <t>@mariokiki Kim’s face is like a caricature.</t>
  </si>
  <si>
    <t>RT @mariokiki: When your boss asks you to take a picture with the co-worker you hate. #RHOA https://t.co/hakbpAgas8</t>
  </si>
  <si>
    <t>@Avenge_mypeople @SKOLBLUE1 @magathemaga1 @Sticknstones4 @Hope4Hopeless1 @AvrilMai91 @AP4Liberty @MOHouseGOP @SpeakerTimJones @EricGreitens @MOGOP_Chairman @ChanelRion I know they say life isn’t fair, but this is to a ridiculous point, the corrupt just keep getting more corrupt, power and money.</t>
  </si>
  <si>
    <t>@Avenge_mypeople @SKOLBLUE1 @magathemaga1 @Sticknstones4 @Hope4Hopeless1 @AvrilMai91 @AP4Liberty @MOHouseGOP @SpeakerTimJones @EricGreitens @MOGOP_Chairman @ChanelRion And he’s fully aware of the BS stunt that Kim Gardner pulled withholding the original video tape that would disprove the false allegations made against Greitens.</t>
  </si>
  <si>
    <t>RT @Avenge_mypeople: @kendylei @SKOLBLUE1 @magathemaga1 @Sticknstones4 @Hope4Hopeless1 @AvrilMai91 @AP4Liberty @MOHouseGOP @SpeakerTimJones…</t>
  </si>
  <si>
    <t>@SKOLBLUE1 @magathemaga1 @Sticknstones4 @Hope4Hopeless1 @AvrilMai91 @AP4Liberty @MOHouseGOP @SpeakerTimJones @EricGreitens @Avenge_mypeople @MOGOP_Chairman @ChanelRion I’m sick to death of all these pieces of 💩 and their corruption! 😡😡</t>
  </si>
  <si>
    <t>RT @SKOLBLUE1: @kendylei @magathemaga1 @Sticknstones4 @Hope4Hopeless1 @AvrilMai91 @AP4Liberty @MOHouseGOP @SpeakerTimJones @EricGreitens @A…</t>
  </si>
  <si>
    <t>@SKOLBLUE1 @magathemaga1 @Sticknstones4 @Hope4Hopeless1 @AvrilMai91 @AP4Liberty @MOHouseGOP @SpeakerTimJones @EricGreitens @Avenge_mypeople @MOGOP_Chairman @ChanelRion It would definitely make sense, because something is definitely wrong here with all the corrupt 💩 going on with this witch hunt of Governor Greitens that he has allowed.</t>
  </si>
  <si>
    <t>@Thelookilooki @SuzQAnderson @Bravotv @Kimzolciak @NeNeLeakes And kim is complete trash!</t>
  </si>
  <si>
    <t>RT @Marthabellaloca: @Bravotv She is garbage and has said things that Andy let's slide witch makes it look like he feels like that, keep ru…</t>
  </si>
  <si>
    <t>@48Bev @Bravotv  https://t.co/mE58IhHQD4</t>
  </si>
  <si>
    <t>RT @48Bev: @Bravotv Nene has every reason to vindicate herself. I have no heard a single apology from Kim about what her kid did! There has…</t>
  </si>
  <si>
    <t>RT @Bravotv: The claws are coming out on the #RHOA Season 10 Reunion Part 2 TONIGHT @ 8/7c on Bravo. https://t.co/FFk4JoZomG</t>
  </si>
  <si>
    <t>@SKOLBLUE1 @magathemaga1 @Sticknstones4 @Hope4Hopeless1 @AvrilMai91 @AP4Liberty @MOHouseGOP @SpeakerTimJones @EricGreitens @Avenge_mypeople @MOGOP_Chairman @ChanelRion I can’t believe he’s let this farce go on as long as it has. Is he on the level?</t>
  </si>
  <si>
    <t>RT @Thomas1774Paine: ‘They Don’t Want Black Folks Voting’: Biden Rips GOP on Voter ID, Trump’s ‘Lie’ on ‘Fraud’ (VIDEO) https://t.co/puRlew…</t>
  </si>
  <si>
    <t>RT @GetoveritD: @magathemaga1 @Hope4Hopeless1 @AvrilMai91 @AP4Liberty @MOHouseGOP @SpeakerTimJones @EricGreitens @Avenge_mypeople @Sticknst…</t>
  </si>
  <si>
    <t>RT @Avenge_mypeople: @magathemaga1 @Hope4Hopeless1 @AvrilMai91 @AP4Liberty @MOHouseGOP @SpeakerTimJones @EricGreitens @Sticknstones4 @MOGOP…</t>
  </si>
  <si>
    <t>@SKOLBLUE1 @magathemaga1 @Sticknstones4 @Hope4Hopeless1 @AvrilMai91 @AP4Liberty @MOHouseGOP @SpeakerTimJones @EricGreitens @Avenge_mypeople @MOGOP_Chairman @ChanelRion Who is this?</t>
  </si>
  <si>
    <t>RT @SKOLBLUE1: @magathemaga1 @Sticknstones4 @Hope4Hopeless1 @AvrilMai91 @AP4Liberty @MOHouseGOP @SpeakerTimJones @EricGreitens @Avenge_mype…</t>
  </si>
  <si>
    <t>RT @magathemaga1: Painting 4 #GreitensIndictment to commemorate witch hunt
Trying 2 include all players in saga. With Hawley turning #Turn…</t>
  </si>
  <si>
    <t>RT @BrotherVet: Remember these Traitors 
They are puppets to the NWO
      NEW WORLD ORDER
Under The Rothschilds, &amp;amp; George Soros https:/…</t>
  </si>
  <si>
    <t>RT @dailymentionsdc: JUST IN: Joe Biden says he will decide "by the end of this year" if he will run against President Trump in 2020. https…</t>
  </si>
  <si>
    <t>RT @junogsp5: @hotfunkytown @CaliConsrvative @starcrosswolf @BlueSea1964 @thebradfordfile @Zola1611 @Fuctupmind @carrieksada @GartrellLinda…</t>
  </si>
  <si>
    <t>RT @cindievaccaro: @chic_savage @cis_gracchus @DLoesch Agreed. Watching interviews with these mind-numbing idiots show just how absent they…</t>
  </si>
  <si>
    <t>@blackwidow07 @Sticknstones4 @stltoday Why doesn’t MSM ever report on any of her lies or misconduct like the video she withheld until an hour after the report was released based on lies which she knew were lies?</t>
  </si>
  <si>
    <t>RT @blackwidow07: @kendylei @Sticknstones4 @stltoday Geez this city is sad. I warned you all.</t>
  </si>
  <si>
    <t>@Margare03880660 I don’t know if I’m just naive, but I’m blown away by the corruption from the highest power of law enforcement Kim Gardner.</t>
  </si>
  <si>
    <t>RT @Margare03880660: Gee, is Kim having an ice cream socials with them to bribe them????hmm https://t.co/zKMoaWFBs8</t>
  </si>
  <si>
    <t>Bye, don’t let the door hit you in the ass on your way out. https://t.co/KA5khEE750</t>
  </si>
  <si>
    <t>Kim Zolciak Says She's 'Never' Appearing on 'RHOA' Again https://t.co/1ryfyuz5DG</t>
  </si>
  <si>
    <t>RT @kendylei: Greitens defense team accuses St. Louis circuit attorney of misconduct https://t.co/jp6wtAYzdh via @stltoday</t>
  </si>
  <si>
    <t>RT @magathemaga1: @SKOLBLUE1 @kendylei @stltoday @EricGreitens #MOleg #kimshady #StLouis #STLCards https://t.co/9WKroYQPw7</t>
  </si>
  <si>
    <t>RT @Sticknstones4: @kendylei @stltoday Gardner recently renewed a consulting contract with Maurice Foxworth, SLU classmate whose law licens…</t>
  </si>
  <si>
    <t>RT @SKOLBLUE1: @kendylei @stltoday More than 50% of the staff left when she was appointed PA. They are smart! No one wants to be affiliated…</t>
  </si>
  <si>
    <t>RT @SKOLBLUE1: @magathemaga1 @kendylei @stltoday @EricGreitens You are 100% @magathemaga1 she has to lie to try to get ahead!  That's her w…</t>
  </si>
  <si>
    <t>Lead Homicide Prosecutor Quits, One of Many this Year https://t.co/rlTQJBlSeL</t>
  </si>
  <si>
    <t>https://t.co/pBOXYWrmo2</t>
  </si>
  <si>
    <t>Greitens’ attorneys say video of mistress deposition exonerates governor – https://t.co/N46I5008E7 https://t.co/e0h6AhNe8o</t>
  </si>
  <si>
    <t>War of words between St. Louis police chief and circuit attorney – https://t.co/N46I5008E7 https://t.co/nXEpiumd2B</t>
  </si>
  <si>
    <t>https://t.co/cFqYlZDFcU</t>
  </si>
  <si>
    <t>https://t.co/sawUmzUlsg</t>
  </si>
  <si>
    <t>Breaking: State Rep Files Complaint Against Greitens Prosecutor https://t.co/sMlKaqVajA via @SentinelKSMO</t>
  </si>
  <si>
    <t>RT @kendylei: Lawyers keep leaving St. Louis Circuit Attorney's office https://t.co/LNXQHBaLMl via @stltoday</t>
  </si>
  <si>
    <t>Lawyers keep leaving St. Louis Circuit Attorney's office https://t.co/LNXQHBaLMl via @stltoday</t>
  </si>
  <si>
    <t>Greitens defense team accuses St. Louis circuit attorney of misconduct https://t.co/jp6wtAYzdh via @stltoday</t>
  </si>
  <si>
    <t>RT @shesova: @cenasby @kendylei @Sticknstones4 @EricGreitens What about the right to a trial and jury. SHE CLAIMS she saw a camera but mayb…</t>
  </si>
  <si>
    <t>RT @Sticknstones4: @cenasby @kendylei @EricGreitens https://t.co/XXKMe04ILp</t>
  </si>
  <si>
    <t>RT @Sticknstones4: @DennisParker57 @kendylei @EricGreitens Obviously you  pages 
What are you affraid of The Truth ?
Even the Kc star see…</t>
  </si>
  <si>
    <t>RT @Sticknstones4: @DennisParker57 @kendylei @EricGreitens You need to read this &amp;amp; kiss 💋 😘 your ass goodbye with the truth 
https://t.co/…</t>
  </si>
  <si>
    <t>RT @Sticknstones4: @FOX2now https://t.co/8yjAKkBXny</t>
  </si>
  <si>
    <t>RT @antiponzi: @DallasIrey It’s Rosie, enough said. You wouldn’t get mad at a coma patient pissing themselves, same applies to Rosie, she i…</t>
  </si>
  <si>
    <t>RT @DallasIrey: This is EXCACTLY why there will never be a DEMOCRATIC female president!
#LiberalismIsAMentalDisorder  
#RedWaveRising2018
#…</t>
  </si>
  <si>
    <t>RT @Sticknstones4: @DennisParker57 @kendylei @EricGreitens Marriages &amp;amp; Families are complicated , Everyone has trials &amp;amp; struggles.   If She…</t>
  </si>
  <si>
    <t>RT @Strutstuff1: @TeamHudson11 @NegusHamitic @ashlandre10 @pRESIDENT_ALIEN @chirpline2 @Carpedonktum @woodardjba @TRiUMPh45 @Gibbsdithers @…</t>
  </si>
  <si>
    <t>RT @Gibbsdithers: @Jetstar1311 @WarrenStan2 @pRESIDENT_ALIEN @LibsNoFun @Angt_USA @ashlandre10 @TeamHudson11 @Chairmnoomowmow @johnnyonio @…</t>
  </si>
  <si>
    <t>RT @philip_saulter: @cenasby @kendylei @Sticknstones4 @EricGreitens Didn't happen, K.S. was a willing participant.  Her video testimony dis…</t>
  </si>
  <si>
    <t>RT @lattartist: How old is Thomas? He’s not even smooth; and Ashley doesn’t even realize he’s more interested in wanting to make Kathryn je…</t>
  </si>
  <si>
    <t>RT @SNCowboys: If Kathryn fucked her new boyfriend in a bathroom at a party heads would fucking roll, but because it’s Thomas they all gigg…</t>
  </si>
  <si>
    <t>@KeirnThomas You’re not the only one</t>
  </si>
  <si>
    <t>RT @ThePettyMess_: So let me just make sure I’m understanding this....Kathryn has to get regular blood work done and be bruised all to hell…</t>
  </si>
  <si>
    <t>RT @kcbigbrother: So we’re all in agreement that Ashley is... #SouthernCharm https://t.co/GE1xfOySWs</t>
  </si>
  <si>
    <t>RT @bravoholclique: Feels like @Bravotv could flip Chelsea, Cam, Naomie, Kathryn, Danni, and Elizabeth into the Real Housewives of Charlest…</t>
  </si>
  <si>
    <t>RT @LoveAndyC: This thirsty bimbo wanting to be the kids “caretaker.” I can’t. #SouthernCharm</t>
  </si>
  <si>
    <t>RT @MrsVSNC09: @Mbabi77 @lizcharleston1 @naomie_olindo Still not for Miss N to speak on. Just ignore the guy but don't discuss with everyon…</t>
  </si>
  <si>
    <t>RT @MrsVSNC09: @lizcharleston1 WOW!! It was cringe worthy. Friends stay in their lane. Friends don't talk about relationship of others as i…</t>
  </si>
  <si>
    <t>RT @john_tissot: @RichardTBurnett @Patriotress Let's do it, get out the vote.</t>
  </si>
  <si>
    <t>RT @lindabluff: @staceynewman @clairecmc How disrespectful and unprofessional calling our Governor "Creepy"!  And you are a State Represent…</t>
  </si>
  <si>
    <t>@lindabluff @Sticknstones4 @staceynewman @clairecmc We’ll said!! 🤗🤗</t>
  </si>
  <si>
    <t>@lmd613 @lizcharleston1 Wth</t>
  </si>
  <si>
    <t>@Pinky81949548 @lizcharleston1 She was a total bitch to craig. She’s very judgmental, entitled and full of herself.</t>
  </si>
  <si>
    <t>RT @Pinky81949548: @lizcharleston1 It's good to see you were not cosigning that. Naomie is showing a pattern of bulldozing ppl.</t>
  </si>
  <si>
    <t>@Ruhrjuhr @Sticknstones4 @CodyJJenkins @GOPisISIS @cenasby @EricGreitens @AGJoshHawley We’re not having a convo with you.</t>
  </si>
  <si>
    <t>@CodyJJenkins @Ruhrjuhr @Sticknstones4 @GOPisISIS @cenasby @EricGreitens @AGJoshHawley Hey cody,  you’re fucked up. https://t.co/1zHbHTm2s9</t>
  </si>
  <si>
    <t>@donco6 @GOPisISIS @Sticknstones4 @cenasby @EricGreitens You’re certainly entitled to your opinion . Some ppl might think you’re a rude jerk</t>
  </si>
  <si>
    <t>@Ruhrjuhr @Sticknstones4 @CodyJJenkins @GOPisISIS @cenasby @EricGreitens @AGJoshHawley Um no, but you are certainly welcome to leave, and if you don’t love our wonderful country and potus then keep on going right out of our country.</t>
  </si>
  <si>
    <t>RT @Sticknstones4: @CodyJJenkins @kendylei @GOPisISIS @cenasby @EricGreitens @AGJoshHawley is not fit to be AG , Kim Gardner is running a K…</t>
  </si>
  <si>
    <t>@erictheacktr @Joeysweettooth @EricGreitens You’re too much.</t>
  </si>
  <si>
    <t>@lizcharleston1 I’m praying for you and your family liz, that you all get through this difficult and heart breaking time in your lives. 🙏🏻🙏🏻🙏🏻</t>
  </si>
  <si>
    <t>@TrapQueen9000 @LetMESay3 @Sheila45566974 @burtonkim76133 @CollisonEdna @lizcharleston1 @bravoholclique @Pataltschul I’m with you, it’s like what the hell is going on?</t>
  </si>
  <si>
    <t>@Detroit414 Nope!!</t>
  </si>
  <si>
    <t>@kate_mccrea Ikr,  her and thomas going to have sex in the bathroom , you know Ashley totally orchestrated that for kathryn,s benefit. You can tell ashley is very insecure when it comes to kathryn.</t>
  </si>
  <si>
    <t>RT @Pinky81949548: Idc who Trav dates but Katherine has the right to know who's around her kids BEFORE their around her kids. #SouthernCharm</t>
  </si>
  <si>
    <t>@CodyJJenkins @GOPisISIS @Sticknstones4 @cenasby @EricGreitens Cough cough josh hawley sucks cough cough.</t>
  </si>
  <si>
    <t>RT @philip_saulter: @erictheacktr @kendylei @DNosegotten @Sticknstones4 @cenasby @EricGreitens Probably cause it didn't happen👍 https://t.c…</t>
  </si>
  <si>
    <t>@Krbobby72 @cenasby @Sticknstones4 @EricGreitens Thanks, the messenger is getting killed here.</t>
  </si>
  <si>
    <t>RT @Krbobby72: @cenasby @kendylei @Sticknstones4 @EricGreitens Neither has @EricGreitens #witchhunt</t>
  </si>
  <si>
    <t>@JPRadioMofo @cenasby @Sticknstones4 @EricGreitens Thank you!!</t>
  </si>
  <si>
    <t>@TX4TRUMP1 @rkinseth I don’t want that! Lisa Rinna is actually a very beautiful woman and a really good sport.</t>
  </si>
  <si>
    <t>@erictheacktr @Joeysweettooth @EricGreitens We’re done here beetface.</t>
  </si>
  <si>
    <t>@joey_coats @YouTube You weren’t kidding, I sent that to my husband, he’s a police officer. That was very powerful and moving! Thank you for sharing that with us❤️❤️.</t>
  </si>
  <si>
    <t>RT @joey_coats: https://t.co/PlU5DUD1pG via @youtube Call sign “Angel Flight “ C-130 bringing our heroes home that were KIA</t>
  </si>
  <si>
    <t>@erictheacktr @Joeysweettooth @EricGreitens No excuse for bad manners sir 😡.</t>
  </si>
  <si>
    <t>@DeplorableGoldn @philip_saulter @DNosegotten @Sticknstones4 @cenasby @EricGreitens Yeah,  but I’m getting fed up with their bad behaviors and horrible manners 😡</t>
  </si>
  <si>
    <t>RT @DeplorableGoldn: @kendylei @philip_saulter @DNosegotten @Sticknstones4 @cenasby @EricGreitens What a tangled web they've weaved!</t>
  </si>
  <si>
    <t>@GOPisISIS @Sticknstones4 @cenasby @EricGreitens And your crazy 😜 Roxann,  there’s just no excuse for your bad behaviors. Sorry, you liberals don’t like hearing the truth, but I’m just not accepting bad manners anymore!!  I got your robot roxanne 😡😡</t>
  </si>
  <si>
    <t>@philip_saulter @cenasby @Sticknstones4 @EricGreitens It’s down right scary, Thank You Jesus for giving us Trump.</t>
  </si>
  <si>
    <t>RT @philip_saulter: @kendylei @cenasby @Sticknstones4 @EricGreitens The stupidity of so many of our Representatives is what worries me the…</t>
  </si>
  <si>
    <t>@philip_saulter @cenasby @Sticknstones4 @EricGreitens It just floors me the way ppl think nothing of spreading rumors and lies without checking any facts first.</t>
  </si>
  <si>
    <t>RT @philip_saulter: @cenasby @kendylei @Sticknstones4 @EricGreitens Funny, neither has Greitens💪</t>
  </si>
  <si>
    <t>RT @DeplorableGoldn: This is falling apart!  #moleg #Greitens https://t.co/9zpt5w78CC</t>
  </si>
  <si>
    <t>@cenasby @Sticknstones4 @EricGreitens You ppl do know about the video just released that disproves all those lies right? Kim shady had it all along, but withheld it. I’m sure you do, otherwise you wouldn’t be spreading false rumors.</t>
  </si>
  <si>
    <t>@philip_saulter @DNosegotten @Sticknstones4 @cenasby @EricGreitens The video that kim shady withheld until the false report was released.</t>
  </si>
  <si>
    <t>RT @philip_saulter: @DNosegotten @Sticknstones4 @cenasby @kendylei @EricGreitens In which sworn testimony? Her video testimony directly con…</t>
  </si>
  <si>
    <t>@RVAwonk I think someone’s feeling pretty stupid right about now.</t>
  </si>
  <si>
    <t>@VNicholdon @meknowhu @RVAwonk What the hell does that mean?</t>
  </si>
  <si>
    <t>@VNicholdon @meknowhu @RVAwonk Excuse me?</t>
  </si>
  <si>
    <t>@cenasby @Sticknstones4 @EricGreitens How about checking facts before running your mouths. When did this happen?</t>
  </si>
  <si>
    <t>@Sticknstones4 @cenasby @EricGreitens Well we’re all learning not only is this prosecutor Gardner shady, but she doesn’t follow any ruly.</t>
  </si>
  <si>
    <t>RT @Sticknstones4: @cenasby @kendylei @EricGreitens Purely consensual NOT Coerced 
#Greitens #moleg #kimshady https://t.co/xSeTEyxDf9</t>
  </si>
  <si>
    <t>@MactavishShawn That woman is dangerous, the only power she should have is how many licenses will I make today.</t>
  </si>
  <si>
    <t>@Sticknstones4 @cenasby @EricGreitens Yeah, me either 🤷🏻‍♀️.</t>
  </si>
  <si>
    <t>RT @Sticknstones4: @cenasby @kendylei @EricGreitens Ive never had a penis in my mouth i didn’t want , 
But if i did id bite it and i wouldn…</t>
  </si>
  <si>
    <t>@cenasby @Sticknstones4 @EricGreitens I guess she could have, she’s rotten to the core. But what does any of those things have to do with Governor Greitens?</t>
  </si>
  <si>
    <t>RT @KryptoniteDragn: Car 55
  @RenClive1
  @DeplorableAJA
  @MAGA_KAG_AF
  @Cook4USHouse
  @RobertH41615867
  @Susie_2015
  @MyBellaGrace…</t>
  </si>
  <si>
    <t>RT @KryptoniteDragn: Car 54
  @DebbieDawakened
  @LisaPenatzer
  @TonyLupo12
  @TonyCapps9
  @burginsteven006
  @AveMariaMDei
  @IvyBryon…</t>
  </si>
  <si>
    <t>RT @KryptoniteDragn: Car 53
  @Lilbit15918287
  @RealPaulMcFreid
  @Samson_Storm777
  @Wandamc96036142
  @lynnsdesk1
  @_Coleen_B
  @C_John…</t>
  </si>
  <si>
    <t>RT @KryptoniteDragn: Car 52
  @SapperMakeBoom
  @fomoco34
  @ElectTrump_2020
  @dogpoop11
  @TraceyT078
  @GitsoBret
  @AmericaFirst3P
  @C…</t>
  </si>
  <si>
    <t>RT @KryptoniteDragn: Car 51
  @Spring_Harbinge
  @preache81734686
  @LiftUpVeterans
  @JohnJos72688428
  @DeiofSavannah
  @sicks_taryn
  @L…</t>
  </si>
  <si>
    <t>RT @KryptoniteDragn: Car 50
  @JonSmit93845888
  @Roadhog08913810
  @JoeBarefoot3
  @trumptrain7753
  @PadreTex
  @Gigglebot17622
  @TANNER…</t>
  </si>
  <si>
    <t>RT @KryptoniteDragn: Car 49
  @SarahAndyLowe1
  @therealCPTO
  @Silence_DoGoude
  @bigpapi766
  @Sky_Patriot
  @LBjornlie
  @56Madjack
  @k…</t>
  </si>
  <si>
    <t>RT @KryptoniteDragn: Car 48
  @10acn_Patriot
  @AshleyMcfarley
  @JamesGerm4
  @StephBoyd9
  @HeatherForDJT
  @David4TrumpMAGA
  @RealQueen…</t>
  </si>
  <si>
    <t>RT @KryptoniteDragn: Car 47
  @mac_twilight
  @demsaredummies2
  @JimDouglasson
  @KeepTexasRed7
  @PatriotGear1776
  @DrWilliamAmey
  @Non…</t>
  </si>
  <si>
    <t>RT @KryptoniteDragn: Car 46
  @deniseh21030822
  @ElephantInThe14
  @TeaLeafExpress
  @GOP_Dan
  @glocklover65
  @Rumfolo777
  @Mericas_Pat…</t>
  </si>
  <si>
    <t>@Sticknstones4 @RealBigRedBeard @EricGreitens  https://t.co/As9SnnAzYT</t>
  </si>
  <si>
    <t>@Joeysweettooth @EricGreitens I’m not a psychiatrist but I’m atleast average intelligence, but I don’t think having an affair automatically makes you a sociopath 🤔🧐.</t>
  </si>
  <si>
    <t>@Joeysweettooth @EricGreitens Steve Stenger follows you, well there’s one explanation.</t>
  </si>
  <si>
    <t>RT @Sticknstones4: @EricGreitens  https://t.co/Y1ClmjAkt2</t>
  </si>
  <si>
    <t>@Sticknstones4 @EricGreitens I knew this prosecutor Kim Gardner was dirty, but she is way worse than I even realized, we’re finding out just one thing after another, she just does what she wants and makes no apologies.  She is definitely not for the ppl of stl, she is for Kim Gardner only.</t>
  </si>
  <si>
    <t>RT @Sticknstones4: @EricGreitens DO NOT RESIGN !  This is a witch hunt</t>
  </si>
  <si>
    <t>RT @EricGreitens: Circuit Attorney Kim Gardner hid a video that she knew directly contradicted allegations in the House report, and she all…</t>
  </si>
  <si>
    <t>https://t.co/Nd58qAK9qI</t>
  </si>
  <si>
    <t>https://t.co/3utzfnyGWS+</t>
  </si>
  <si>
    <t>https://t.co/BwnLBugmcA</t>
  </si>
  <si>
    <t>RT @kendylei: Breaking: State Rep Files Complaint Against Greitens Prosecutor https://t.co/sMlKaqVajA via @SentinelKSMO</t>
  </si>
  <si>
    <t>https://t.co/sMlKaqVajA</t>
  </si>
  <si>
    <t>Greitens' defense claims 'gross misconduct' by prosecution, asks for judge to drop case
(Via KMOV News) https://t.co/Ka0gUqAbw4</t>
  </si>
  <si>
    <t>RT @VFL2013: Alert🚨🚨🚨 Congrats To My Girl @SaysMissy on 60k!! What A Awesome Follow She Is!!! True #MAGA Do Yourself A Favor Follow Her Up!…</t>
  </si>
  <si>
    <t>RT @davis1988will: The great @MichelleMalkin discusses a possible growing problem within churches here in America....Harboring Illegal Alie…</t>
  </si>
  <si>
    <t>RT @JW1057: @CStamper_ @kendylei Yet, Phil is so terrified of Eric! Phil needs to keep his lies straight.</t>
  </si>
  <si>
    <t>@VisioDeiFromLA @blackwidow07 @JackSuntrup @stltoday She lied to grand jury about having new evidence in stockley case too.</t>
  </si>
  <si>
    <t>@blackwidow07 @JackSuntrup @stltoday Every city deserves justice for victims of crime. This city is denied that as long as Kim Gardner has a say in it.</t>
  </si>
  <si>
    <t>RT @blackwidow07: @JackSuntrup @stltoday When this is over just file bar complaints. The city deserves better.</t>
  </si>
  <si>
    <t>RT @JackSuntrup: NEW: Greitens filing claims ex-lover testified to only seeing phone or camera in 'dream' https://t.co/wW0orW0S2R via @stlt…</t>
  </si>
  <si>
    <t>RT @wgriffith11: @fox4kc Kim Gardner needs to resign she is tainted by the Politics of the Swamp and maybe George Soros’s Money!!!  It star…</t>
  </si>
  <si>
    <t>@mopns Uh yeah! Like yesterday!</t>
  </si>
  <si>
    <t>RT @mopns: MOPNS Twitter Poll: Should Mo. Attorney General Investigate STL Circuit Attorney Kim Gardner? https://t.co/BW3RnZltJM</t>
  </si>
  <si>
    <t>@kadedawg1023 @CStamper_ Now is their chance for some redemption, hopefully they won’t screw it up.</t>
  </si>
  <si>
    <t>RT @captrgutz: @CStamper_ @SykesforSenate And still @georgesoros manages to operate without reprisals</t>
  </si>
  <si>
    <t>RT @KryptoniteDragn: Car 45
  @jaykingfire
  @HanniganDeb
  @StillonGuitar1
  @maxheadroom79
  @Righty___Tighty
  @Richard44299447
  @Robin…</t>
  </si>
  <si>
    <t>RT @KryptoniteDragn: Car 44
  @FreedomPatriot7
  @TennesseeSands
  @RidgeRunner1965
  @SpentBrass2
  @TruckerandCat
  @draintheswamp57
  @O…</t>
  </si>
  <si>
    <t>RT @KryptoniteDragn: Car 43
  @Cb59Carolina75
  @circuitsurgeon
  @JimCollett4
  @lmdiet67
  @JSOC_DF
  @SunFunFamily
  @heresursign_1
  @R…</t>
  </si>
  <si>
    <t>RT @Franklin_Graham: As the situation in Syria is escalating &amp;amp; tensions are mounting, we need to pray especially for @POTUS @realDonaldTrum…</t>
  </si>
  <si>
    <t>RT @realDonaldTrump: If I wanted to fire Robert Mueller in December, as reported by the Failing New York Times, I would have fired him. Jus…</t>
  </si>
  <si>
    <t>RT @almostjingo: In 2012 @GenFlynn provided the Obama administration with the intelligence of exactly what was happening in #Syria that sam…</t>
  </si>
  <si>
    <t>RT @FoxBusiness: .@POTUS: "From the day I took the oath of office, I've been fighting to drain the swamp and sometimes it may not look like…</t>
  </si>
  <si>
    <t>RT @KryptoniteDragn: Car 42
  @MrsParkington
  @sunny_granny
  @SpeakNoEvil85
  @Politicallyin18
  @jacketch1
  @CantedQuips
  @Sherryrealt…</t>
  </si>
  <si>
    <t>@WhereIs_Billy @YearOfZero @Kip_Kendrick Bye billy https://t.co/TvBMsbgGS9</t>
  </si>
  <si>
    <t>@gocrazy4cards @J_Hancock @MoRepEvans @EricGreitens As we’ve seen from the other side, most of them wouldn’t know the truth if it hit em in the face 👊🏻.</t>
  </si>
  <si>
    <t>@gagemitchusson @EricGreitens Appalling 😡🤬, isn’t it ?</t>
  </si>
  <si>
    <t>RT @gagemitchusson: The accusations against our governor, @EricGreitens, are completely unfounded. He is being charged with a crime with ze…</t>
  </si>
  <si>
    <t>@Commodog11 Yeah 😂🤣, but she’s still carrying it well. 😂</t>
  </si>
  <si>
    <t>@YearOfZero @WhereIs_Billy @Kip_Kendrick Especially this one that has a different version every time she opens her mouth.</t>
  </si>
  <si>
    <t>RT @YearOfZero: @WhereIs_Billy @kendylei @Kip_Kendrick Testimony is just he said/she said. How do we know if woman is credible ?</t>
  </si>
  <si>
    <t>@WhereIs_Billy @YearOfZero @Kip_Kendrick Um billy, we’re done here.</t>
  </si>
  <si>
    <t>@WhereIs_Billy @YearOfZero @Kip_Kendrick Is this a trick question??  Liberals lie under oath all the time. Not the first time kim shady 🤥 to a grand jury to get an indictment. Hillary Clinton ring a bell?</t>
  </si>
  <si>
    <t>@baghm @RVAwonk All of us are getting old, all the more reason not to make unfair snap judgments. Just sayin 🤷🏻‍♀️.</t>
  </si>
  <si>
    <t>@Commodog11 My sentiments exactly Sir. Not going to waste my time on their ridiculous BS.</t>
  </si>
  <si>
    <t>@meknowhu @RVAwonk Get blocked!!</t>
  </si>
  <si>
    <t>@meknowhu @RVAwonk I especially don’t waste my time on TRUMP haters!! You need not reply!!  This is a #MAGA zone. Haters het blocked 😁😁😁</t>
  </si>
  <si>
    <t>@meknowhu @RVAwonk Sorry I don’t waste my time on fake news.</t>
  </si>
  <si>
    <t>@LeftTheLeft2016 @DD93778941 @DRUDGE_REPORT @Lrihendry Well, that’s par for the course!</t>
  </si>
  <si>
    <t>RT @LeftTheLeft2016: @DD93778941 @DRUDGE_REPORT @Lrihendry https://t.co/bX1d05vQk0 https://t.co/cEzu8WdMni</t>
  </si>
  <si>
    <t>@LeftTheLeft2016 @DD93778941 @DRUDGE_REPORT @Lrihendry Scary!!</t>
  </si>
  <si>
    <t>RT @LeftTheLeft2016: @DD93778941 @DRUDGE_REPORT @Lrihendry Worse than that... https://t.co/GySgsCqISR</t>
  </si>
  <si>
    <t>RT @DD93778941: @LeftTheLeft2016 @DRUDGE_REPORT @Lrihendry And she still has a job</t>
  </si>
  <si>
    <t>@LeftTheLeft2016 @DRUDGE_REPORT @Lrihendry I read she also posted it on Facebook too.</t>
  </si>
  <si>
    <t>RT @LeftTheLeft2016: @DRUDGE_REPORT @Lrihendry She is the one who made the comment on Facebook (to the cousin of a secret Service agent cur…</t>
  </si>
  <si>
    <t>RT @daniejaye: @DRUDGE_REPORT This lunatic is still in the senate?</t>
  </si>
  <si>
    <t>RT @gardeningpamela: @sdnzen @DRUDGE_REPORT @Lrihendry Also what about all the Irish slaves that were here long before the blacks? Blacks w…</t>
  </si>
  <si>
    <t>RT @sdnzen: @DRUDGE_REPORT @Lrihendry Excuse me, ma'am....please sit down and be quiet. Where're the reparations for all the families who l…</t>
  </si>
  <si>
    <t>@DRUDGE_REPORT @Markknight45 How is this nut job holding any political office? She publicly wished our POTUS would be assassinated!! 😡😡</t>
  </si>
  <si>
    <t>@CStamper_ About time!!</t>
  </si>
  <si>
    <t>RT @KMOXKilleen: @EricGreitens attorney Scott Rosenblum says never in his 35 year career has he accused a prosecutor of misconduct, now he…</t>
  </si>
  <si>
    <t>@meknowhu @RVAwonk And this corrupt witches name is Kim Gardner aka Kim shady.</t>
  </si>
  <si>
    <t>@baghm @RVAwonk Hey barb, why so you only have 13 followers?  🤔</t>
  </si>
  <si>
    <t>RT @maxschneider1: @RVAwonk  https://t.co/s3ThLKcJr0</t>
  </si>
  <si>
    <t>@WhereIs_Billy @YearOfZero @Kip_Kendrick Making judgments and name calling based on lies and rumors does make you scum as far as I’m concerned.</t>
  </si>
  <si>
    <t>@YearOfZero @Kip_Kendrick  https://t.co/3vZVam2k5g</t>
  </si>
  <si>
    <t>RT @YearOfZero: @Kip_Kendrick Let me be clear you are scum if you don’t allow him to present his side and convict a man in the public squar…</t>
  </si>
  <si>
    <t>@YearOfZero @StalkTheTrade @Kip_Kendrick True, but I wish she would stick to the truth.</t>
  </si>
  <si>
    <t>RT @YearOfZero: @StalkTheTrade @Kip_Kendrick Bingo. He deserves his day and after reading this thing they released, this woman clearly had…</t>
  </si>
  <si>
    <t>RT @StalkTheTrade: @Kip_Kendrick Bold statement about a person yet to have his day in court.  Could come back to bite you if he’s cleared o…</t>
  </si>
  <si>
    <t>RT @Sticknstones4: @Kip_Kendrick You might not like the guy , but no crime has been committed.  And while your passing out scum labels how…</t>
  </si>
  <si>
    <t>@tonymess @stltoday I don’t read fake news. I wait for the real truth!!</t>
  </si>
  <si>
    <t>@TexasEEOLaw @TwitterMoments @EricGreitens @realDonaldTrump  https://t.co/5FM8pAsQxy</t>
  </si>
  <si>
    <t>@TexasEEOLaw @TwitterMoments @EricGreitens @realDonaldTrump Alfred, don’t talk out your ass!</t>
  </si>
  <si>
    <t>@TwitterMoments @EricGreitens This mistress’ story keeps changing almost by the hour.</t>
  </si>
  <si>
    <t>@EAKirkCuomo @TwitterMoments @EricGreitens  https://t.co/X1EjDAvgIk</t>
  </si>
  <si>
    <t>@EAKirkCuomo @TwitterMoments @EricGreitens You know me so well!! 🙄🙄🙄</t>
  </si>
  <si>
    <t>@MactavishShawn @Sticknstones4 @Kip_Kendrick Naturally!</t>
  </si>
  <si>
    <t>RT @MactavishShawn: @kendylei @Sticknstones4 @Kip_Kendrick I’m sure Kip wouldn’t say anything if the governor was a Democrat. But since he’…</t>
  </si>
  <si>
    <t>@mattmfm It’s a witch hunt, nothing has been proven. But I agree it’s way overdue for for a full out investigation into the corruption of prosecutor Kim Gardner and her office.</t>
  </si>
  <si>
    <t>@Kip_Kendrick Awfully judgmental there,who are you to judge anyone? Wake up! There have been nothing  but lies and rumors about this man since kim shady started this political witch hunt. NOTHING has been proven.</t>
  </si>
  <si>
    <t>@Sticknstones4 @Kip_Kendrick If you want to talk about scum, take a look into kim Gardner aka Kim shady, the so called prosecutor who built this “case” on lies,  who refuses to prosecute violent criminals so she can keep doing soro’s political bidding.  NOTHING has been proven!!</t>
  </si>
  <si>
    <t>A video previously indicated by the prosecutor’s office to have malfunctioned has been found and turned over to the Greitens defense team
(Via KMOV News) https://t.co/Ka0gUqAbw4</t>
  </si>
  <si>
    <t>@EAKirkCuomo @TwitterMoments @EricGreitens Then you would lose that argument, check the facts, I have,  continuously.</t>
  </si>
  <si>
    <t>RT @TrumpChess: Everyone of you in the "mo house" who colluded in private to unseat a duly elected MO GOV @EricGreitens better just pack yo…</t>
  </si>
  <si>
    <t>RT @DeplorableGoldn: RT-ING 🚨
"This was an entirely consensual relationship, and any allegation of violence or sexual assault is false. Thi…</t>
  </si>
  <si>
    <t>RT @BigJShoota: Did the "Committee" REALLY engage in misconduct?  😒😒😒😒 
#UnAuthorizedConduct 
#moleg #mogov #greitens #GreitensIndictment…</t>
  </si>
  <si>
    <t>RT @MarcCox971: No one is more sick about this than I am. I’ve been friends with @jallman971 for 25 years. He’s a good man, and great conse…</t>
  </si>
  <si>
    <t>RT @Sticknstones4: @gocrazy4cards @EricGreitens @MissouriGOP @robschaaf Paul they’re crooks, they don’t want to loose their gravy train 🚂 o…</t>
  </si>
  <si>
    <t>RT @gocrazy4cards: You don't represent Missouri if you plan on stealing OUR VOICE which is @EricGreitens without his day in court 
And tha…</t>
  </si>
  <si>
    <t>@TwitterMoments @EricGreitens If his mistress really testified to that, she should be ashamed of herself, she’s why true victims don’t come forward.</t>
  </si>
  <si>
    <t>@TwitterMoments @EricGreitens Omg idiot liberals are really trying to jump on this bandwagon, until it blows up in their face, like it always does when the real truth can’t be covered up anymore.</t>
  </si>
  <si>
    <t>@realMattJansen @TwitterMoments @EricGreitens You mean Hillary husband?  Doesn’t apply here sir.</t>
  </si>
  <si>
    <t>RT @AaronSchuler7: @TwitterMoments @EricGreitens She is on video say she aggressively pursued him sexually during that encounter case close…</t>
  </si>
  <si>
    <t>@VickyCa85424713 @AaronSchuler7 @C_W2016 @TwitterMoments @EricGreitens GMAFB , it’s a travesty that the corrupt prosecutor Kim Gardner was allowed to break laws, blatantly lie to the grand jury for the second time and carry on this farce. This is a complete joke. Anyone with half a brain knows it too.🙄🙄🙄🙄🙄🙄🙄🙄</t>
  </si>
  <si>
    <t>RT @AaronSchuler7: @C_W2016 @TwitterMoments @EricGreitens She went to his house and "aggressively pursued him sexually" she said so on vide…</t>
  </si>
  <si>
    <t>@C_W2016 @TwitterMoments @EricGreitens True, they should have a fair trial, which this Governor has had anything but. You clearly haven’t been keeping up with this case if you can say that with a straight face.</t>
  </si>
  <si>
    <t>@TwitterMoments @EricGreitens Is that why Greitens mistress AGAIN voluntarily went back to have sex with Greitens that very same day that she’s claiming she was coerced? https://t.co/HUU2sRvkXb</t>
  </si>
  <si>
    <t>Democrats call for Greitens to resign after scathing report https://t.co/WMBm2fLVdT</t>
  </si>
  <si>
    <t>@lovealwayschio It’s not one sided.</t>
  </si>
  <si>
    <t>RT @kate_mccrea: I’m totally late bc of latex and lube.  Does that excuse work for anyone who’s not a hooker?  #RHOBH</t>
  </si>
  <si>
    <t>@siptherealtea That man scared the💩out of me!!</t>
  </si>
  <si>
    <t>RT @TheAngieNC2: @siptherealtea 600,000+ Americans died to end slavery in America yet a monument in Berlin impresses you. 🤣🤣🤣 Learn some hi…</t>
  </si>
  <si>
    <t>RT @MyManJimmyJack: @siptherealtea Look at where it’s led them - they have used that guilt as a justification for letting themselves be inv…</t>
  </si>
  <si>
    <t>@BrendanKKirby @siptherealtea It wasn’t all the Americans, for one thing. I’m not getting roped into this BS . Um this is real housewives topic.</t>
  </si>
  <si>
    <t>@siptherealtea @RealiTeaRead I know the whole world owes you. 🙄🙄🙄</t>
  </si>
  <si>
    <t>RT @RobinJohnson54: @siptherealtea @Geegirl173 Then go to Berlin!</t>
  </si>
  <si>
    <t>@Geegirl173 @siptherealtea GMAFB!! 🙄🙄🙄</t>
  </si>
  <si>
    <t>@ArkayEvans @siptherealtea 🙄🙄🙄</t>
  </si>
  <si>
    <t>@LeiD_Brown @siptherealtea @fayw1990 Zactly</t>
  </si>
  <si>
    <t>@siptherealtea Wow, slavery!! How did slavery come into this? https://t.co/XMyyj5HWU0</t>
  </si>
  <si>
    <t>@ohchadwick @LoveAndyC Scuse me,  Erica landed her a sugar grandpa, just the way she planned it.</t>
  </si>
  <si>
    <t>@Mingmingcherry @LoveAndyC  https://t.co/fDm4H6SUzr</t>
  </si>
  <si>
    <t>RT @Mingmingcherry: @LoveAndyC Toms on his way https://t.co/TLfkDR0er3</t>
  </si>
  <si>
    <t>@LoveAndyC @NormanGoldenll LoveandyC, are you a parody or something, it almost seems like you’re kind of screwing with the rest of us by your replies, they’re ridiculous and you seem oblivious.</t>
  </si>
  <si>
    <t>@LoveAndyC @TexasWarEagle @freemanste Wake up loveandyC, this is not a typical marriage, they both understood the terms, and tom’s clearly made good on his promises.</t>
  </si>
  <si>
    <t>RT @RnBTrina: @LoveAndyC An arranged marriage @erikajayne knows her purpose &amp;amp; lane as a trophy why just like Anna Nicole #rhobh erika</t>
  </si>
  <si>
    <t>RT @Starkarygen: #RHOBH Erika is a liar and an asshole. Not the right time or place. She can take her ice queen attitude and shove it up he…</t>
  </si>
  <si>
    <t>RT @MissSandraSays: I'm sorry, but the guy who leads Erika's glam squad is really irritating. #RHOBH</t>
  </si>
  <si>
    <t>@fearandsarcasm  https://t.co/saeJQ87ARS</t>
  </si>
  <si>
    <t>RT @fearandsarcasm: Totally on Kyle’s side on this one. Dorit’s points never quite connect. She just wants to start shit. And Vanderpump ne…</t>
  </si>
  <si>
    <t>@LoveAndyC There’s waiting 15-20 minutes for someone and them contacting and letting you know why. Then there’s Erica, who thinks she’s gracing you with her presence and shouldn’t be bothered to let anyone know why or if she’s even going to show up.😡😡</t>
  </si>
  <si>
    <t>RT @LoveAndyC: What is it with these bitches having zero manners making people wait? #RHOBH</t>
  </si>
  <si>
    <t>RT @FakeMikeMatheny: Matt Carpenter -.156
Move him back to leadoff?</t>
  </si>
  <si>
    <t>RT @FSMidwest: Matt Carpenter hits a walk-off homer and the @Cardinals win! #STLCards https://t.co/zYZAL9PeFu</t>
  </si>
  <si>
    <t>RT @StlCardsCards: Greg Garcia ties it and Matt Carpenter wins it. I could impregnate an entire tribe of Amazon women right now. #stlcards</t>
  </si>
  <si>
    <t>RT @Sticknstones4: 🚨RT  and wish @EricGreitens  a
Happy Birthday today 
 H A P P Y   B I R T H D A Y 
 Governor Greitens 
#missouri #grei…</t>
  </si>
  <si>
    <t>@MommyRou Never realized what a superficial self absorbed fake she was.</t>
  </si>
  <si>
    <t>Erica, get over yourself already, reality check..you’re not really a mega superstar performer, you’re sugar daddy is funding your fantasy to make you feel important and keep you off his back.#rhobh</t>
  </si>
  <si>
    <t>RT @DeliciousDesM: #rhobh Erika let the fame get to her head..she is so obnoxious it's exhausting..</t>
  </si>
  <si>
    <t>RT @Pinky81949548: Erika is probably late bc her clown squad have attached their lips to her ass and she's waiting on room service to bring…</t>
  </si>
  <si>
    <t>Erica, we’re really starting to see your true colors, it was just a matter of time. There is nothing cool about you, you’re the typical gold digger that landed her sugar daddy grandpa. Of course you think everyone is beneath you because your rich now. 🤔😠#rhobh</t>
  </si>
  <si>
    <t>@tourejansari @TBTCelebrity When i hear or see stormy skank daniels, I feel immediate repulse and disgust. What is this this skank thinking? Why is she ok with making herself look like an incredible joke and such a nasty skank?</t>
  </si>
  <si>
    <t>RT @AllenTruitt1: Kim Gardner, the prosecutor who brought bogus charges by lying to the Grand Jury about #greitens has some shady associate…</t>
  </si>
  <si>
    <t>Opinion: Hollywood's blatant discrimination -- no conservatives nor Christians need apply - Fox News https://t.co/ySk8HFupFE</t>
  </si>
  <si>
    <t>RT @magathemaga1: (20) ... expectation, that her office would later uncover sufficient evidence 2 prove its case. There is no shame in conc…</t>
  </si>
  <si>
    <t>RT @magathemaga1: (18) I also want 2 note second critical admission made by the Circuit Attorney’s Office. In its supplemental memorandum i…</t>
  </si>
  <si>
    <t>@magathemaga1 Greitens wife is adorable!!</t>
  </si>
  <si>
    <t>RT @magathemaga1: (17) ... the trial will have on ability 2 obtain a fair trial, we are concerned that self-imposed deadline set by the Hou…</t>
  </si>
  <si>
    <t>RT @magathemaga1: (16) &amp;amp; missteps which are embarrassing and destructive to the State. It is our understanding that you intend for House Sp…</t>
  </si>
  <si>
    <t>RT @magathemaga1: (15) Steele’s revelation was. The Circuit Attorney’s insistence on taking action based on self-imposed deadline resulted…</t>
  </si>
  <si>
    <t>RT @magathemaga1: (14) that grand jurors had significant concerns about sufficiency of the evidence and then were misguided by the Circuit…</t>
  </si>
  <si>
    <t>RT @magathemaga1: (13) The error in racing 2 indict this case was readily apparent when the 1st Assistant Circuit Attorney Steele admitted…</t>
  </si>
  <si>
    <t>RT @magathemaga1: (12) The special prosecutor meanwhile appeared to be violating Missouri law, and the police department said the
Circuit A…</t>
  </si>
  <si>
    <t>RT @magathemaga1: (11) As details came out, this case only got stranger: the private investigator had been found to have violated Alabama l…</t>
  </si>
  <si>
    <t>RT @magathemaga1: (10) The weeks following the indictment have abundantly demonstrated that the Circuit Attorney’s race to the grand jury h…</t>
  </si>
  <si>
    <t>RT @magathemaga1: (9) Notwithstanding the statute of limitations had at least 30 more days, the indictment was presented to the grand jury…</t>
  </si>
  <si>
    <t>RT @magathemaga1: (8) the St. Louis Metropolitan Police Department, the hiring of a “special” Assistant Circuit Attorney not licensed in Mi…</t>
  </si>
  <si>
    <t>RT @magathemaga1: (7) There can be 0 doubt this is a most unusual case - statute used in a fashion which no prosecutor had ever done before…</t>
  </si>
  <si>
    <t>RT @magathemaga1: (6) ... be publicly proven to be incorrect. In a way, these problems were, unfortunately, laid at our feet by the Circuit…</t>
  </si>
  <si>
    <t>RT @magathemaga1: (5) Dear Mr. Chairman:
It is our understanding that you intend for the House Special Investigative Committee report to b…</t>
  </si>
  <si>
    <t>RT @magathemaga1: (4) The full #DowdLetter from @EricGreitens lawyers can be found here: https://t.co/1FHFU6u8CZ
#Moleg #mogov #Missouri #…</t>
  </si>
  <si>
    <t>RT @magathemaga1: (3) We begin first, with the contents. 
#moleg #greitens #missouri #mogov #stlouis #mo #maga #stl #GreitensIndictment ht…</t>
  </si>
  <si>
    <t>RT @magathemaga1: (2) Contents:
✔️Contents of letter to @jaybarnes5 and @MOHouseGOP / @MOGOP_Chairman 
✔️Commentary on if it’s BS or if i…</t>
  </si>
  <si>
    <t>RT @magathemaga1: (1) The #DowdLetter from @EricGreitens lawyers
A thread on the #GreitensIndictment and specifically what the Dowd Letter…</t>
  </si>
  <si>
    <t>RT @magathemaga1: #GreitensIndictment explained:
-No evidence
-Consensual affair 
-Shady #KimShady
-No probable cause
-Ex husband out 4 re…</t>
  </si>
  <si>
    <t>RT @Bigmaned12: @IrisMonique Spoil brat saying her house is small 9000sq ft please https://t.co/kyS9itOmpG</t>
  </si>
  <si>
    <t>@IrisMonique Brag, or complain about everything she’s just too busy with.</t>
  </si>
  <si>
    <t>RT @IrisMonique: Get Monique off the show all she does is brag and it’s so low class and annoying. #RHOP</t>
  </si>
  <si>
    <t>@KimberlyMoten1 It seems like they are both ok with it soooooo</t>
  </si>
  <si>
    <t>@CoolGirlFusion Neither one are complaining so, it apparently works for them.</t>
  </si>
  <si>
    <t>RT @KarenHugersHair: Karen...dining in a Sports Bar drinking house champagne. Like she should have been all along. Girl we knew Season 1 by…</t>
  </si>
  <si>
    <t>It drives me crazy when these ladies sign up for the show, then bitch and whine how their too busy to meet up with others.#rhop</t>
  </si>
  <si>
    <t>@BradshawGlam Well said girlfriend!! 🤜🏻✋🏻</t>
  </si>
  <si>
    <t>RT @BradshawGlam: Honestly, I’d take relationship advice from Jax Taylor before I would from Lauren Wirkus. Sit tf down😂  #SummerHouse</t>
  </si>
  <si>
    <t>RT @imkylecooke: Going to Greece post #summerhouse with @amandabatula_ was the best vacation from our vacation. And what an amazing country…</t>
  </si>
  <si>
    <t>RT @dinoface1: Lauren thinking she can analyze Kyle/Amanda's relationship is insane. She's arguably one of the least stable cast mates and…</t>
  </si>
  <si>
    <t>RT @Book_dragonz: #summerhouse Just because you're louder than everyone else, doesn't mean you're always right. #Lauren</t>
  </si>
  <si>
    <t>RT @HatterReality: Please replace the entire female cast except for Amanda. They are insufferable. #SummerHouse</t>
  </si>
  <si>
    <t>@1ChiefRocka Yep</t>
  </si>
  <si>
    <t>RT @1ChiefRocka: This reunion is basically the wirkus sisters trying to convince everyone of their reality. #summerhousereunion  #summerhou…</t>
  </si>
  <si>
    <t>@gshill1 That’s what I thought you were thinking. You’re right!</t>
  </si>
  <si>
    <t>RT @cpalms17: First 20 minutes of the #summerhouse reunion is literally all Lauren talking. She’s just TERRIBLE!</t>
  </si>
  <si>
    <t>RT @sparklehaas: I am so over Stephen and the twins on #summerhouse, just because you talk the loudest doesn't mean you are right</t>
  </si>
  <si>
    <t>RT @Mariep69340025: @1ChiefRocka Lyndsey is trash and a troublemaker she belongs with the two drag queens the twins watching them on Andy l…</t>
  </si>
  <si>
    <t>@Bandtastics @1ChiefRocka No one goes against the wirkus twins and judgy stephen.</t>
  </si>
  <si>
    <t>@Wilsonrjs @1ChiefRocka She’s following the bully wirkus twins.</t>
  </si>
  <si>
    <t>@maryrog96039247 @1ChiefRocka Me too!</t>
  </si>
  <si>
    <t>RT @maryrog96039247: @1ChiefRocka That was too funny!! Amanda should not stoop low enough to hang out with any of them. I didn’t think Lind…</t>
  </si>
  <si>
    <t>RT @RoseBingman: In the interest of positivity I’m just gonna put this out there. I love Kyle and Amanda in love. I think they’re great. #S…</t>
  </si>
  <si>
    <t>@imkylecooke I think you have it in you to be a good husband. Please be good to amanda, she deserves it.Good luck to you both. ❤️❤️</t>
  </si>
  <si>
    <t>RT @imkylecooke: 1/3🤵🏼👰🏼 Watching my brother get happily married has given me confidence that I am capable of settling down and committing…</t>
  </si>
  <si>
    <t>@bekah2386 Definitely looks like it could be a possibility, or she’s just a bitter,  mean, loud bullies that can’t stand to see anyone else happy.</t>
  </si>
  <si>
    <t>RT @bekah2386: Does anyone else think Lauren is crushing on Kyle and that’s why she is such a bitch to Amanda?!?!  #summerhouse</t>
  </si>
  <si>
    <t>@mis_mol No, not at all, I really try, but they are rude loud, bullies.</t>
  </si>
  <si>
    <t>RT @mis_mol: Can anyone stand the twins and Steven? Ughhhhh vomit #summerhouse</t>
  </si>
  <si>
    <t>Stephen and lauren are the sneakiest bitches around .#SummerHouse</t>
  </si>
  <si>
    <t>RT @whatacatchdiana: Why is everyone being so mean to Amanda? She’s literally the only 👏🏻 reasonable 👏🏻 person 👏🏻 there 👏🏻 #SummerHouse</t>
  </si>
  <si>
    <t>@jennbaum1 BULLIES!!</t>
  </si>
  <si>
    <t>RT @jennbaum1: “Sorry, I’m not going to interrupt” as I totally cut Amanda off. Do these Wirkus chicks let anyone talk ever??? #summerhouse</t>
  </si>
  <si>
    <t>STFU lauren, I wish amanda would punch you in your big fat head.#SummerHouse</t>
  </si>
  <si>
    <t>Lauren wirkus is a loud mouth bully Ashley is a close 2nd.#SummerHouse</t>
  </si>
  <si>
    <t>@45IsMyGuy 👍🏻👍🏻</t>
  </si>
  <si>
    <t>@Sticknstones4 They are doing such an injustice to the citizens of st.louis, they deserve to know criminals go free, to roam the streets and know they won’t be held accountable, prosecuting attorney kim Gardner refuses to go after criminals.</t>
  </si>
  <si>
    <t>RT @Sticknstones4: 🚨Ask yourselves why today is @jallman971 getting backlash for a tweet made on 3-26-18 ? 
On 4-4-18 he aired an intervie…</t>
  </si>
  <si>
    <t>RT @magathemaga1: @roykasten @SpeakerTimJones @staceynewman @jallman971 It’s an allegorical reference idiot. And do you even have the full…</t>
  </si>
  <si>
    <t>RT @VisioDeiFromLA: Everybody that goes against “the narrative” is a Russian bot.
The emotional child’s guide to online political debate.…</t>
  </si>
  <si>
    <t>RT @Sticknstones4: 🚨BREAKING  #Greitens Attorney Ed Dowd letter to Chairman Jay Barnes 
Well #moleg  what do you have to say ?
#kimshady…</t>
  </si>
  <si>
    <t>@SorosInSTL @EricGreitens @MOHouseGOP @GOPMissouri @TomFitton Hopefully the more attention brought to this incredible corruption going on with the prosecutor Kim Gardner and her office, something can finally start getting done about it.</t>
  </si>
  <si>
    <t>RT @SorosInSTL: DOWD LETTER to Barnes is UNACCEPTABLE. 😡😡🤬🤬
How dare they question glaring holes &amp;amp; shadiness of the #greitensindictment !!…</t>
  </si>
  <si>
    <t>https://t.co/ZfZtoQBVac</t>
  </si>
  <si>
    <t>Dowd letter to Barnes https://t.co/t87tHehrey via @stltoday</t>
  </si>
  <si>
    <t>@magathemaga1 @EricGreitens @DRUDGE @DailyCaller @TuckerCarlson @gatewaypundit Good question. @TuckerCarlson ,  please help us bring attention to the corruption of this st.louis prosecuting attorney Kim Gardner and her office.</t>
  </si>
  <si>
    <t>RT @magathemaga1: 🚨 #Greitens UPDATE 🚨 
Accuser of @EricGreitens STALKED SHEENA GREITENS
Jealous Ex Husband reportedly even went after Sh…</t>
  </si>
  <si>
    <t>RT @magathemaga1: @marcps @catsrangels2 @SpeakerTimJones @staceynewman @jallman971 I believe that’s fallacy my dear boy.  The substance of…</t>
  </si>
  <si>
    <t>RT @SpeakerTimJones: He dared to stand up to David Hoog. And for our Second Amendment. Snowflake @staceynewman has decided to try to theref…</t>
  </si>
  <si>
    <t>RT @magathemaga1: @SpeakerTimJones @staceynewman Sorry but If Hogg wants to get political and be an adult, that means he’s entering the are…</t>
  </si>
  <si>
    <t>RT @magathemaga1: @catsrangels2 @SpeakerTimJones @staceynewman @jallman971 There’s nothing ADULT about calling the NRA terrorists. It’s wro…</t>
  </si>
  <si>
    <t>RT @HMLoeschMcK: "I believe the children are our future..." 
Ah be afraid; VERY AFRAID!!!! https://t.co/GYf3LWW3em</t>
  </si>
  <si>
    <t>@sandy___21 @MAGANinaJo MAGA, best POTUS</t>
  </si>
  <si>
    <t>RT @sandy___21: @MAGANinaJo @kendylei I’m in...or on. 😎👊🏻🇺🇸</t>
  </si>
  <si>
    <t>RT @RealTT2020: Watch the 
#MakeCaliforniaGoldenAgain 
Rally in #HuntingtonBeach
Awesome job @MikeTokes!
Thanks for your support of all t…</t>
  </si>
  <si>
    <t>@MAGANinaJo @AnthemRespect Let’s go, let’s go, let’s goooooo!!!! Trump 🚂, full speed ahead 🚂 choo choo !!!</t>
  </si>
  <si>
    <t>RT @MAGANinaJo: Looking for a few thousand Trump Train riders who are committed to winning the midterms.  If you are, add your name, follow…</t>
  </si>
  <si>
    <t>RT @AnthemRespect: @MAGANinaJo @AnthemRespect 
#AnthemTT45 
❌#SanctuaryState❌
❌#SanctuaryCities❌
🇺🇸🇺🇸🇺🇸🇺🇸🇺🇸🇺🇸🇺🇸🇺🇸🇺🇸🇺🇸🇺🇸🇺🇸 https://t.co/PTuz…</t>
  </si>
  <si>
    <t>@JW1057 Agree</t>
  </si>
  <si>
    <t>RT @JW1057: @kendylei I think Katrina is also a victim. She only ever asked for her privacy but was raped of it by Philip Sneed, Al Watkins…</t>
  </si>
  <si>
    <t>RT @Sticknstones4: @JW1057 @VisioDeiFromLA @LaurenTrager @jallman971 @SheenaGreitens @EricGreitens She’s a brilliant lady and a Pilar of Gr…</t>
  </si>
  <si>
    <t>RT @JW1057: @Sticknstones4 @VisioDeiFromLA @LaurenTrager @jallman971 @SheenaGreitens I hope @EricGreitens realizes how truly blessed he is…</t>
  </si>
  <si>
    <t>RT @Sticknstones4: @JW1057 @VisioDeiFromLA @LaurenTrager @jallman971 @SheenaGreitens God Bless our First Lady of Missouri @SheenaGreitens</t>
  </si>
  <si>
    <t>@JW1057 @LaurenTrager @KMOV Yeah, we need some real investigative reporters who truly care about justice and not politics.</t>
  </si>
  <si>
    <t>RT @JW1057: @LaurenTrager @KMOV 
You sure do great work always knew was abusing Katrina. Now we now he was stalking Sheena and her parents…</t>
  </si>
  <si>
    <t>@JW1057 @VisioDeiFromLA @Sticknstones4 @LaurenTrager @jallman971 @SheenaGreitens Outrageous 😡😡😡, who does that SOB think he is?? He needs to be locked up, he is out of control!!😡😡</t>
  </si>
  <si>
    <t>RT @JW1057: @VisioDeiFromLA @Sticknstones4 @LaurenTrager @jallman971 
Philip Sneed stalked @SheenaGreitens. Put Phil in prison
https://t.…</t>
  </si>
  <si>
    <t>@LaurenTrager @EricGreitens @KMOV What’s the story on kim shady’s latest corruption. How many laws has she broken? How many rights has she violated? How many violent criminals has she refused to prosecute and let back out on the streets of st.louis to keep victimizing innocent citizens?</t>
  </si>
  <si>
    <t>@JW1057 @LaurenTrager @EricGreitens @KMOV Or perhaps a crooked as hell prosecutor kim shady and her office.</t>
  </si>
  <si>
    <t>@LaurenTrager @stlcountypd @KMOV Could you imagine the corruption that would be spilling out if shady city prosecutor Kim Gardner had to wear one? There’s a story for you. Why do you investigative reporters keep ignoring that huge elephant in the room????</t>
  </si>
  <si>
    <t>@LaurenTrager @EricGreitens @KMOV Anytime someone calls his consenting adult mistress a victim, it blows my mind. Especially when they can’t  produce evidence of any crimes. The bigger question here is, why isn’t this corrupt kim shady being investigated. They won’t have to dig deep at all.</t>
  </si>
  <si>
    <t>RT @ChrisNagusKMOV: .@Millennium Hotel in downtown #STL remains vacant. This week police are using it for #K9 training. Otis Williams with…</t>
  </si>
  <si>
    <t>RT @JW1057: @SpeakerTimJones @KMOV @SuchHate @Sticknstones4 
If Philip Sneed believes Greitens "victimized" Katrina, why did he leave her?…</t>
  </si>
  <si>
    <t>RT @VisioDeiFromLA: @roykasten @magathemaga1 @SpeakerTimJones @staceynewman @jallman971 @EricGreitens @RiverfrontTimes @paulcurtman @sarahf…</t>
  </si>
  <si>
    <t>RT @VisioDeiFromLA: @roykasten @magathemaga1 @SpeakerTimJones @staceynewman @jallman971 @EricGreitens @RiverfrontTimes @paulcurtman 4th, ev…</t>
  </si>
  <si>
    <t>RT @VisioDeiFromLA: @roykasten @magathemaga1 @SpeakerTimJones @staceynewman @jallman971 @EricGreitens @RiverfrontTimes @paulcurtman 3rd, if…</t>
  </si>
  <si>
    <t>RT @VisioDeiFromLA: @roykasten @magathemaga1 @SpeakerTimJones @staceynewman @jallman971 @EricGreitens @RiverfrontTimes @paulcurtman 2nd, it…</t>
  </si>
  <si>
    <t>RT @VisioDeiFromLA: @roykasten @magathemaga1 @SpeakerTimJones @staceynewman @jallman971 @EricGreitens @RiverfrontTimes @paulcurtman First,…</t>
  </si>
  <si>
    <t>What’s been done to Greitens is a disgusting attack by a corrupt prosecutor Kim shady and her office.  Gov. Greiten is the only victim here and he should atleast be able to defend himself. 😡😡</t>
  </si>
  <si>
    <t>RT @JW1057: Read all about it. 
https://t.co/wqcVlx8Kih</t>
  </si>
  <si>
    <t>RT @kmoxnews: St. Louis police had a busy night -- eight people were shot in three separate incidents. https://t.co/QZ5V14Zhg8</t>
  </si>
  <si>
    <t>RT @JW1057: @TeamGreitens @LaurenTrager @SpeakerTimJones @AllmanReport @rossgarber @Sticknstones4 @VisioDeiFromLA 
See following Tweets -…</t>
  </si>
  <si>
    <t>RT @JW1057: Watkins reprimanded for concurrent conflict of interest violation and ironically enough improper disclosure of client informati…</t>
  </si>
  <si>
    <t>Greitens' defense questions if accuser was paid; Dem official slams 'absurd, disgusting attack'
(Via KMOV News) https://t.co/fn7MGWTNdc</t>
  </si>
  <si>
    <t>RT @gocrazy4cards: @JW1057 @LaurenTrager @VisioDeiFromLA @Sticknstones4 @SpeakerTimJones @KurtEricksonPD It's a scam! You really think thes…</t>
  </si>
  <si>
    <t>RT @SpeakerTimJones: Hey Tweeps! @staceynewman - one of the most mean spirited leftwing liberal lunatics I ever had the displeasure of serv…</t>
  </si>
  <si>
    <t>RT @DeplorableGoldn: 💣The Eric Greitens Prosecutor Must Be Held Accountable for Blatant Lies in This Case💣
#moleg
#Mogov 
#Greitens 
http…</t>
  </si>
  <si>
    <t>RT @GrizzleMeister: What the hell would a tide pod eating, toilet licking amoeba know about past generations that fought, bled, &amp;amp; gave thei…</t>
  </si>
  <si>
    <t>RT @YearOfZero: Don’t U have anything better to do? U getting paid our tax dollars to focus on people’s work not harass @jallman971 
kid g…</t>
  </si>
  <si>
    <t>RT @Hoosiers1986: #ThursdayThoughts
For 8 years I watched a man strut around the country more concerned about how COOL he looked to the wo…</t>
  </si>
  <si>
    <t>RT @gocrazy4cards: @sarahfelts How is it victim shaming to ask the ex husband who is it for revenge some questions? This is why I left the…</t>
  </si>
  <si>
    <t>RT @Thomas1774Paine: Did Jimmy Kimmel Pay Hush Money to Female Victim Who Claimed Snoop Dogg Gang Raped Her Backstage? https://t.co/g6pWs8r…</t>
  </si>
  <si>
    <t>RT @CatPahno: Sean Hannity exposing the perversion of Jimmy Kimmel.  Disgusting. Piece of shit.</t>
  </si>
  <si>
    <t>RT @TuckerCarlson: By now you likely understand that the Russia hysteria is fundamentally dishonest. It's propaganda, just like most things…</t>
  </si>
  <si>
    <t>RT @SpeakerTimJones: @staceynewman snowflake offended by allegorical “hot poker” reference but not at all offended by real life fanatical s…</t>
  </si>
  <si>
    <t>RT @DeplorableGoldn: RT-ing 🚨
🚨Can somebody DM a list of the developers that benefited the most from #missouri state tax credits ? ⚖️
Whos…</t>
  </si>
  <si>
    <t>RT @SKYRIDER4538: #DearDonaldJTrump I can’t thank you enough 4 deciding to lead this nation when u could’ve easily stayed out of the dirty…</t>
  </si>
  <si>
    <t>RT @President1Trump: Michelle Obama said her husband was ‘the good parent compared to Trump’! Are you kidding me.. President Trump‘s childr…</t>
  </si>
  <si>
    <t>RT @seanhannity: When you bully women who can’t fight back it’s easier right Mr Weinstein Jr.? I’ve only just begun. #pervertkimmel @Disney…</t>
  </si>
  <si>
    <t>RT @charliekirk11: CA Department of Motor Vehicles announced that as of March 31, 1,001,000 ILLEGALS have received drivers licenses, while…</t>
  </si>
  <si>
    <t>RT @JackPosobiec: Here are Jimmy Kimmel's top advertisers. Contact them TODAY and ask if they support his sexual assault comments about Sea…</t>
  </si>
  <si>
    <t>RT @magathemaga1: @RiverfrontTimes Sorry but we stand with @jallman971 @971FMTalk 
STOP BULLYING PEOPLE when they don’t agree with you. Wh…</t>
  </si>
  <si>
    <t>RT @magathemaga1: @Sticknstones4 @roykasten @RiverfrontTimes This is all about going after conservatives news sources. Look how they are al…</t>
  </si>
  <si>
    <t>RT @KamVTV: JUST IN: AG Jeff Sessions just   announced that he’s implementing a zero tolerance policy for immigrants illegally entering the…</t>
  </si>
  <si>
    <t>RT @DineshDSouza: America is not a nation “built by immigrants.” It is a nation built by settlers that subsequently attracted millions of i…</t>
  </si>
  <si>
    <t>RT @Pink_About_it: Jimmy Kimmel claims the women who did the "whats in my pants"  tidbit with him were WILLING participants, while making d…</t>
  </si>
  <si>
    <t>RT @Sticknstones4: Now political operatives like Stacey newman are trying to silence the #truth from being reported</t>
  </si>
  <si>
    <t>RT @Sticknstones4: @ksdk @kmov @FOX2now @stltoday @kcstar @kmoxnews  NONE of them reported the true story that professional complaint was f…</t>
  </si>
  <si>
    <t>RT @gocrazy4cards: People getting killed on the STREETS
Stacey Newman Worrying about "TWEETS"
Tax Payers feeling HEAT
Politican abandoning…</t>
  </si>
  <si>
    <t>RT @VisioDeiFromLA: @Sticknstones4 Has this been confirmed? I posted this with a question mark? Curious if we can get a confirmation or not…</t>
  </si>
  <si>
    <t>RT @MactavishShawn: @JW1057 @TeamGreitens @EricGreitens @KMOV @LaurenTrager Not any good ones!</t>
  </si>
  <si>
    <t>RT @JW1057: I am looking at you @KMOV @LaurenTrager you started this mess by running a non-story. Now clean up your crap!</t>
  </si>
  <si>
    <t>RT @JW1057: @TeamGreitens @EricGreitens @KMOV @LaurenTrager Phil/Watkins team lied again. Re Eric allegedly slapping KS while Sheena gave b…</t>
  </si>
  <si>
    <t>RT @LeesuhK: #DearDonaldJTrump Thank you  for running for @POTUS when you had a perfectly good life! You didn’t need the headaches! You jus…</t>
  </si>
  <si>
    <t>RT @KevinMarriageDr: Explains a lot
Not sure why we dont sanction Soros or charge him criminally so @realDonaldTrump 
Hes got you in the…</t>
  </si>
  <si>
    <t>RT @Thomas1774Paine: Did Jimmy Kimmel Pay Hush Money to Female Victim Who Claimed Snoop Dogg Gang Raped Her Backstage? https://t.co/g6pWs8J…</t>
  </si>
  <si>
    <t>Greitens filing suggests accuser was paid; Dem official calls it 'disgusting' attack on victim
https://t.co/xOKruzhNXa
Shared from my Google feed</t>
  </si>
  <si>
    <t>Michelle Obama: My husband was 'the good parent' compared to Trump https://t.co/78mRdszncT</t>
  </si>
  <si>
    <t>Wendy Williams vs. NeNe Leakes: Stars Who Feuded With Real Housewives https://t.co/MBXSRww045</t>
  </si>
  <si>
    <t>Kenya Moore vs. Naomi Campbell: Stars Who Feuded With Real Housewives https://t.co/KLw89rLwyu</t>
  </si>
  <si>
    <t>Sofia Vergara vs. Teresa Giudice: Stars Who Feuded With Real Housewives https://t.co/fOsY3vnkDX</t>
  </si>
  <si>
    <t>RT @YourboyDonell: Tyrone scammed to get Sheree that house, then got locked up. That’s why she’s still with him. BOOM #RHOA https://t.co/R2…</t>
  </si>
  <si>
    <t>RT @hermitscorner: Tyrone won’t be released until 2022?! Girl move on! #RHOA</t>
  </si>
  <si>
    <t>RT @PinkChocolate72: Shamea is off the friend list.... you don’t show private text messages #RHOA</t>
  </si>
  <si>
    <t>RT @_oddmanout: See this why Kim caught all that shit at the reunion. She sitting over there talking shit about Eva @ Eva’s own damn party.…</t>
  </si>
  <si>
    <t>RT @MsTasha_Babyy: Sheree wants to shade Cynthia for her IKEA furniture like it’s something wrong with that. It’s called living in ur means…</t>
  </si>
  <si>
    <t>RT @flowerrebelrose: I meannnnn Porsha's not wrong for saying Sheree can't be trusted. She stays talking about people's business #RHOA</t>
  </si>
  <si>
    <t>RT @IamGQ_: @Kimzolciak always talking about somebody ain't cute! She just mad that @EvaMarcille plastic surgery free! She walking around w…</t>
  </si>
  <si>
    <t>RT @kharizzmaaa: lmfaoooo @Kimzolciak got all that work done to look like this #RHOA https://t.co/XotMkj2tw4</t>
  </si>
  <si>
    <t>RT @NurseJ2017: #RHOA. Is this the result of using Kashmere ? Turkey neck and crows feet ? https://t.co/Ku3U42GF3Y</t>
  </si>
  <si>
    <t>RT @DeliciousDesM: #Rhoa bravo is a damn fool for wasting all that money on Kim's pointless return https://t.co/YKtYqNLlMX</t>
  </si>
  <si>
    <t>RT @YoshikoBEsq: It ain’t my business how Sheree paid for all that but HOW SHEREE PAY FOR THIS HOUSE. #RHOA</t>
  </si>
  <si>
    <t>@TheJasmineT @Porsha4real Just please don’t let marlow have it. She’s repulsiv, there’s no way I’ll watch.</t>
  </si>
  <si>
    <t>RT @cynthiach00: KIM NEEDS TO GOOOOOOOOOOO AWAYYYYYYYYYYYYYYY!!!! Omg #RHOA</t>
  </si>
  <si>
    <t>@hits975 Marlow’s repulsive!</t>
  </si>
  <si>
    <t>@jamaicanmae @Kimzolciak  https://t.co/slHhYPimvW</t>
  </si>
  <si>
    <t>RT @LeaBanza: Cynthia KIIIIILT the Halloween costume #RHOA</t>
  </si>
  <si>
    <t>@TrashTalkToday Spot on</t>
  </si>
  <si>
    <t>RT @TrashTalkToday: Kim Z. has her own show cuz her family is like Honey Booboo’s but with money💰 #RHOA</t>
  </si>
  <si>
    <t>RT @MCMOWhine: I'd like to find out where Sheree got her means to live by. WhopayforChateauSheree? #RHOA https://t.co/tWp7zvvCPo</t>
  </si>
  <si>
    <t>RT @meangirl1: @Bravotv @iheartMarlo Remind me why she’s on #RHOA ?</t>
  </si>
  <si>
    <t>RT @triciramirez: @kharizzmaaa @Kimzolciak Andy: Kim, why do u wear wigs...?
Kim: It's really sad its because of cancer...
Andy: So did you…</t>
  </si>
  <si>
    <t>Kim, saying she doesn’t have her own show for nothing. Her show is the worst show I’ve even seen. #RHOA</t>
  </si>
  <si>
    <t>RT @miss_queendee: Andy did NOT like that "partner" comment😂 #WWHL</t>
  </si>
  <si>
    <t>RT @rodrigo1993: #WWHL Michael is being smart letting Kenya read him for filth because I know he could have dragged her across that set eas…</t>
  </si>
  <si>
    <t>Loved you Michael Rappoport!!#WWHL</t>
  </si>
  <si>
    <t>RT @BellSammy: #WWHL who is Kenya again? Homecoming queen in 1956? Dope</t>
  </si>
  <si>
    <t>RT @imadeyouacookie: #WWHL hey Kenya, don't insinuate that Michael is gay and think of it as an insult when you are LITERALLY sitting RIGHT…</t>
  </si>
  <si>
    <t>How much more air time is bravo going to this rachet person marlow.#RHOA</t>
  </si>
  <si>
    <t>Kim and sheree are awful nasty women.  I use the word women very loosely.#RHOA</t>
  </si>
  <si>
    <t>What is up with this marlow person, she’s repulsive .#RHOA</t>
  </si>
  <si>
    <t>RT @NeNeLeakes: Had to get the last laugh! Love my hubby #RHOA #roachlifematters https://t.co/FZJI3PFBMs</t>
  </si>
  <si>
    <t>I thought sheree was trying to be a better person . But she’s worse.#RHOA</t>
  </si>
  <si>
    <t>RT @danteorland: Sheree has never had anyones back, except her damn own #RHOA</t>
  </si>
  <si>
    <t>@AllStarEnvy @paulnnem She’s an ugly person inside and out.  She’s trash.</t>
  </si>
  <si>
    <t>RT @AllStarEnvy: @paulnnem Kim’s Reply lol https://t.co/b3K1u1BREN</t>
  </si>
  <si>
    <t>RT @AkaUrHighness: @paulnnem Also said nene was on drugs</t>
  </si>
  <si>
    <t>RT @Anthisla: @paulnnem @TwirlKingdom She also said repeatedly that NeNe was "on something" as in drugs.... Reckless and slanderous.</t>
  </si>
  <si>
    <t>RT @paulnnem: Nene tried to be friendly with her, Cynthia did nothing to her, Kenya and Sheree were having the argument at the housewarming…</t>
  </si>
  <si>
    <t>RT @jer98om: Sheree is the most two-faced person.  All she do is go back and spill tea told to her in confidence.  Of course she’s not to b…</t>
  </si>
  <si>
    <t>RT @paulnnem: Kim said that Nene’s house has roaches &amp;amp; she parked in a handicapped spot, she insinuated that Kandi tried to eat her box, sa…</t>
  </si>
  <si>
    <t>RT @bravoholclique: I’m SO not here for Marlo provoking Porsha every chance she gets. It’s not cute, it’s not flattering for her already-ta…</t>
  </si>
  <si>
    <t>RT @EricODaily: Ten years later...This is art. #RHOA https://t.co/xnRJbi77yC</t>
  </si>
  <si>
    <t>@Pinky81949548  https://t.co/B8lR0GlKLl</t>
  </si>
  <si>
    <t>RT @Pinky81949548: When Sheree  saw Mark for the 1st time maybe she was a lil shady bc  he reminded her of Tyrone. Mark is in the restauran…</t>
  </si>
  <si>
    <t>@cinnamonhearts3 Catching up on #rhoa, lots of shade girl!!</t>
  </si>
  <si>
    <t>RT @cinnamonhearts3: Happy Easter to all the housewives lovers! #rhobh #rhop #rhoc #rhonj #rhony #rhod #rhoa https://t.co/qkL2wzGNPS</t>
  </si>
  <si>
    <t>RT @Str8DonLemon: @K___Garner didn't tweet much about it either and I've been accused of being a bot, too. Why is it that #greitens support…</t>
  </si>
  <si>
    <t>RT @rpetty: For those of you relishing in the supposed "take down" of @IngrahamAngle, it never really was about "common sense" gun reform w…</t>
  </si>
  <si>
    <t>RT @Sticknstones4: #stlboa voted on these free cameras 6 months ago, how long does it take to get this implemented ?
Oh right your allowin…</t>
  </si>
  <si>
    <t>RT @Thomas1774Paine: Texas judge sentences woman to 5 years in prison for illegally voting in 2016 presidential election https://t.co/Peq8c…</t>
  </si>
  <si>
    <t>RT @michael_arndt: #INeedABreakFrom righteousness. We all have opinions, a narrative, and agendas that guide our thoughts and emotions. If…</t>
  </si>
  <si>
    <t>RT @CarlaDaddesi: WW Bridal closes doors today due to bullying. Will this happen to your family business? https://t.co/7WQBBu5Uap</t>
  </si>
  <si>
    <t>RT @realDonaldTrump: While we are on the subject, it is reported that the U.S. Post Office will lose $1.50 on average for each package it d…</t>
  </si>
  <si>
    <t>RT @Sticknstones4: @KMOV Excessive spending in the circuit attorneys office for bogus greitens prosecution.  Officers have a uniform shorta…</t>
  </si>
  <si>
    <t>RT @Thomas1774Paine: ATTORNEY: Stormy Daniels Had Dilated Pupils On ’60 Minutes’ Because Of Benadryl https://t.co/CeBHLElBbo</t>
  </si>
  <si>
    <t>RT @Hirschfeld4VA: What kids today are learning:
- The louder you are the more attention you get.
- Ad-hominem attacks win arguments.
-…</t>
  </si>
  <si>
    <t>RT @codeofvets: Watch on #Periscope: PRESIDENT TRUMP LEADS WITH GUTS, GLORY &amp;amp; COURAGE!MICHAEL WALTZ FL 6TH DISTRICT! https://t.co/2zbydBcI0B</t>
  </si>
  <si>
    <t>RT @mitchellvii: John Kasich has announced that all politicians who ignore the anti-gun teenage protests should be voted out. Retweet if yo…</t>
  </si>
  <si>
    <t>RT @magathemaga1: Call your rep &amp;amp; tell them 2 shut down this bogus witch hunt!
⚡️Call Now ⚡️
Tell #MoLeg we will NOT tolerate a Political…</t>
  </si>
  <si>
    <t>RT @therealroseanne: i love you all!! #roseanne</t>
  </si>
  <si>
    <t>RT @mikandynothem: 📺RETWEET📺 if you are watching or will be watching and supporting the new "Trump friendly" Roseanne show! It rocks! @ther…</t>
  </si>
  <si>
    <t>RT @DanScavino: 🚨Breaking News🚨
Top Twitter Trend Tonight:
#Roseanne
Congratulations to @therealroseanne  and the crew — so awesome!!! h…</t>
  </si>
  <si>
    <t>RT @TwitterMoments: Roseanne is back, and now, like the show’s creator, she’s a Trump supporter. https://t.co/CFeACB74Ba</t>
  </si>
  <si>
    <t>I feel kinda bad about this gif now that I’m seeing rinna’s point on things.</t>
  </si>
  <si>
    <t>@SuchHate @LusciousLather @drawandstrike @therealroseanne So true!</t>
  </si>
  <si>
    <t>RT @SuchHate: @LusciousLather @kendylei @drawandstrike @therealroseanne Yeah.... nice to real Trumpers for a change and not Anderson Cooper…</t>
  </si>
  <si>
    <t>RT @TheBravo_Boy: Me when Dorit talks.. #RHOBH https://t.co/G5NFUZs8ES</t>
  </si>
  <si>
    <t>Well of course you have a presidental suite erika, you didn’t marry that 40 years older than you sugar daddy for  nothing!!#rhobh</t>
  </si>
  <si>
    <t>@Rosejos52141279 @jadfive Something there!</t>
  </si>
  <si>
    <t>RT @LoveAndyC: #RHOBH Reunion filming today! https://t.co/BrYbSJYg8r</t>
  </si>
  <si>
    <t>RT @BobbiG58: DORIT is ALWAYS LATE for EVERYTHING! WHY? She's got a million people taking care of her LIFE and KID'S! Give me a BREAK! 😕 #R…</t>
  </si>
  <si>
    <t>@cinnamonhearts3 Yeah, but she’s not sorry!</t>
  </si>
  <si>
    <t>RT @MzFanta: Dorit has NO boundaries — Hang UP LVP #RHOBH</t>
  </si>
  <si>
    <t>I like dogs just as much as the next person, but the last 2 shows have been about nothing but dogs. Whatever happened to grieving in private?#rhobh</t>
  </si>
  <si>
    <t>@stldesktop Wow, you’re very passionate about this, almost like you have a personal interest.</t>
  </si>
  <si>
    <t>@stldesktop His skank mistress and ex husband are the shitbags in this story.</t>
  </si>
  <si>
    <t>@stldesktop What is your beef with Governor Greitens? If you don’t like him then don’t vote for him. He has Not committed any crimes.</t>
  </si>
  <si>
    <t>@stldesktop And the mistress is also not only a home wrecker , but a cheater too.</t>
  </si>
  <si>
    <t>RT @ErikasAirplane: Dorit couldn't be on time if she was sitting on a watch. #RHOBH https://t.co/nR6rPzvtI2</t>
  </si>
  <si>
    <t>RT @KarenSassyBelle: Oh no!!!! Dorit forgot her pants!!! How embarrassing!!  #RHOBH https://t.co/fpuLBs3e4k</t>
  </si>
  <si>
    <t>RT @burtonkim76133: Why is Doris only wearing a shirt! #RHOBH</t>
  </si>
  <si>
    <t>@mamecastle Don’t ever lose that wit!!</t>
  </si>
  <si>
    <t>RT @mamecastle: Erika putting out cookies for Lisa Rinna is like serving BLTs at a bar mitzvah. Nobody's eating those. #RHOBH</t>
  </si>
  <si>
    <t>@therealroseanne Jackie is still freakin funny!</t>
  </si>
  <si>
    <t>@therealroseanne This is going to be hilarious,  the “interview”</t>
  </si>
  <si>
    <t>RT @annvandersteel: @therealroseanne Good for you! Glad to see you back woman!! MAGA!!</t>
  </si>
  <si>
    <t>RT @LusciousLather: @drawandstrike @therealroseanne We're watching! Great show, Roseanne!</t>
  </si>
  <si>
    <t>RT @USAneedsTRUMP: @aduanebrown @therealroseanne HILARIOUS!!</t>
  </si>
  <si>
    <t>@aduanebrown @therealroseanne Me too!!</t>
  </si>
  <si>
    <t>RT @aduanebrown: @therealroseanne Incredible reboot! Loving every minute</t>
  </si>
  <si>
    <t>@therealroseanne Rosanne is totally killing it tonight.  This show hasn’t lost its touch, one bit!!</t>
  </si>
  <si>
    <t>@therealroseanne There is no way in hell, I would let my hillary loving nosy sister come in my house and have her 2 cents.</t>
  </si>
  <si>
    <t>RT @Patriot261: I’m a white, Christian, pro-life, pro-gun Conservative woman who voted for Trump. How else can I offend you today?
Oh, I k…</t>
  </si>
  <si>
    <t>@Patriot261 @ShelleyAnne333 You’re probably the coolest wife, my husband would love that.</t>
  </si>
  <si>
    <t>RT @NRATV: "I didn't truly understand the Second Amendment until I was stalked. Threatened. And told to fear for my children's lives. I kne…</t>
  </si>
  <si>
    <t>@addieeg Funny 😆</t>
  </si>
  <si>
    <t>Omg, sandervol just about crying if jax moves and whining it’s not fair. https://t.co/QSPc2bnu0K</t>
  </si>
  <si>
    <t>RT @hannahferrier_: OMG @mrjaxtaylor - hope you laugh as hard as I did 😂😂😂 #vanderpumprules https://t.co/LamdfZizeM</t>
  </si>
  <si>
    <t>@shellbelle1022  https://t.co/0tlFbUhlPW</t>
  </si>
  <si>
    <t>RT @shellbelle1022: Scheana- " One time Rob built a house and pounded in every nail with his penis." #PumpRules #vanderpumprules</t>
  </si>
  <si>
    <t>RT @barmore27: Today is #NationalJoeDay !!
Best wishes to all Joe's out there!
#NationalJoeDay 
#MAGAForAll https://t.co/63raVU7lGt</t>
  </si>
  <si>
    <t>RT @ReutersTV: 'Roseanne' star says revived show reflects Trump's America https://t.co/7KkQrSeyur https://t.co/HHULbdvcqU</t>
  </si>
  <si>
    <t>RT @FoxNews: 'Roseanne' Is Now a Big #Trump Supporter in Reboot of Hit 1990s Sitcom https://t.co/ERjH7TkucL</t>
  </si>
  <si>
    <t>@DaynaGould @SuchHate @Sticknstones4 @flyoverland @RyanWrecker I agree dayna 💯</t>
  </si>
  <si>
    <t>RT @DaynaGould: @kendylei @SuchHate @Sticknstones4 @flyoverland @RyanWrecker Exactly what I've been saying all along She's obviously Lied t…</t>
  </si>
  <si>
    <t>RT @BeReasonable1: @kwilli1046 @jturnershow We treat entry into this country like a board game; if you cross the line you get a prize. But…</t>
  </si>
  <si>
    <t>RT @RealWolfsPride1: .@seanhannity #Hannity 
Sean these leftists are hypocritical &amp;amp; https://t.co/tK2CrH1SBl quickly they forget about #Bill…</t>
  </si>
  <si>
    <t>@Purrsistant1 @DanRather @mckait Yeah, I’m from a family of LEO , we definitely have different views, most LE I know love Donald Trump.</t>
  </si>
  <si>
    <t>RT @SuchHate: @Sticknstones4 @kendylei @flyoverland @RyanWrecker They each have their own kids and then had one together.  When it all happ…</t>
  </si>
  <si>
    <t>@Gyro_the_Gamer @adv_project Perfect solution!!</t>
  </si>
  <si>
    <t>RT @Gyro_the_Gamer: @adv_project Just ditch USA migrate to Europe</t>
  </si>
  <si>
    <t>RT @michael_arndt: @adv_project This is a silly statement. Police deal with people at stressful and troubled times in hundreds of thousands…</t>
  </si>
  <si>
    <t>@michael_arndt @adv_project Exactly, criminals kill more criminals on purpose and not in the line of duty.</t>
  </si>
  <si>
    <t>I’m getting to where I don’t care for Ariana as much.</t>
  </si>
  <si>
    <t>@nomi_for_prez Excellent point!!</t>
  </si>
  <si>
    <t>RT @nomi_for_prez: It’s funny how BH reunion season 4 Lisa is adamant she knew nothing of her employees personal lives. Cut to every single…</t>
  </si>
  <si>
    <t>Could not stand one time wonder joyce, annoying as hell, no substance whatsoever.#rhobh</t>
  </si>
  <si>
    <t>RT @BravoRHofBH: #RHOBH season 4 reunion! http://t.co/QA2FvudIHx</t>
  </si>
  <si>
    <t>@BrittLizR5Fan I really liked carlton, it was that one time wonder joyce that was so annoying to me.</t>
  </si>
  <si>
    <t>ANYONE coming on these housewives shows saying they’ve never seen the show before are so full of 💩!!!#rhobh</t>
  </si>
  <si>
    <t>@kate_mccrea Yeah, that took a set of balls!</t>
  </si>
  <si>
    <t>RT @kate_mccrea: Erika’s givinga woman empowerment speech after making Teddi cry and call her a crybaby?  Sure, why not?  #RHOBH</t>
  </si>
  <si>
    <t>@Sticknstones4 Tou’che</t>
  </si>
  <si>
    <t>@garyibe007 @motorhogman Too freakin funny!!</t>
  </si>
  <si>
    <t>RT @garyibe007: The reason Mayberry was so peaceful and quiet was because nobody was married. Andy, Aunt Bea, Barney, Floyd, Howard, Goober…</t>
  </si>
  <si>
    <t>@Sticknstones4 That’s sooooo dis respectful, and taste less.</t>
  </si>
  <si>
    <t>I’m guessing Dan Rather is a big ole fat liberal by his ridiculous statement that pushing these kids to do these ridiculous marches is way better than them learning CPR?</t>
  </si>
  <si>
    <t>@Sticknstones4 @SuchHate @flyoverland @RyanWrecker Yeah, I’ve not heard anything but bad about this scumbag.</t>
  </si>
  <si>
    <t>RT @Sticknstones4: @SuchHate @kendylei @flyoverland @RyanWrecker Phil was also a shit to his 1st wife</t>
  </si>
  <si>
    <t>@SuchHate @Sticknstones4 @flyoverland @RyanWrecker Phil is a piece of 💩 scumbag, I would have cheated on him too. Just sayin.</t>
  </si>
  <si>
    <t>@Purrsistant1 @DanRather @mckait I’m thinking your husband isn’t too popular among his co workers.</t>
  </si>
  <si>
    <t>@Purrsistant1 @DanRather @mckait Your husbands a cop, and supports marches to take citizens guns away.?</t>
  </si>
  <si>
    <t>RT @seanhannity: A MUST read https://t.co/6x8Iku44bG</t>
  </si>
  <si>
    <t>@SuchHate @Sticknstones4 @flyoverland @RyanWrecker If anyone broke any laws or violated anyone’s rights, I would be looking at ole phil. Phil was in total control of that tape. His ex wife was obviously saying what she thought he wanted to hear.</t>
  </si>
  <si>
    <t>@SuchHate @Sticknstones4 @flyoverland @RyanWrecker Um phil has no credibility!!</t>
  </si>
  <si>
    <t>RT @Sticknstones4: @SuchHate @flyoverland @RyanWrecker So Phil told all his buds of her sexcapade confession 
But never told the police 
Di…</t>
  </si>
  <si>
    <t>RT @LVNancy: #WhatILearnedToday Dad of Orlando Muslim terrorist who killed 50 people was on #Mueller and @Comey's payroll #OmarMateen 
#Tu…</t>
  </si>
  <si>
    <t>RT @SuchHate: Anyone else wondering Y StLouis Progressive Disgrace is covering words of Stormy Daniels but not Cardinal Dolan? https://t.co…</t>
  </si>
  <si>
    <t>RT @John_S2013: @MarkACollett @cccammy1 Generally what happens when you “migrate” to another country. Mass deportations sounds even better…</t>
  </si>
  <si>
    <t>RT @DaveyCrockett23: @MarkACollett If she wants to blend in she should head middle east.</t>
  </si>
  <si>
    <t>RT @Mark72658477: @MarkACollett They’re all just moaners, they’re never happy. Thank the left for the Cultural suicide that is taking place…</t>
  </si>
  <si>
    <t>RT @ProudAmericanCK: @MarkACollett If she doesn't like it, she can move her mussie azz back where she came from.</t>
  </si>
  <si>
    <t>RT @GREAT4USA: @MarkACollett soooo sick of these Obama SHITS!</t>
  </si>
  <si>
    <t>RT @kelstar1000: @DDawn0 @MarkACollett I agree... so I just watch this ... https://t.co/InSPEY9AWr</t>
  </si>
  <si>
    <t>RT @DDawn0: @MarkACollett Finding it very hard to comment on this without swearing.</t>
  </si>
  <si>
    <t>RT @MarkACollett: Muslim woman claims there 'are too many Finns in Finland', but 'the problem is solvable' thanks to mass immigration. http…</t>
  </si>
  <si>
    <t>@Liloldforallth1 @RyanWrecker How is this woman not dis barred? In jail? Or thrown out of that office? Somethings not right here.</t>
  </si>
  <si>
    <t>@RyanWrecker I feel bad for anyone who is getting railroaded by a corrupt prosecutor, kim shady and her office.</t>
  </si>
  <si>
    <t>RT @Liloldforallth1: @RyanWrecker Not bad but Gardner is a political hack. I'm more embarrassed for anyone who supports her.</t>
  </si>
  <si>
    <t>RT @gocrazy4cards: @ES03784893 @jdavidsonlawyer @kendylei @aaron_hedlund @EricGreitens The reason I ask is, if she had sex with him the sam…</t>
  </si>
  <si>
    <t>RT @gocrazy4cards: @ES03784893 @jdavidsonlawyer @kendylei @aaron_hedlund @EricGreitens It is about her because her behavior suggests she ha…</t>
  </si>
  <si>
    <t>RT @gocrazy4cards: @ES03784893 @jdavidsonlawyer @kendylei @aaron_hedlund @EricGreitens Do you think women are just weak and can't control t…</t>
  </si>
  <si>
    <t>@gocrazy4cards @ES03784893 @jdavidsonlawyer @aaron_hedlund @EricGreitens Some ppl seem to forget that.</t>
  </si>
  <si>
    <t>RT @gocrazy4cards: @ES03784893 @jdavidsonlawyer @kendylei @aaron_hedlund @EricGreitens FYI affairs aren't illegal</t>
  </si>
  <si>
    <t>@SuchHate @flyoverland @RyanWrecker Innocent like, what Crime did he commit, how did he break the law. No police report, No victim reporting a crime and most importantly no evidence!!</t>
  </si>
  <si>
    <t>@lukerosiak @SuchHate SHOCKED!!  NOT!!</t>
  </si>
  <si>
    <t>RT @lukerosiak: Al Sharpton's brother charged in shooting murder one day after he participated in anti-guns march
https://t.co/5CSDGZJPEF</t>
  </si>
  <si>
    <t>@SuchHate These homicidal maniacs will be released on their 21rst birthdays to the streets of st louis.  Can’t wait 🙄🙄🙄🙄</t>
  </si>
  <si>
    <t>@SuchHate @flyoverland @RyanWrecker You want to see an innocent man go down because you don’t think he was a good candidate???</t>
  </si>
  <si>
    <t>RT @Sticknstones4: @RyanWrecker  https://t.co/6YcyONy5yc</t>
  </si>
  <si>
    <t>RT @VisioDeiFromLA: @RyanWrecker Setting aside all biases, I’m against misuse of the criminal justice system for politics which this is
#m…</t>
  </si>
  <si>
    <t>RT @VisioDeiFromLA: @RyanWrecker It’s a witch hunt. I feel bad for anybody who is indicted in a shady way. 
This was clearly a shady move…</t>
  </si>
  <si>
    <t>RT @RickKuertz: @mixedopinionss The reporter was from cnn.  Forgot to mention that.</t>
  </si>
  <si>
    <t>RT @mixedopinionss: Time for a Glass of #LIBERALTEARS . #Snowflakes will be offended. Try and stop the truth Twitter. https://t.co/u5z9GHCf…</t>
  </si>
  <si>
    <t>RT @gocrazy4cards: @ES03784893 @jdavidsonlawyer @kendylei @aaron_hedlund @EricGreitens What if she was into kinky stuff? She kept seeing hi…</t>
  </si>
  <si>
    <t>RT @JW1057: @SuchHate you have my interest. Reading your feed I gather you are a woman, who had a partner that cheated on you and left you…</t>
  </si>
  <si>
    <t>RT @DaynaGould: @jdavidsonlawyer @kendylei @philip_saulter @aaron_hedlund The Rocket Was Supposedly taking Liberals If @realDonaldTrump Our…</t>
  </si>
  <si>
    <t>RT @philip_saulter: @VisioDeiFromLA @jdavidsonlawyer @kendylei @aaron_hedlund @jallman971 @EricGreitens Has anyone stopped to appreciate th…</t>
  </si>
  <si>
    <t>RT @VisioDeiFromLA: @politico @MittRomney is a fraud</t>
  </si>
  <si>
    <t>@magathemaga1 @CStamper_ @jallman971 Sorry Davidson, anyone that is so out of reality such as yourself, I just can’t take seriously.</t>
  </si>
  <si>
    <t>RT @VisioDeiFromLA: A good prosecutor might ask, should we indict a person without evidence? And then not do it, if there isn’t any?
#KinS…</t>
  </si>
  <si>
    <t>RT @Mel_661: @FoxNews I don’t see it as a problem. Americans first.</t>
  </si>
  <si>
    <t>RT @FoxNews: JUST IN: Citizenship question to return to 2020 Census, Commerce Department announces https://t.co/5Z3z6Ocb2t</t>
  </si>
  <si>
    <t>RT @DRobert24754402: @FoxNews Good! I’m tired of folks tippy-toeing around about ILLEGALS. They are here ILLEGALLY.</t>
  </si>
  <si>
    <t>RT @toadtws: We need common sense assault-hammer control.  #NeverAgain https://t.co/npdLXobpAj via @stltoday</t>
  </si>
  <si>
    <t>RT @philip_saulter: @jdavidsonlawyer @kendylei @aaron_hedlund So you are implying I am a bot?</t>
  </si>
  <si>
    <t>@jdavidsonlawyer @philip_saulter @aaron_hedlund  https://t.co/ZaAcUIggAd</t>
  </si>
  <si>
    <t>RT @philip_saulter: @jdavidsonlawyer @kendylei @aaron_hedlund Or perhaps, liberals just devour what ever is regurgitated to them by the med…</t>
  </si>
  <si>
    <t>@philip_saulter @jdavidsonlawyer @aaron_hedlund We’re all bots, didn’t you know that phil? According to delusional libs when they hear something they don’t like.</t>
  </si>
  <si>
    <t>@jdavidsonlawyer @philip_saulter @aaron_hedlund You are rambling, and going in circles davidson, your just throwing crazy accusations one after another.</t>
  </si>
  <si>
    <t>@VisioDeiFromLA @philip_saulter @jdavidsonlawyer @aaron_hedlund @jallman971 @EricGreitens So True!!</t>
  </si>
  <si>
    <t>RT @VisioDeiFromLA: @philip_saulter @jdavidsonlawyer @kendylei @aaron_hedlund When put in a corner and all there other excuses won’t work,…</t>
  </si>
  <si>
    <t>@philip_saulter @jdavidsonlawyer @aaron_hedlund Completely, it’s so freakin obvious.</t>
  </si>
  <si>
    <t>RT @philip_saulter: @kendylei @jdavidsonlawyer @aaron_hedlund I satiricaly alluded to this month's ago because I knew it was only a matter…</t>
  </si>
  <si>
    <t>RT @Str8DonLemon: @GovGreitens6</t>
  </si>
  <si>
    <t>@Str8DonLemon @GovGreitens6 I just don’t know how they can keep using “The Russians” with a straight face. They know the jig is up.</t>
  </si>
  <si>
    <t>RT @Str8DonLemon: Typical lib response when they are challenged
Note they won't answer:
✔️Indicted without evidence, due process violated…</t>
  </si>
  <si>
    <t>@VisioDeiFromLA @jdavidsonlawyer @aaron_hedlund 😅🤣</t>
  </si>
  <si>
    <t>RT @VisioDeiFromLA: @kendylei @jdavidsonlawyer @aaron_hedlund  https://t.co/w0VVXahTAF</t>
  </si>
  <si>
    <t>@aaron_hedlund @jdavidsonlawyer 😆😅</t>
  </si>
  <si>
    <t>@jdavidsonlawyer @aaron_hedlund This is America still, do you have evidence to back that up?</t>
  </si>
  <si>
    <t>@jdavidsonlawyer @aaron_hedlund Really?? The russians still? https://t.co/F9ZRSqXd7a</t>
  </si>
  <si>
    <t>@GovGreitens6 @EricGreitens Not surprised, but outraged at all of the injustices in this case. It’s pretty ridiculous.</t>
  </si>
  <si>
    <t>RT @ErinGoBragh_1: When the borders fall and our military is overseas, I'll be carrying arms beside my brothers and sisters in my country,…</t>
  </si>
  <si>
    <t>RT @B_MALOOF: Shereé your daughter checked you boo !!!! She knows how stupid you look saying you dating a man in jail ! #RHOA https://t.co/…</t>
  </si>
  <si>
    <t>RT @__LocaBaybee: Sheree said “idk if that’s her real husband..” girl your man is a REAL inmate! Stfu #RHOA</t>
  </si>
  <si>
    <t>RT @ivywriter: I am still so confused about how you are planning a life with a dude who is in prison, has no job, no money, but you plannin…</t>
  </si>
  <si>
    <t>RT @just_tee77: #RHOA Sheree you should be the last one to talk about other ppl relationships https://t.co/HKCnSU4rTy</t>
  </si>
  <si>
    <t>RT @AirJosie: Me looking for  where Tyrone bout to get 15,000 for a stair master from  #RHOA https://t.co/CPXXudsKDn</t>
  </si>
  <si>
    <t>RT @kate_mccrea: Sherees man is in prison and she’s shading Kenyas for have a nose ring?  #RHOA https://t.co/FV45ec0g46</t>
  </si>
  <si>
    <t>RT @BBPodcast2: You claiming spaces in my mansion from jail? FOH #RHOA https://t.co/uHS4Vdkx8i</t>
  </si>
  <si>
    <t>RT @ShelbyeOTR: Sheree is clowning Kenyas husband, yet her man has to make collect calls 🙄#RHOA</t>
  </si>
  <si>
    <t>RT @Essence: Sheree is about to be on 'Love After Lockup.' #RHOA https://t.co/9A7sxYZkPg</t>
  </si>
  <si>
    <t>RT @AyeJaye_Kixx: Shereeè....Tyrone is in a MAN CAVE as we speak #RHOA you better believe it #RHOA</t>
  </si>
  <si>
    <t>RT @RonG30: When Sheree visit Tyrone 
#RHOA https://t.co/4ljJ9Uwjmk</t>
  </si>
  <si>
    <t>RT @kyc_from_nyc: @HelloFrancisco_ Bahahaa!  The roach got a peach before Marlo and Shamea! https://t.co/t0AMVBrja7</t>
  </si>
  <si>
    <t>RT @DeplorableGoldn: @ES03784893 @EricGreitens Yup, no picture, no probable cause...a witch-hunt. #moleg #mogov #greitens</t>
  </si>
  <si>
    <t>RT @Hope4Hopeless1: @PuffedUpdater @DeplorableGoldn @ES03784893 @EricGreitens @SheenaGreitens #Greitens accuser is NOT to be believed!!!
$…</t>
  </si>
  <si>
    <t>RT @polishprincessh: My husband duty is to serve our #country,
My duty is to support him.
#USMC Wife
#marine 
#myhero
#WarriorWednesday</t>
  </si>
  <si>
    <t>RT @Ceeshell59: #MarchForOurLives #GunGrab #LeaveOurGunsAlone https://t.co/skiJTi7woq</t>
  </si>
  <si>
    <t>RT @Ceeshell59: #IDGAF #StormyDanielsDay #MediaWhore https://t.co/BZe42sKFAl</t>
  </si>
  <si>
    <t>RT @maga_417: Keep America Great! 🇺🇸 @realDonaldTrump #maga #KeepAmericaGreat https://t.co/223eVCddfW</t>
  </si>
  <si>
    <t>RT @estacewalters: @tweettruth2me The fact is that Trump is the only one that could beat Hillary period !He  is going to put more conservat…</t>
  </si>
  <si>
    <t>RT @estacewalters: @tweettruth2me I believe in him and his policies, I’m not going to allow one decision to change my mind ! I love what yo…</t>
  </si>
  <si>
    <t>RT @ogard1911: @phil_petty @AndressSteve @byersjai @Christinaniko20 @LaunaSallai @Jasmine8137488 @ginger6516 @KeepTXTX @MeticulousPaul @Nal…</t>
  </si>
  <si>
    <t>@danteorland @Real_Housewives You know what the mouth really looks like!</t>
  </si>
  <si>
    <t>@danteorland @Real_Housewives Brielle’s lips</t>
  </si>
  <si>
    <t>RT @danteorland: Accurate RT @Real_Housewives: Someone posted this gif for Brielle's lips .... #RHOA https://t.co/tyNSvMUdXi</t>
  </si>
  <si>
    <t>@KenyaMoore Are we going to meet this “husband “ ?</t>
  </si>
  <si>
    <t>@JSil88 Take it you’re not a trump fan?</t>
  </si>
  <si>
    <t>@housewivesofDBQ @stassi Never thought stassi would start growing on me.</t>
  </si>
  <si>
    <t>RT @housewivesofDBQ: Shut up @scheana!!!!  #VanderpumpRules #pumprules @VanderpumpRules @Bravotv https://t.co/kenTgxtX6n</t>
  </si>
  <si>
    <t>@housewivesofDBQ @RaquelLeviss @lala_kent Eww when does that happen? Love to see that.</t>
  </si>
  <si>
    <t>@housewivesofDBQ I’m totally stealing Thuck You!</t>
  </si>
  <si>
    <t>@housewivesofDBQ @BrielleZolciak @Kimzolciak Ew, they do!</t>
  </si>
  <si>
    <t>@realityaddictx Eva &amp;amp; Erin has a ramona face.</t>
  </si>
  <si>
    <t>@realityaddictx This eva and Erin on here seems pretty witty, I just started following her.</t>
  </si>
  <si>
    <t>RT @housewivesofDBQ: Live footage of me after watching @Kimzolciak singing in her snapchats.  #rhoa #bravotv https://t.co/DBGtZAlllT</t>
  </si>
  <si>
    <t>@realityaddictx Ok, you twisted my arm!</t>
  </si>
  <si>
    <t>@realityaddictx 🤣😆 too funny 😂</t>
  </si>
  <si>
    <t>@realityaddictx I need to just shut up, i try, but I just get caught up in their drama.</t>
  </si>
  <si>
    <t>@realityaddictx I know, me too 🙄</t>
  </si>
  <si>
    <t>RT @realityaddictx: @kendylei What is it about fake hair and the person wearing it that they have to keep pawing at it?  Drives me bananas!</t>
  </si>
  <si>
    <t>@MzChelleowell Donald Trump is the best POTUS.</t>
  </si>
  <si>
    <t>@DeplorableGoldn @Gallaecian @washingtonpost @RevanAthame Life’s too short. 👍🏻</t>
  </si>
  <si>
    <t>@RickyDaVista Yeah, or kim what’s her face!</t>
  </si>
  <si>
    <t>Porsha is still so self absorbed and clueless. I feel so sorry for her sister that she has made her whipping bitch.#RHOA</t>
  </si>
  <si>
    <t>Trashy kim thinks the more she throws the F Bomb around the more right she is. It’s just the opposite. She’s a trashy person inside and out.#RHOA</t>
  </si>
  <si>
    <t>RT @Danni_Girl323: At the end of the day Kim you weren’t invited by the host &amp;amp; had Sheree not been so dirty none of this would have happene…</t>
  </si>
  <si>
    <t>@MoriahRandolphC You’re right, I keep wanting to give her the benefit of the doubt, then she’s knee deep in stirring the 💩 again.</t>
  </si>
  <si>
    <t>RT @MoriahRandolphC: Every time Sheree opens her mouth all I see is  #RHOA https://t.co/T4Jmb8DG7E</t>
  </si>
  <si>
    <t>@MzChelleowell Stormy is just the latest piece of 💩,  they’ve scraped up that’s wanting her 15 minutes.</t>
  </si>
  <si>
    <t>Kim is about to pull her own wig off.#RHOA</t>
  </si>
  <si>
    <t>Oh, nene is about make me cry, I know she did not mean what she said.#RHOA</t>
  </si>
  <si>
    <t>@DeplorableGoldn @Gallaecian @washingtonpost @RevanAthame Avis is a bot</t>
  </si>
  <si>
    <t>If Kim what’s her face said it was raining outside, I would walk outside to check for myself, that biotech wouldn’t know the truth if it hit in her wig.#RHOA</t>
  </si>
  <si>
    <t>Omg, cynthia, why are you giving that man the time of day? Kick him to the curb girl!#RHOA</t>
  </si>
  <si>
    <t>@ayyee_slim Kim definitely is, she always has been, her kids are learning to be trash from her.</t>
  </si>
  <si>
    <t>@WilliamSaulle Kim is trash!!</t>
  </si>
  <si>
    <t>RT @WilliamSaulle: I’m sorry but I think Kim is self-centered and needs to be gone from this show #RHOA</t>
  </si>
  <si>
    <t>RT @Danni_Girl323: As parents it’s our job 2 keep our kids out of grown folks business. Back in the day you were told 2 leave the room when…</t>
  </si>
  <si>
    <t>RT @Danni_Girl323: Kids in everything these days but what they NEED to be in. Kim will continue to be in mess until she control her kids mo…</t>
  </si>
  <si>
    <t>I’ve always thought kim zolciak is trash, and apparently she’s teaching her kid to be the same way. She’s disgusting.#RHOA</t>
  </si>
  <si>
    <t>https://t.co/hiYxw75BNc</t>
  </si>
  <si>
    <t>After posting content mocking the protest march, the gun group was conspicuously silent on social media on Saturday as hundreds of thousands of protesters demonstrated against gun violence. https://t.co/wZsGpfwYsQ via @HuffPostPol</t>
  </si>
  <si>
    <t>RT @magathemaga1: @kendylei @MarkDWalter Bingo. It’s a witch hunt. 
#MoLeg #MoGov #Greitens #GreitensIndictment https://t.co/QCyC1oNQTJ</t>
  </si>
  <si>
    <t>RT @kendylei: @MarkDWalter Who’s bank rolling the extra lawyers and outside investigators firm for the prosecutors office? 🤭 that’s right t…</t>
  </si>
  <si>
    <t>If he’s against Donald Trump, then myself and lots of others who voted for him are against him.</t>
  </si>
  <si>
    <t>RT @kate_mccrea: 🙋‍♀️🙋‍♀️🙋‍♀️🙋‍♀️🙋‍♀️ https://t.co/XZVI3XKN08</t>
  </si>
  <si>
    <t>RT @realDonaldTrump: France honors a great hero. Officer died after bravely swapping places with hostage in ISIS related terror attack. So…</t>
  </si>
  <si>
    <t>RT @BlockersMovie: 🔥Puzzle solving skills. 🙌 https://t.co/iIXLdjKi82</t>
  </si>
  <si>
    <t>RT @FOX2now: Iowa family died of gas asphyxiation at Mexican resort https://t.co/HB7mzXPzfU</t>
  </si>
  <si>
    <t>RT @MAGARoseTaylor: It’s beyond time that we stop the infighting and public whining.
MAGA is a movement and we need to united like never b…</t>
  </si>
  <si>
    <t>RT @Sticknstones4: The unbearable tragedy to loose a child, than have your child’s death politicized for a political agenda you don’t belie…</t>
  </si>
  <si>
    <t>RT @Barbara29465617: I can't stand Erika Jayne she is a mean Woman! She thinks she is Hot Shit but it doesn't fly! She's about 20 years to…</t>
  </si>
  <si>
    <t>RT @PinkBelgium: Apparently Pedo-#Biden Admits (already) He'd Lose Against @realDonaldTrump! 🙋‍♂️👏 ##MAGA #Trump2020 #KAG2020 - Joe Biden:…</t>
  </si>
  <si>
    <t>RT @SiddonsDan: “Sources inside the White House say that John Bolton is planning to clean house totally. "Anyone who was appointed under Ob…</t>
  </si>
  <si>
    <t>RT @PeteS77252077: And we wonder why Europe is having problems?
Insanity https://t.co/W1jBiUGE3A</t>
  </si>
  <si>
    <t>RT @KandiKropp: @Thomas1774Paine  https://t.co/QFvASxj8bb</t>
  </si>
  <si>
    <t>RT @mykidsrtheebest: @VCBestor @Thomas1774Paine Everytime I see this anger rises up in me! He needs to pay for the horrid things he has don…</t>
  </si>
  <si>
    <t>RT @VCBestor: @Thomas1774Paine #CreepyJoe https://t.co/TwBKIfquaK</t>
  </si>
  <si>
    <t>RT @matihargrove: @Thomas1774Paine Well, yeah if you count touching little girls inappropriately . . . 🤔 He's the front runner!</t>
  </si>
  <si>
    <t>RT @Thomas1774Paine: 2020: CNN Declares Joe Biden Dem. Frontrunner https://t.co/r0gjk83X2r</t>
  </si>
  <si>
    <t>RT @dbongino: Radical, anti-civil-Rights groups are using children to lobby the govt to take away Rights from their parents. While the poli…</t>
  </si>
  <si>
    <t>RT @SiddonsDan: “Our disappointment in the omnibus bill should not deter our tenacity into the midterms. We need to give [@realDonaldTrump]…</t>
  </si>
  <si>
    <t>@Str8DonLemon @PeteS77252077 Could not agree with you more straight Don. These a-⭕️ D’s are trying turn tragedies into their political gain. Praying on emotionally vulnerable kids. There is no level to which they will stoop.</t>
  </si>
  <si>
    <t>RT @Str8DonLemon: Claire McCaskill Represents the illegals and Mexico. NOT MISSOURI.
They don't have guns.
That's why it's a terrible pla…</t>
  </si>
  <si>
    <t>RT @RightSideUp313: A few years ago the D’s were all about BLM that didn’t produce so they moved on. Then it was poor DACA folks, D’s could…</t>
  </si>
  <si>
    <t>Maher: Fox News is running the country https://t.co/YpZ4g1YASm</t>
  </si>
  <si>
    <t>NRA host taunts Parkland teens: ‘No one would know your names’ if classmates were still alive
https://t.co/qEcu2j50Dg
Shared from my Google feed</t>
  </si>
  <si>
    <t>Thousands march in downtown St. Louis for gun control; McCaskill says rally could be 'tipping point'
https://t.co/73LUDLOkzr
Shared from my Google feed</t>
  </si>
  <si>
    <t>St. Louis County Executive Stenger's first re-election ad hits hard — at Donald Trump https://t.co/JmFEwDQctB via @stltoday</t>
  </si>
  <si>
    <t>RT @Sticknstones4: @SteveStenger  his ad sucks like Him.  Voters are going to keep him out of the county!  He’s trying to get the black vot…</t>
  </si>
  <si>
    <t>RT @OverTheMoonbat: #Missouri #MOpol #MOgov #EricGreitens | #Law | #KimGardner #Soros
Dave Grossman (op):
Why The Prosecutor In The Eric Gr…</t>
  </si>
  <si>
    <t>RT @Granite_Pundit: @jallman971 Sounds like Kim Gardner went to the Jim Coney school of jurisprudence</t>
  </si>
  <si>
    <t>RT @971FMTalk: Kim Gardner May End Up in Jail: https://t.co/qz3e7e5C0V @jallman971 #allman971</t>
  </si>
  <si>
    <t>@CStamper_ Injustice 😡😡😡</t>
  </si>
  <si>
    <t>RT @ChrisHayesTV: Circuit Attorney Kim Gardner said in court, "They don't know what evidence I have. They know what I've turned over."
http…</t>
  </si>
  <si>
    <t>@ChrisHayesTV Omg, this kim Gardner is such a joke.</t>
  </si>
  <si>
    <t>RT @iswudt1: From Lt Col Dave Grossman, one of the really good guys, it looks like .@StLouisCityCA Kim Gardner, aka .@MarilynMosbyEsq versi…</t>
  </si>
  <si>
    <t>RT @ILJoeS: @stltoday @jallman971 @MarcCox971 @SpeakerTimJones Hey Post Dispatch. Please see the article on Kim Gardner at https://t.co/xKq…</t>
  </si>
  <si>
    <t>RT @sassy_gramma: She reminds me of the prosecutor in Baltimore with her baseless charges against the police officers and lost.</t>
  </si>
  <si>
    <t>RT @sassy_gramma: What a scam Kim Gardner is for a prosecutor! https://t.co/CRF7D7TvgC</t>
  </si>
  <si>
    <t>RT @leaker19: @Gimblin Nobody is the least bit troubled that Mueller, under dubious authority, is just randomly investigating people and no…</t>
  </si>
  <si>
    <t>RT @commonpatriot: via @RealClearNews: Kim Gardner's Ridiculous Case Against Eric Greitens https://t.co/QcA9VAM2fz</t>
  </si>
  <si>
    <t>RT @Sticknstones4: @971FMTalk @MarcCox971 Kim Gardner needs to Save the taxpayers money , hop on her broom and fly on outta here https://t.…</t>
  </si>
  <si>
    <t>RT @Politics4Today: Kim Gardner's Ridiculous Case Against Eric Greitens https://t.co/thyuAk83UU #pmupdate</t>
  </si>
  <si>
    <t>RT @MoJohnT: This is for all those haters that screamed “impeach him”, “resign”, “lock him up”!  Where are you now? 
This is what out of c…</t>
  </si>
  <si>
    <t>RT @wotshaking: Kim Gardner’s Ridiculous Case Against Eric Greitens https://t.co/3hpsTiMcBn</t>
  </si>
  <si>
    <t>RT @ericasammartino: @mrjaxtaylor takes the cake for being a piece of shit but @TomSandoval1 comes in a close second  #vanderpumprules</t>
  </si>
  <si>
    <t>RT @beavistoria: #vanderpumprules https://t.co/mc3e2WzrFR</t>
  </si>
  <si>
    <t>RT @CharleneSitarz: @kristendoute Kristen can you and the rest of #vanderpumprules #LaLaKent please have a serious intervention for Brittan…</t>
  </si>
  <si>
    <t>RT @ShiraKarsen: Will forever use “you’re an emotional terrorist you deny me of my basic human rights” as a proper response to relatively i…</t>
  </si>
  <si>
    <t>@littlelenny1212 @mrjaxtaylor I think he’s having a mid life crisis, but yeah, he was already a narcissistic cheating jerk.</t>
  </si>
  <si>
    <t>RT @HLisel: @BNCartwright do you even know that you are the sweetest and nicest person in the whole reality television world? The fact that…</t>
  </si>
  <si>
    <t>RT @milesypoo: #vanderpumprules came on here to make sure I was not crazy or the only one who thinks @scheana is complete off her rocker!!!…</t>
  </si>
  <si>
    <t>RT @married2bravo: It’s all happening!!
#VanderpumpRules Scheana https://t.co/qiLCdoSYqS</t>
  </si>
  <si>
    <t>Sandervol</t>
  </si>
  <si>
    <t>I really don’t care for sander ol anymore, the way he fights with women, but will never stand up to a man.#VanderpumpRules</t>
  </si>
  <si>
    <t>@MOpoliticalguy @WillSchamper_ @Joe_Cool_1 @GovGreitensMO @EricGreitens @HereLiesMoon @1057thePoint What picture?</t>
  </si>
  <si>
    <t>@MOpoliticalguy Harry,the case is falling apart, Kim Gardner will possibly looking at charges herself and or Greitens lawyers going after her in a civil suit.  I think we’re done here.</t>
  </si>
  <si>
    <t>RT @KristenRidulfo: I bet the Jason that Jax used to be was a jerk too.
#VanderpumpRules</t>
  </si>
  <si>
    <t>RT @HLisel: @mrjaxtaylor dude ppl can obviously see that u are in a bad spot and clearly depressed about ur life, but seriously u can't bla…</t>
  </si>
  <si>
    <t>@KristenRidulfo For vanderpump viewers too!!</t>
  </si>
  <si>
    <t>RT @bunnibunbunni: What....about Jax...would make someone think he has the skills to head up a marketing and social media department... #Va…</t>
  </si>
  <si>
    <t>RT @xoGeorgiePorgie: I wish Jax and Brittany would just break up like their relationship pisses me off and I feel so bad for her #Vanderpum…</t>
  </si>
  <si>
    <t>RT @xoGeorgiePorgie: He's talking about the reiki sessions and it sounds like he's enjoying the chick more than the sessions #VanderpumpRul…</t>
  </si>
  <si>
    <t>RT @housewivesqueen: Im over the Britt and Jax thing. Jax is clearly a loser... He hasnt changed since he first dated Stassi and slept with…</t>
  </si>
  <si>
    <t>RT @RealityJunkie_: #vanderpumprules Okay I can't take Jax talking about this woman 24/7. He shows Britney NO respect what so ever! Love is…</t>
  </si>
  <si>
    <t>RT @BlainKate: I don’t want to hear another second of Ariana’s bull shit on her high horse accusing other people of ignorance and hate. She…</t>
  </si>
  <si>
    <t>I’m all for jax going to Florida.#VanderpumpRules</t>
  </si>
  <si>
    <t>RT @TvTweets13: Jax needs to go. He has no respect for anyone. Please go to Tampa for the benefit of everyone.  #vanderpumprules</t>
  </si>
  <si>
    <t>@dhoads Oh, I caught.</t>
  </si>
  <si>
    <t>RT @dhoads: Anyone else notice how the sweet and kind Billie Lee loved the opportunity to be part of a gang up on Stassi when Brittany said…</t>
  </si>
  <si>
    <t>RT @Pinky81949548: Brittany of course Jax is still a selfish prick. You rewarded him for cheating by continue to sleep with him and throwin…</t>
  </si>
  <si>
    <t>@pinkistehbest Stassi is growing, and she’s grown on me.</t>
  </si>
  <si>
    <t>RT @thequianafulton: There's nothing wrong with Stasi warning a friend about a person that made her feel uncomfortable. #vanderpumprules</t>
  </si>
  <si>
    <t>@wintersunnyd Because she’s to busy judging other ppl and calling them racist.</t>
  </si>
  <si>
    <t>RT @wintersunnyd: Why doesn’t Ariana address her brother’s domestic violence charges???? #vanderpumprules</t>
  </si>
  <si>
    <t>@CarolineDuffy @mrjaxtaylor @BNCartwright You said this perfectly, it’s hard to watch.</t>
  </si>
  <si>
    <t>RT @CarolineDuffy: Okay, watching @mrjaxtaylor emotionally and mentally abuse @BNCartwright on camera is beyond upsetting. This show isn’t…</t>
  </si>
  <si>
    <t>RT @TheHopeSpears: Not only did Jax get a call out of the blue about a job for which he is no way qualified, but they also want him to "hea…</t>
  </si>
  <si>
    <t>@burs29 From your mouth to God’s ears.</t>
  </si>
  <si>
    <t>RT @burs29: Why does Brittany allow herself to be degraded by Jax time and time again?Just because she loves him doesn’t mean it’s the righ…</t>
  </si>
  <si>
    <t>LVP hit the naiy on  the head about jax.#VanderpumpRules</t>
  </si>
  <si>
    <t>If I were brittany, I would tell him to shove kelsey up his ass and go F himself.#VanderpumpRules</t>
  </si>
  <si>
    <t>@pwilks61 I know, he did, didn’t he?</t>
  </si>
  <si>
    <t>RT @pwilks61: Fuckin’ Scheana. “The next time I get married it’s going to be to you”. Poor Rob looked like he shit himself.  #PumpRules #Va…</t>
  </si>
  <si>
    <t>RT @SaltyyMarri: Tom Sandoval is always confronting WOMEN about shit but would never talk to Jax like that. There’s live footage of Jeremy…</t>
  </si>
  <si>
    <t>Why is brittany buying into jax BS still? I’m so over them.#VanderpumpRules</t>
  </si>
  <si>
    <t>RT @PeteS77252077: Great Story on #CrookedKim and the #GreitensIndictment 
#moleg #Greitens #mogov #Missouri https://t.co/eIDCFq9Cei</t>
  </si>
  <si>
    <t>RT @RightSideUp313: @DanLHutton So let me ask you, do you think it’s reasonable Gardner spends $12,000 a month on a consultant, and hires a…</t>
  </si>
  <si>
    <t>RT @Str8DonLemon: How come you don't question how shady #CrookedKim indicted #Greitens 
You've been asked before but you about it
#moleg…</t>
  </si>
  <si>
    <t>@MOpoliticalguy @WillSchamper_ @Joe_Cool_1 @GovGreitensMO @EricGreitens @HereLiesMoon @1057thePoint Lots of ppl like #CROOKEDKIM, who will be lucky if she doesn’t end up in jail herself? Because she has made herself part of a crime.</t>
  </si>
  <si>
    <t>@MOpoliticalguy @WillSchamper_ @Joe_Cool_1 @GovGreitensMO @EricGreitens @HereLiesMoon @1057thePoint Harry, you keep saying untruths here. Is this by mistake or on purpose?</t>
  </si>
  <si>
    <t>@MOpoliticalguy @WillSchamper_ @Joe_Cool_1 @GovGreitensMO @EricGreitens @HereLiesMoon @1057thePoint HARRY, there’s no picture, there was never a picture taken. The mistress had a blindfold on.</t>
  </si>
  <si>
    <t>@MOpoliticalguy Well I’m sure the families of violent crime victims would have liked her to do her job, instead of turning them away, when there was clear cut evidence.</t>
  </si>
  <si>
    <t>@WillSchamper_ @MOpoliticalguy @Joe_Cool_1 @GovGreitensMO @EricGreitens @HereLiesMoon @1057thePoint He is the victim of a witch hunt started by a corrupt prosecuting attorney, Kim Gardner. You seem to talk out of both sides of your mouth not an erg bot.</t>
  </si>
  <si>
    <t>@MOpoliticalguy Again Harry, what was the CRIME? Having an affair is not a crime. What is your evidence of a crime, they don’t have any evidence, do you? And what the hell crime are you talking about? 🙄🙄🙄</t>
  </si>
  <si>
    <t>@WillSchamper_ @MOpoliticalguy @Joe_Cool_1 @GovGreitensMO @EricGreitens @HereLiesMoon @1057thePoint I’m not a bot, I hate injustice’s. And this witch hunt this prosecutor Kim Gardner has started against this sitting Governor is an atrocious injustice. I just hope she’s prepared to deal with whatever comes her way after it’s exposed.</t>
  </si>
  <si>
    <t>RT @kendylei: https://t.co/sawUmzUlsg</t>
  </si>
  <si>
    <t>@madworldmax @YearOfZero @magathemaga1 @PeteS77252077 @EricGreitens Well what do you know that every day citizens don’t? Enlighten us please.</t>
  </si>
  <si>
    <t>RT @YearOfZero: @madworldmax @magathemaga1 @PeteS77252077 @EricGreitens He is fighting but the swamp is deeper than you think.... he can’t…</t>
  </si>
  <si>
    <t>@madworldmax @YearOfZero @magathemaga1 @PeteS77252077 @EricGreitens Disagree, Trump sincerely and whole heartedly cares about America and it’s citizens.</t>
  </si>
  <si>
    <t>RT @YearOfZero: @madworldmax @magathemaga1 @PeteS77252077 @EricGreitens Maybe you should ask Phil why he shopped this tape around for a lon…</t>
  </si>
  <si>
    <t>RT @magathemaga1: 🚨 Call (573) 751-2000 🚨 
TELL #MoLeg YOU WILL NOT TOLERATE Witch Hunt Against @EricGreitens by SHADY STL PROSECUTOR!
✔️…</t>
  </si>
  <si>
    <t>@magathemaga1 I totally agree with this poll.</t>
  </si>
  <si>
    <t>RT @andersonDrLJA: #CRUZ KNOWS #HILLARY WILL DIVIDE USA AS LONG AS SHE GOES UNPUNISHED! THEREFORE, #ProsecuteHillary 2 MAXIMUM EXTENT! #Ret…</t>
  </si>
  <si>
    <t>@RightSideUp313 That’s why this country is as messed up as it is.</t>
  </si>
  <si>
    <t>RT @RightSideUp313: You know what I find remarkable; the JFK Dems were reasonable, had some shared beliefs of modern conservatives. But BHO…</t>
  </si>
  <si>
    <t>RT @The_Trump_Train: RT if you agree: Barack Obama was the most Un-American President the United States has ever seen.</t>
  </si>
  <si>
    <t>RT @BackThePolice: Everyday police officers put on a bullet proof vest not knowing if they will ever kiss their loved ones goodbye again. J…</t>
  </si>
  <si>
    <t>@MOpoliticalguy @Joe_Cool_1 @WillSchamper_ @GovGreitensMO @EricGreitens @HereLiesMoon @1057thePoint @KimGardnerSTL Yes, You are Harry totally offensive.</t>
  </si>
  <si>
    <t>@Joe_Cool_1 @MOpoliticalguy @WillSchamper_ @GovGreitensMO @EricGreitens @HereLiesMoon @1057thePoint @KimGardnerSTL Exactly, and it’s horrible how this prosecutor is neglecting the city of St. Louis which she vowed to protect by giving all these violent criminals a pass, because she doesn’t want to do her real job and prosecute criminals.</t>
  </si>
  <si>
    <t>@MOpoliticalguy @WillSchamper_ @Joe_Cool_1 @GovGreitensMO @EricGreitens @HereLiesMoon @1057thePoint She NEVER did anything that she didn’t want to. She chose to have an affair against her husband and possibly break up another women’s family. She chose all of this. Greitens accepted responsibility for his part. She was trying to wiggle out of it.</t>
  </si>
  <si>
    <t>Greitens defense team considers waiving jury trial
(Via KMOV News) https://t.co/fkKbv6fq0c</t>
  </si>
  <si>
    <t>Greitens' defense team says grand jury was given 'false and misleading' instructions
(Via KMOV News) https://t.co/eXeihCmPwk</t>
  </si>
  <si>
    <t>@WillSchamper_ @Joe_Cool_1 @MOpoliticalguy @GovGreitensMO @EricGreitens @HereLiesMoon @1057thePoint I don’t believe he got dumped, I believe he chose his wife and family and never had any intention of any more with this girl thay was nothing more than  a mistake.</t>
  </si>
  <si>
    <t>@mcatkinstn Thanks, I would love that.</t>
  </si>
  <si>
    <t>RT @magathemaga1: (3) Everybody take a look at the following link. 
This will help you understand #JournoList as well as help you understa…</t>
  </si>
  <si>
    <t>RT @magathemaga1: (2) I want you all to familiarize yourself with #Journolist 
It was basically an email list that  supposed “objective” j…</t>
  </si>
  <si>
    <t>RT @magathemaga1: (1) 4 citizens on #moleg who are WONDERING why media haven’t asked REAL QUESTIONS about the #GreitensIndictment 
They AL…</t>
  </si>
  <si>
    <t>RT @realDonaldTrump: Department of Justice should have urged the Supreme Court to at least hear the Drivers License case on illegal immigra…</t>
  </si>
  <si>
    <t>RT @rising_serpent: Mainstream media having a collective conniption about @realDonaldTrump congratulating Putin. Somehow they were complete…</t>
  </si>
  <si>
    <t>RT @SweepReality: If the camera wasn’t on during the apology phone call the Biatch would have accepted the apology and we wouldn’t have to…</t>
  </si>
  <si>
    <t>RT @realDonaldTrump: AUSTIN BOMBING SUSPECT IS DEAD. Great job by law enforcement and all concerned!</t>
  </si>
  <si>
    <t>RT @SiddonsDan: “George Soros' commands an army of wealthy anti American leftists [#DeepState], that are bent on warping the minds of the y…</t>
  </si>
  <si>
    <t>RT @HelenTuttle: Glad the @BrowardSheriff wasn't in charge of the law enforcement effort in Austin, Texas. The bomber would be blowing up s…</t>
  </si>
  <si>
    <t>RT @Education4Libs: Yesterday’s shooting is proof that no matter how many laws you make, the people who shouldn't have guns, will still get…</t>
  </si>
  <si>
    <t>RT @Thomas1774Paine: Wikileaks Bombshell: Podesta Emails Prove Facebook Colluded With Hillary Clinton During Election https://t.co/8g2AYhtf…</t>
  </si>
  <si>
    <t>RT @Str8DonLemon: Lisa bloom at it again! Fake accusations...
She's the lady who got busted bribing women to make up stuff about conservat…</t>
  </si>
  <si>
    <t>RT @President1Trump: Lisa Bloom is at again, staging two women who are claiming assault by Steven Seagal.. like anyone believes them https:…</t>
  </si>
  <si>
    <t>RT @codeofvets: 1.3 Trillion Spending largest spending bill in US History! No more establishment!Vote for America First candidates! https:/…</t>
  </si>
  <si>
    <t>RT @MaryPoff10: .@RealAlexJones on #Periscope: Breaking! McCabe Altered FBI Reports To Frame Trump https://t.co/MXruHoBOmL</t>
  </si>
  <si>
    <t>RT @magathemaga1: @ES03784893 @CStamper_ @EricGreitens Or explain just why we shouldnt be concerned that they indicted without evidence</t>
  </si>
  <si>
    <t>RT @magathemaga1: @ES03784893 @CStamper_ @EricGreitens It won’t work. Make your case, explain why our concerns are bad.</t>
  </si>
  <si>
    <t>@magathemaga1 @ES03784893 @CStamper_ @EricGreitens Exactly, she went aftr a sitting Governor with some bogus made up charges, for her own political gain. Throwing all her violent criminal cases away so she could focus on this one vendetta of hers.</t>
  </si>
  <si>
    <t>RT @magathemaga1: @ES03784893 @CStamper_ @EricGreitens Oh everything is racist ... funny how you can’t support such a claim. We know that b…</t>
  </si>
  <si>
    <t>RT @strmsptr: Stop the Greitens #witchhunt!! #moleg @971FMTalk #msc @jallman971 @tonycolombo971 @SpeakerTimJones</t>
  </si>
  <si>
    <t>RT @ipsofacto211: @MOpoliticalguy @GovGreitensMO Harry S Truman would be ashamed of someone like you.</t>
  </si>
  <si>
    <t>RT @Str8DonLemon: @gocrazy4cards @ES03784893 @EricGreitens Democrats Excel at one thing very well: projection... He thinks people are getti…</t>
  </si>
  <si>
    <t>RT @YearOfZero: Not to mention, the charges are obviously made up. Anybody who has a clear understanding of women, cheating, and politics k…</t>
  </si>
  <si>
    <t>RT @YearOfZero: What I will say to #MoLeg is be careful what you wish for. Using the Justice system 2 target political opponents is what ha…</t>
  </si>
  <si>
    <t>RT @realDonaldTrump: ...there was no probable cause for believing that there was any crime, collusion or otherwise, or obstruction of justi…</t>
  </si>
  <si>
    <t>RT @HelenTuttle: Why would Sen. John McCain still be taking shots at @realDonaldTrump when he's living with a medical death sentence? Would…</t>
  </si>
  <si>
    <t>RT @sigi_hill: #DirtyKimGardnerCASTL should be prosecuted for perjury and abuse of power.
Let her sit in prison for all those criminals tha…</t>
  </si>
  <si>
    <t>RT @Nancy89682353: Raise your hand if you’re sick to death of Erika Jane. I’ll begin: 💁🏻‍♀️ #rhobh</t>
  </si>
  <si>
    <t>RT @mcatkinstn: There is a new American ‘type’—confused, weak, effeminate, frustrated, discombobulated, unfulfilled, and all too often hate…</t>
  </si>
  <si>
    <t>@CStamper_ @scottfaughn @EricGreitens key word here, felon.</t>
  </si>
  <si>
    <t>Ok,  this psycic is fullof 💩.#rhobh</t>
  </si>
  <si>
    <t>@sassEden Erika, you are dead to me, until you give teddy a very sincere apology!!</t>
  </si>
  <si>
    <t>@jemmamelia_ @sassEden Yeah, you Erika</t>
  </si>
  <si>
    <t>@GlennCocoJunior @sassEden And asshole erika</t>
  </si>
  <si>
    <t>@sassEden Exactly</t>
  </si>
  <si>
    <t>RT @sassEden: Omg this is such BS - LR can’t stand Dorit #rhobh shuttttt up Dorit NO ONE CARES #RHOBH</t>
  </si>
  <si>
    <t>Erica, your star has fallen.#rhobh https://t.co/aYY6weeind</t>
  </si>
  <si>
    <t>Screw you erica#rhobh</t>
  </si>
  <si>
    <t>So boring tonight.#rhobh</t>
  </si>
  <si>
    <t>RT @Anthisla: Dorit: you have gotten more from Teddi than you have ever given to others. A sincere apology is an apology, in person or by p…</t>
  </si>
  <si>
    <t>RT @Travvie_Dearest: Dorit, I think you should be flattered that you’re getting an apology at all. I’m not quite sure that you deserve one.…</t>
  </si>
  <si>
    <t>RT @TheBravo_Boy: I didnt know there was anything in Dorits head... #RHOBH https://t.co/cLyKAkb5Q8</t>
  </si>
  <si>
    <t>@FaceReality16 Describes dorito to a t.</t>
  </si>
  <si>
    <t>RT @FaceReality16: 'It's like having a baby. You carry it for 9 months and then hire other people to do all the hard work.' #RHOBH</t>
  </si>
  <si>
    <t>@cinnamonhearts3 Good, I can’t think of anyone more deserving.</t>
  </si>
  <si>
    <t>RT @cinnamonhearts3: Eden won’t give up her twitter war on Dorit. #RHOBH #sourgrapes</t>
  </si>
  <si>
    <t>@Happy_chick88 Of she did she lied, because on the very first episode this season, kyle already said she doesn’t even know what dorito’s real hair looks like.</t>
  </si>
  <si>
    <t>RT @Cattrayeal3: #RHOBH Someone please tell me again why Dorit is on this show. https://t.co/xhqR1Pxb9S</t>
  </si>
  <si>
    <t>Apologize Erica!! 😡😡😡#rhobh</t>
  </si>
  <si>
    <t>Erica jane you are full of 💩. PERIOD. Done. #rhobh</t>
  </si>
  <si>
    <t>RT @TeddiMellencamp: .@LisaVanderpump was kind enough to invite Slate over to meet all of her animals, including Pink Dog. Tonight’s #RHOBH…</t>
  </si>
  <si>
    <t>RT @FlyingDogSol: @jackwhitver @MaryEarnhardt Pronouncing #CrookedKim guilty of fraudulently spending Iowa tax dollars (both in violation o…</t>
  </si>
  <si>
    <t>RT @Mark_Fitterer: Omg I LOVE my mother!!!!! #CrookedKim https://t.co/fNPKxBBWLL</t>
  </si>
  <si>
    <t>RT @DaynaGould: @magathemaga1 @ES03784893 @CStamper_ @EricGreitens Questioning #CrookedKim is Anything But Racist or Sexist! If Anything it…</t>
  </si>
  <si>
    <t>RT @magathemaga1: @ES03784893 @EricGreitens That’s logical fallacy. Because #CrookedKim is crooked 
If there is a crime, where is the poli…</t>
  </si>
  <si>
    <t>RT @magathemaga1: Call your rep &amp;amp; tell them 2 shut down this bogus witch hunt!
⚡️Call Now ⚡️
Tell #MoLeg we will NOT tolerate a political…</t>
  </si>
  <si>
    <t>RT @magathemaga1: @ES03784893 @CStamper_ @EricGreitens Basically ur trying to claim people asking serious legit questions about #CrookedKim…</t>
  </si>
  <si>
    <t>RT @DaynaGould: Love The Show Today @jallman971 Thank You For Bring The Light Upon The Truth in This Situation ! Great Job As Usual ! #Croo…</t>
  </si>
  <si>
    <t>RT @KblairTrump: @FoxNews @SpeakerRyan Support your President.
Lead the house to support our President
That is your job.</t>
  </si>
  <si>
    <t>@FoxNews @SpeakerRyan End the witch hunt of Governor Eric Greitens!!</t>
  </si>
  <si>
    <t>RT @FoxNews: .@SpeakerRyan: "A year ago we came together and we talked about all the great things that this new, unified Republican governm…</t>
  </si>
  <si>
    <t>@MOpoliticalguy What proof do you have of the crazy outlandish things you’ve been claiming?  I have no questions for you Harry. Have a blessed Day!</t>
  </si>
  <si>
    <t>@MOpoliticalguy Like I said Harry, the man made a mistake, he’s very apologetic, that’s for him and his family to deal with in private.</t>
  </si>
  <si>
    <t>@MOpoliticalguy @cturtle31 @GovGreitensMO @GovGreitens And you know it’s not true, How? I would never reveal any of my sources.</t>
  </si>
  <si>
    <t>@MOpoliticalguy She absolutely did, the only way she was able to bring any charges against stockley was to LIE and say she had new evidence. The judge told her no charges unless she had more evidence than what she had.</t>
  </si>
  <si>
    <t>RT @gocrazy4cards: @kendylei @sunkenplacestl Crooked Kim I won't charge you for that that idea</t>
  </si>
  <si>
    <t>@MOpoliticalguy Cover your 🍑harry!</t>
  </si>
  <si>
    <t>@MajorityPAC No, but Kim Gardner the prosecutor in this case is bought and paid for by georg soros.</t>
  </si>
  <si>
    <t>@WillSchamper_ @Joe_Cool_1 @MOpoliticalguy @GovGreitensMO @EricGreitens @HereLiesMoon @1057thePoint He wants his family not some flighty mistress.</t>
  </si>
  <si>
    <t>RT @gocrazy4cards: @MOpoliticalguy @cturtle31 @GovGreitensMO @GovGreitens @EricGreitens If he doesn't have evidence ... And none of us do h…</t>
  </si>
  <si>
    <t>RT @gocrazy4cards: @MOpoliticalguy @cturtle31 @GovGreitensMO @GovGreitens Bro nobody cares he had the affair. That's personal. The indictme…</t>
  </si>
  <si>
    <t>@MOpoliticalguy @cturtle31 @GovGreitensMO @GovGreitens He has not admitted to tying anyone up or taking any pictures. The Grand jury indicted because they were lied to by the prosecuting attorney Kim Gardner.</t>
  </si>
  <si>
    <t>@MOpoliticalguy @GovGreitensMO Kim Gardner</t>
  </si>
  <si>
    <t>@MOpoliticalguy @GovGreitensMO Where’s your proof Harry? Show me the proof? This is still America, innocent until proven guilty, or in prosecuting attorneys case Mim Gardner, lie and stall until you can scrape together as much dirt as your high priced agency can find.</t>
  </si>
  <si>
    <t>@gocrazy4cards @sunkenplacestl Crooked Kim, I like that, it has a nice ring to it, and it’s true.</t>
  </si>
  <si>
    <t>@MOpoliticalguy @GovGreitensMO Everyone makes mistakes which he ia very apologetic, he has not committed a crime. He doesn’t abuse his power like Prosecuting attorney Kim Gardner is doing. He’s honest and not bought.</t>
  </si>
  <si>
    <t>RT @magathemaga1: @MOpoliticalguy @GovGreitensMO Lol ... when you turn to the Russian card, you really know this whole case is on weak grou…</t>
  </si>
  <si>
    <t>RT @PeteS77252077: @christoferguson #moleg #greitens #mogov #STL https://t.co/mS2SVsOtb9</t>
  </si>
  <si>
    <t>RT @christoferguson: The on-going saga of #Missouri Governor Greitens trial. There is still no physical evidence of any crime  https://t.co…</t>
  </si>
  <si>
    <t>RT @magathemaga1: @TrumpChess @EricGreitens @AGJoshHawley @POTUS @GovGreitens6 @comesummer30 @GreekSTL @jallman971 @MissouriGOP @gatewaypun…</t>
  </si>
  <si>
    <t>RT @magathemaga1: @TrumpChess @EricGreitens @AGJoshHawley @POTUS #GreitensIndictment #Greitens #MoLeg #MoGov @GovGreitens6 
@EricGreitens #…</t>
  </si>
  <si>
    <t>RT @TrumpChess: @magathemaga1 @EricGreitens Left msg for @AGJoshHawley office; expose this witch hunt and kim gardner hiring criminals/liar…</t>
  </si>
  <si>
    <t>RT @gocrazy4cards: @magathemaga1 @EricGreitens It's BS and we know it!</t>
  </si>
  <si>
    <t>RT @magathemaga1: ⚡️Call (573) 751-2000 ⚡️
And TELL #MoLeg U WILL NOT tolerate witch hunt against @EricGreitens by shady STL  prosecutor!…</t>
  </si>
  <si>
    <t>@tracey_vinsand @MOpoliticalguy He’s an awesome governor and the people love him.</t>
  </si>
  <si>
    <t>RT @gocrazy4cards: @tracey_vinsand @MOpoliticalguy Not a huge fan but I hate misuse of justice system like this. He's innocent</t>
  </si>
  <si>
    <t>RT @Str8DonLemon: @tracey_vinsand Amen! 
#moleg #Greitens https://t.co/p7AuOHeR1q</t>
  </si>
  <si>
    <t>RT @gocrazy4cards: @tracey_vinsand It's a witch Hunt!</t>
  </si>
  <si>
    <t>RT @sigi_hill: 🎯More than ONE REASON to believe left-creeps witch-hunting conservative Gov. Greitens 
#IStandWithGovGreitens.
#Greitens
#mo…</t>
  </si>
  <si>
    <t>RT @sigi_hill: 🎯A woman w reputation of sleeping around w high profile politicians
🎯A jealous traveling music-band ex-hubby, father o numer…</t>
  </si>
  <si>
    <t>RT @gocrazy4cards: @kendylei @sunkenplacestl She is #CrookedKim #moleg</t>
  </si>
  <si>
    <t>RT @jetstreamnews: Retweeted Chris Stamper (@CStamper_):
Soros-backed prosecutor Kim Gardner dropped charges against these two in... https…</t>
  </si>
  <si>
    <t>@sunkenplacestl Who’s investigating Kim Gardner? Someone needs to, this woman is sssssshady!!</t>
  </si>
  <si>
    <t>RT @sunkenplacestl: The latest on this sh*tshow... It's not looking good for Kim Gardner. Unless she has a wildcard, her career is over. ht…</t>
  </si>
  <si>
    <t>@Ontheotherhand @TwitterSupport @stlcao You and your cronies are what’s threatening. The way you twist everything to suit your narrative, and Kim Gardner is a huge threat to the innocent citizens in St. Louis whom she refuses to do her job and protect them from violent criminals.</t>
  </si>
  <si>
    <t>@Ontheotherhand @TwitterSupport @stlcao Get over yourself already. Maybe you are threatening me?</t>
  </si>
  <si>
    <t>RT @jaden_tyne1: What changed with Kim Gardner? #ethicalprofessionalism #ethics #Integrity ? https://t.co/98C7vi7dIT</t>
  </si>
  <si>
    <t>RT @lightlysaltedJC: @CStamper_ *any evidence*</t>
  </si>
  <si>
    <t>RT @gocrazy4cards: @CStamper_ Sick!</t>
  </si>
  <si>
    <t>RT @Str8DonLemon: @aroberts3016 @CStamper_  https://t.co/Qo4KFVYdgo</t>
  </si>
  <si>
    <t>RT @funtastic911: Greitens wants trial to start in 2 weeks and will ask for judge, not jury, to hear case https://t.co/ra00YJffZO via @stlt…</t>
  </si>
  <si>
    <t>RT @funtastic911: Circuit Attorney Kim Gardner, is bypassing the local Police Chief and St. Louis's own investigation team without notice t…</t>
  </si>
  <si>
    <t>RT @PamelaS49806175: @FOX2now Kim Gardner could have hired several additional  Police Officers to help fight the very real crime in her cit…</t>
  </si>
  <si>
    <t>RT @lilydaisyjoy: @FOX2now Should be kept private. Kim Gardner is abusing prosecutorial power</t>
  </si>
  <si>
    <t>In Sign Of Widening Probe, Prosecutor Subpoenas Greitens’ Former Charity https://t.co/xgowYdxBk3 via @TPM</t>
  </si>
  <si>
    <t>RT @SKYRIDER4538: So it's ok when .@katyperry plants surprise kiss on a kid. Now let's say the situation was reversed &amp;amp; a guy did this. Wou…</t>
  </si>
  <si>
    <t>RT @Pismo_B: Illegal immigrants, who dodged California ICE raid after Dem mayor's tip-off, re-arrested for new crimes https://t.co/sgVASSPJ…</t>
  </si>
  <si>
    <t>RT @iheartmindy: It's all fun and games until it's happening to you....
https://t.co/UCxI8MfUZ3 https://t.co/UCxI8MfUZ3</t>
  </si>
  <si>
    <t>RT @timsylviamma: So guns don’t save lives. Funny the good guy with the gun saved everyone lives. https://t.co/boQWcQ2oT0</t>
  </si>
  <si>
    <t>RT @iheartmindy: A good guy with a gun stoped a school shooter today, and everyone's alive except the perpetrator. A happy ending indeed...…</t>
  </si>
  <si>
    <t>RT @DemocratsLogic: https://t.co/DfJAiQVEDZ</t>
  </si>
  <si>
    <t>RT @iheartmindy: Finally, the technology to humanely put down death row prison inmates is here.... https://t.co/CyqjvkGH2M</t>
  </si>
  <si>
    <t>RT @RedNationRising: Smash-n-Grab... the Obama legacy, or how to make boat loads of money for your liberal friends... https://t.co/iCfCraDG…</t>
  </si>
  <si>
    <t>RT @LVNancy: Democrats: Your hate makes you ugly🍄
"But what comes out of the mouth proceeds from the heart, this defiles a person. For out…</t>
  </si>
  <si>
    <t>RT @SteveScalise: One of our basic constitutional duties is to provide for a strong national defense. This week, we'll vote to give our tro…</t>
  </si>
  <si>
    <t>RT @KrisParonto: Disgraceful and more verification that hollywood is a huge septic tank . @jimmykimmel @Oscars_2018live #disgusting https:/…</t>
  </si>
  <si>
    <t>RT @RealMattCouch: Remember when the Mainstream Media went all in trying to destroy Bill Clinton over having an affair with an Intern and u…</t>
  </si>
  <si>
    <t>RT @junogsp5: Moscow Mueller &amp;amp; his Trump Haters Legal Team have wasted over $10mm of TaxPayer Funds on Fake News  Russian Collusion Illusio…</t>
  </si>
  <si>
    <t>RT @gaye_gallops: TAKE A DEEP BREATH....AND CONSIDER THE RAMIFICATIONS! MUELLER is LOCKED AND LOADED within his own investigation.He was in…</t>
  </si>
  <si>
    <t>RT @Patriotic_Va: If you believe Hillary Clinton gives one crap about offending anyone you are either naive or just full of it. Hillary car…</t>
  </si>
  <si>
    <t>RT @GOPLeader: Happy #NationalAgWeek to all of our farmers and producers across California. We are grateful for your persistent hard work,…</t>
  </si>
  <si>
    <t>RT @jennajameson: John Oliver is tragically unfunny and an all around terrible human being. #LastWeekTonight https://t.co/Bqri3ThMvL</t>
  </si>
  <si>
    <t>RT @NameRedacted7: When twitter deleted my acct last Friday, I had 18k followers. Please RT to let people know I've returned and to follow…</t>
  </si>
  <si>
    <t>RT @FascistTwatter: @Fuctupmind @RepStevenSmith @MistaBRONCO @AmericanHotLips @Keque_Mage @rp4freedom1st @thebradfordfile @iamjasonbailey @…</t>
  </si>
  <si>
    <t>RT @BerrinAndro: @Fuctupmind @RepStevenSmith @MistaBRONCO @AmericanHotLips @Keque_Mage @rp4freedom1st @thebradfordfile @iamjasonbailey @Don…</t>
  </si>
  <si>
    <t>RT @DanCovfefe1: @Fuctupmind @RepStevenSmith @MistaBRONCO @AmericanHotLips @Keque_Mage @rp4freedom1st @thebradfordfile @iamjasonbailey @Don…</t>
  </si>
  <si>
    <t>RT @EickenR: @Fuctupmind @InAbsentia9 @RepStevenSmith @MistaBRONCO @AmericanHotLips @Keque_Mage @rp4freedom1st @thebradfordfile @iamjasonba…</t>
  </si>
  <si>
    <t>RT @DonnaWR8: @Fuctupmind @RepStevenSmith @MistaBRONCO @AmericanHotLips @Keque_Mage @rp4freedom1st @thebradfordfile @iamjasonbailey @StacyL…</t>
  </si>
  <si>
    <t>RT @chic_savage: @RobJCollins65 @Fuctupmind @RepStevenSmith @MistaBRONCO @AmericanHotLips @Keque_Mage @rp4freedom1st @thebradfordfile @iamj…</t>
  </si>
  <si>
    <t>RT @rp4freedom1st: @Fuctupmind @RepStevenSmith @MistaBRONCO @AmericanHotLips @Keque_Mage @thebradfordfile @iamjasonbailey @DonnaWR8 @StacyL…</t>
  </si>
  <si>
    <t>RT @Falcore: @Fuctupmind @AmericanHotLips @RepStevenSmith @MistaBRONCO @Keque_Mage @rp4freedom1st @thebradfordfile @iamjasonbailey @DonnaWR…</t>
  </si>
  <si>
    <t>RT @Fuctupmind: This picture has me in tears 😭 https://t.co/28yFPvTNY9</t>
  </si>
  <si>
    <t>RT @KBELL1725: @jennbuso Omg yes! He probably sold all his houses and moved far away while she was gone!</t>
  </si>
  <si>
    <t>@pinkistehbest What is up with them talking group trips all the time? So weird, and extravagant.</t>
  </si>
  <si>
    <t>RT @pinkistehbest: Do you wonder if the other people at Sur are happy when the "cast" goes on group vacays? Like maybe they are all thank f…</t>
  </si>
  <si>
    <t>RT @MAGAKrissy: This is absolutely disgusting. If you don’t think your kids are being brainwashed, think again. Educating the small to beli…</t>
  </si>
  <si>
    <t>RT @KarenHugersHair: You don't need to move to Florida to tweet about hockey. Jax's "dream job offer" sounds bogus. #PumpRules</t>
  </si>
  <si>
    <t>RT @CNET: Facebook is taking over your feed, and not in the fun way. Delete the app, and get back some more free time 💃
https://t.co/h1IKNH…</t>
  </si>
  <si>
    <t>@SKYRIDER4538 @RealJamesWoods @PrisonPlanet @MarkDice @therealroseanne @greggutfeld @SchmittNYC @StacyLStiles @SparkleSoup45 @bgood12345 @ClintonMSix14 @bbusa617 @SandraTXAS @GaetaSusan @steph93065 @JesseBWatters @GrizzleMeister Beyond ridiculous 🙄🙄</t>
  </si>
  <si>
    <t>@LauraR77 @SKYRIDER4538 @GemMar333 @RealJamesWoods @PrisonPlanet @MarkDice @therealroseanne @greggutfeld @SchmittNYC @StacyLStiles @SparkleSoup45 @bgood12345 @ClintonMSix14 @bbusa617 @SandraTXAS @GaetaSusan @steph93065 @JesseBWatters @GrizzleMeister Joke</t>
  </si>
  <si>
    <t>RT @LauraR77: @SKYRIDER4538 @GemMar333 @RealJamesWoods @PrisonPlanet @MarkDice @therealroseanne @greggutfeld @SchmittNYC @StacyLStiles @Spa…</t>
  </si>
  <si>
    <t>RT @matihargrove: @SKYRIDER4538 @RealJamesWoods @PrisonPlanet @MarkDice @therealroseanne @greggutfeld @SchmittNYC @StacyLStiles @SparkleSou…</t>
  </si>
  <si>
    <t>RT @JoeMcInerney2: @SKYRIDER4538 @RealJamesWoods @PrisonPlanet @MarkDice @therealroseanne @greggutfeld @SchmittNYC @StacyLStiles @SparkleSo…</t>
  </si>
  <si>
    <t>RT @meep_meep_speed: @SKYRIDER4538 @RealJamesWoods @PrisonPlanet @MarkDice @therealroseanne @greggutfeld @SchmittNYC @StacyLStiles @Sparkle…</t>
  </si>
  <si>
    <t>RT @SKYRIDER4538: Pretend lawyer wants to play governor! Wonder what necessities she packs for the campaign road!? 🙄
#CynthiaforNewYork 
#…</t>
  </si>
  <si>
    <t>RT @jeepsuzih2: I've Fallen and I WON'T SHUT UP😂🤣😂😂🤣
Oh hillary Give it up Sweetie🤣😂 https://t.co/EFyrDRPyme</t>
  </si>
  <si>
    <t>@SKOLBLUE1 Just catching up in the group chat. I wanted to know what the deal was with the direction of the group, I seen the questions you and the avenger were asking. I’m sticking to my focus and getting the word out of the offices corruption and lies. Good luck to you</t>
  </si>
  <si>
    <t>@SKOLBLUE1 hey skol, how’s it going?</t>
  </si>
  <si>
    <t>RT @PeteS77252077: 4th amendment. 
Go look up why we’d have it https://t.co/nAExqEdeGt</t>
  </si>
  <si>
    <t>RT @PeteS77252077: #GreitensIndictment explained:
No evidence 
No probable cause 
It’s Politically Motivated
Establishment out to get him…</t>
  </si>
  <si>
    <t>RT @Str8DonLemon: This is how I describe the #GreitensIndictment 
1. Ex Who is out for Revenge
2. Prosecutor who is playing politics
3. Wi…</t>
  </si>
  <si>
    <t>RT @PeteS77252077: The Truth really doesn’t matter to the so called “journalists” in MO
Do your jobs. You clearly aren’t.
Propaganda isn’…</t>
  </si>
  <si>
    <t>RT @Thomas1774Paine: FBI Official: FBI Agents Threatened Physical Harm to President Trump In Missing FBI Texts &amp;amp; Other “Frightening” Commun…</t>
  </si>
  <si>
    <t>@PeteS77252077 @EricGreitens @GOPMissouri Judd is such a twit</t>
  </si>
  <si>
    <t>@PeteS77252077 Thanks for helping and the insight and explaining.</t>
  </si>
  <si>
    <t>@PeteS77252077 @GovGreitens6 Yes, I noticed it right away and it infuriates me.</t>
  </si>
  <si>
    <t>@PeteS77252077 @EricGreitens @DeplorableGoldn @GOP I just signed up at the link you gave me to volunteer. 🙏🏻 Thanks, I’m going to continue to do my part, and it actually seems like the word of the injustice and corruption of her office is really starting to spread.</t>
  </si>
  <si>
    <t>RT @PeteS77252077: (82) P.S. 2 - REMEMBER 
Remember 6 things YOU CAN DO to HELP @EricGreitens
✔️Call out Lies. Social Media is how you fi…</t>
  </si>
  <si>
    <t>RT @PeteS77252077: (81) P.S. - I NEED YOUR HELP!
I’m currently shadowbanned, and I want to INVITE YOU to RETWEET THIS as much as possible…</t>
  </si>
  <si>
    <t>@PeteS77252077 @TomJEstes I absolutely will</t>
  </si>
  <si>
    <t>@PeteS77252077 @EricGreitens @GOPMissouri Love it.</t>
  </si>
  <si>
    <t>RT @PeteS77252077: (80) I say...
I say the NAME is...
Let’s call it: RED DAWN 2018
#MoLeg
#Greitens
#RedDawn
#RedDawn2018
#RedWaveRising…</t>
  </si>
  <si>
    <t>RT @PeteS77252077: (79) I have another idea. 
Given the context I have provided, and all the crazy stuff going on,  with not just this #Gr…</t>
  </si>
  <si>
    <t>RT @PeteS77252077: (78) Now that THE IMAGE of YOURSELF as a REVOLUTIONARY fighting off evils of communism is in your head &amp;amp; now that you kn…</t>
  </si>
  <si>
    <t>RT @PatriotLexi: “This is really the first time the American people are seeing at least some responsibility for somebody who clearly misled…</t>
  </si>
  <si>
    <t>RT @PatriotLexi: James Kallstrom: "They've ruined [@GenFlynn] - and because they threatened his son, you know, they bankrupted this guy tha…</t>
  </si>
  <si>
    <t>RT @PeteS77252077: (77) We need a strong IDENTITY
Our BASE has 2 be CHARGED
IMAGINE yourself as a REVOLUTIONARY
Fighting socialism &amp;amp; com…</t>
  </si>
  <si>
    <t>RT @PeteS77252077: (78) We need to recognize what we are up against &amp;amp; get into the fight
Not only is the establishment &amp;amp; media aiding left…</t>
  </si>
  <si>
    <t>RT @PeteS77252077: (77) If you study your history, &amp;amp; have seen men ruined over fake allegations, you start 2 notice when things don’t pass…</t>
  </si>
  <si>
    <t>RT @PeteS77252077: (76) Common thing I continue to hear: This is how communism starts. With censorship, deplatforming, fake allegations, cr…</t>
  </si>
  <si>
    <t>RT @PeteS77252077: (75) One might wonder, what’s my interest in this? And why am I adding all this context 2 @EricGreitens story?
Not spec…</t>
  </si>
  <si>
    <t>RT @PeteS77252077: (74) You need a STRONG IDENTITY. A strong SELF IMAGE 4 this FIGHT
REMEMBER: they are going 2 the IDENTITY card no matte…</t>
  </si>
  <si>
    <t>RT @PeteS77252077: (73) I lied.
1 more thing. You need to BEGIN to IMAGINE. 
YOU NEED to BEGIN to IMAGINE yourself as a REVOLUTIONARY
No…</t>
  </si>
  <si>
    <t>RT @PeteS77252077: (72) The other 2 things:
✔️ Demand this witch hunt be ended by your state rep! And demand absolute fairness! Contact li…</t>
  </si>
  <si>
    <t>@LolaRxstar Thanks friend 🙂</t>
  </si>
  <si>
    <t>@LolaRxstar What 😲😲😲😲</t>
  </si>
  <si>
    <t>@pweshus Thank you !!</t>
  </si>
  <si>
    <t>RT @pweshus: And the Oscar goes to.....Let’s make it clear Mariah is not some weak woman and no way in hell would she let anybody bully her…</t>
  </si>
  <si>
    <t>@married2medhou @DrSSWhitmore @BCombsHair @SoChevon Good luck to you and your boys simone!! Love ya</t>
  </si>
  <si>
    <t>RT @married2medhou: #MarriedToMedicineReunion #Married2MedReunion #marriedtomed #married2med
                   |F A C E|…</t>
  </si>
  <si>
    <t>@J_say_hello @DivaLateefah Quad is a smart woman, I hope she gets her ducks in a row, if you know what I mean.</t>
  </si>
  <si>
    <t>RT @J_say_hello: @DivaLateefah Instead Quad buying a Benz she needed to buy an high rise condo w/ cash #Married2Med #MarriedToMed</t>
  </si>
  <si>
    <t>@LolaRxstar Seriously?? What does that mean. I didn’t think you could practice medicine if you weren’t board certified?</t>
  </si>
  <si>
    <t>@toriblue671 @TamiRoman @DrSSWhitmore Yeah, Dr.greg.</t>
  </si>
  <si>
    <t>RT @toniaiisley: @AbsolutelyQuad turned all the way around to remind her husband that she wanted him to win. Setting up his office in such…</t>
  </si>
  <si>
    <t>So ole charlie brown lookin head thinks he’s a player now.  If you would have concentrated more on Treating your wife with respect and appreciation she maybe would have had your child.#MarriedToMed</t>
  </si>
  <si>
    <t>Omg mariah, shut the hell up and worry about your own cheating husband.#MarriedToMed</t>
  </si>
  <si>
    <t>@Karlishawn @Tweet_Toya No doubt!!</t>
  </si>
  <si>
    <t>@msbrittany_jay Me too!</t>
  </si>
  <si>
    <t>RT @msbrittany_jay: I wish Toya was off the show frfr #MarriedToMed</t>
  </si>
  <si>
    <t>STFU Toya the gold digger!!#MarriedToMed</t>
  </si>
  <si>
    <t>@VandyGrad @Dr_Heavenly I can’t help but love heavenly, she cracks me up.   Especially when she’s talking to her daughter.</t>
  </si>
  <si>
    <t>RT @VandyGrad: Dang I hate seeing the Queen crying like that!  But, those tears are the windows to @Dr_Heavenly’s soul.  Most people’s hear…</t>
  </si>
  <si>
    <t>RT @chamezzAmor: Heavenly is hilarious yo she keep telling moriah it's not that deep😂😂  #marriedtomed</t>
  </si>
  <si>
    <t>RT @RitaEsq: Curtis face when Cecil was talking about his female golfing buddy being like a sister &amp;amp; really good friend 😫😫😫 He was looking…</t>
  </si>
  <si>
    <t>@645ciDIVA @Andy  https://t.co/1Nsww46NzE</t>
  </si>
  <si>
    <t>RT @bad2dabrizzle: Mariah is blowing this poster shit way out of proportion. Sis, shut up. Why did you have that unnecessary ass poster on…</t>
  </si>
  <si>
    <t>OMG mariah, are you kidding me? Your ridiculous shenanigans are just too much, it was a scribble on a poster, nobody got murdered!! You and your husband need to get over yourselves already!!🙄🙄🙄🙄🙄.#MarriedToMed</t>
  </si>
  <si>
    <t>RT @Youve_Got_MEL_: Quad and Gregory just proved the point “Don’t judge a book by its cover.” All the ladies were quick to blame Quad for t…</t>
  </si>
  <si>
    <t>@LadyMsJ01 🙄🙄</t>
  </si>
  <si>
    <t>@iluvmariah @Andy @PurveyorsofPop We all definitely could have lived without your over the top drama, all because someone scribbled a little on your picture? Geez Louise, have you ever thought about auditioning for a scene? You should.</t>
  </si>
  <si>
    <t>RT @Eric_Schmitt: One year ago today I became State Treasurer. Since then we've worked tirelessly to deliver big results for Missouri taxpa…</t>
  </si>
  <si>
    <t>@MIZCRB @travisliebig @STLPartnership That’s what elections are for.</t>
  </si>
  <si>
    <t>@WastedTime2U @LydaKrewson @STLMardiGras Time to take out the trash, starting with mc caskill, krewson and definitely Kim Gardner.</t>
  </si>
  <si>
    <t>RT @WastedTime2U: @LydaKrewson @STLMardiGras You are a disgrace. Mardi Gra was established in this area long before your campaign came in a…</t>
  </si>
  <si>
    <t>RT @iamcjkessler: @LydaKrewson @STLMardiGras Maybe they will egg your house after you bend over backwards to please them.</t>
  </si>
  <si>
    <t>@anncren @LydaKrewson @STLMardiGras Wouldn’t it be nice to have a mayor that  didn’t act clueless all the time? Hey krewson crime is bad for business, and it kills tourism. Your city is no.2 in the nation for the worst crime.</t>
  </si>
  <si>
    <t>RT @anncren: @LydaKrewson @STLMardiGras Who told you that ?there will not be a high turn out from the ppl of STL🤬🤬🤬🤬</t>
  </si>
  <si>
    <t>RT @Krbobby72: @kendylei @CStamper_ It’s better happen soon. What’s next from these loones on the #left 
@EricGreitens needs our help.....w…</t>
  </si>
  <si>
    <t>RT @Bilbo161: I guess liberal protests are mandatory for many high schools across this land.  I wonder how long it will take for these kids…</t>
  </si>
  <si>
    <t>@NSFMill @CStamper_ I’m 🙏🏻 for Justice for these families, but she could care less, she’ll make all of her usual excuses.  It breaks my ❤️. How much more public outcry from the public does this mayor need to do the right thing here?</t>
  </si>
  <si>
    <t>RT @NSFMill: @kendylei @CStamper_ So sad for all the true crime victims.  The people deserve someone who cares about them, not their own se…</t>
  </si>
  <si>
    <t>RT @pkelly1330: @JDandTurkelton I bet she hires Yale law specialists to balance everything</t>
  </si>
  <si>
    <t>@miloramone @JDandTurkelton I 🙏🏻 this family gets justice.</t>
  </si>
  <si>
    <t>@JDandTurkelton @miloramone If Kim Gardner went after real criminals she wouldn’t have time to go after her and soro’s political opponents.</t>
  </si>
  <si>
    <t>RT @JDandTurkelton: @miloramone ~1-11 in murder cases... She couldn't fried chicken convicted for being fattening</t>
  </si>
  <si>
    <t>RT @miloramone: @JDandTurkelton “Cell phone site data also showed Pearson and Cook were near the murder scene when the shooting occurred.”…</t>
  </si>
  <si>
    <t>RT @JDandTurkelton: ... And Kim Gardner will screw this up... I'd be willing to lay odds
https://t.co/40xBhcNNBB</t>
  </si>
  <si>
    <t>RT @magathemaga1: @JosieKana @CStamper_ They are “willing to get dirty to win”
That means they will accuse people falsely and use the just…</t>
  </si>
  <si>
    <t>RT @JosieKana: @CStamper_ @magathemaga1 This is disgusting. How can something like this continue? Too much evil in this country...complimen…</t>
  </si>
  <si>
    <t>@Krbobby72 @CStamper_ It really is getting to a scary point. When will someone put an end to this mad woman? When will St. Louis get protection from Kim Gardner?</t>
  </si>
  <si>
    <t>RT @Krbobby72: @CStamper_ This is pure craziness. How has this been allowed to continue?!? We the people need to end this!  Imagine what wi…</t>
  </si>
  <si>
    <t>@CStamper_ This totally blows my mind, the insanity this woman is getting away with.</t>
  </si>
  <si>
    <t>RT @NSFMill: @CStamper_ Can ANY investigator walk in to the Capital building and start asking questions? What credentials were used? Hmmm.</t>
  </si>
  <si>
    <t>RT @NSFMill: @CStamper_ Are out of state investigators allowed to practice here? Licensed?</t>
  </si>
  <si>
    <t>RT @SKOLBLUE1: @CStamper_  https://t.co/mNb0kUHjrS</t>
  </si>
  <si>
    <t>@CStamper_ And each day she’s in there it’s only getting worse. She doesn’t prosecute criminals.</t>
  </si>
  <si>
    <t>RT @Sticknstones4: @CStamper_ @Str8DonLemon How much was spent on investigators in this crime?</t>
  </si>
  <si>
    <t>@NSFMill @CStamper_ Yeah, I’d say her time is way past due.</t>
  </si>
  <si>
    <t>RT @NSFMill: @CStamper_ Gigs up Kim.  Time for you to go!</t>
  </si>
  <si>
    <t>@Addison0506 @CStamper_ Yeah, it’s getting sadder and sadder the more I hear from families of victims where she refuses to charge any of the suspects involved.</t>
  </si>
  <si>
    <t>RT @jsl909: @CStamper_ Maybe I can help. 
Replace the word “Evidence” with “personal political compensation”.</t>
  </si>
  <si>
    <t>RT @aroberts3016: @CStamper_ After seeing how liberals milk the Mueller investigation for everything it’s worth, why wouldn’t someone go af…</t>
  </si>
  <si>
    <t>RT @LahiMarilyn: @CStamper_ Corruption all the way</t>
  </si>
  <si>
    <t>RT @LisotaMartin: @CStamper_ Corruptness happened that's what! Flows down like what's happening with the FBI and the DOJ!</t>
  </si>
  <si>
    <t>RT @Str8DonLemon: @Bilbo161 @CStamper_ #moleg #Greitens #GreitensIndictment https://t.co/Nh4AvcZtz1</t>
  </si>
  <si>
    <t>RT @Bilbo161: @CStamper_ She’s too busy witch- hunting and that was the quickest way to get back to it.</t>
  </si>
  <si>
    <t>@grcfay @CStamper_ Her own Police department told her  nothing to investigate, so she back doors them and hires an out of state agency and lawyer with taxpayers money to keep her witch hunt of Greitens going. SAD</t>
  </si>
  <si>
    <t>RT @GregReilly718: @CStamper_ Soros is an enemy of our republic and should be treated as such-  if the American ppl only knew an ounce of w…</t>
  </si>
  <si>
    <t>RT @Sticknstones4: @CStamper_ How much did she spend on investigators for this case ?</t>
  </si>
  <si>
    <t>@Sparkys_Life @CStamper_ Right, and she lied to the grand jury about her evidence, which isn’t the first time for Kim Gardner.</t>
  </si>
  <si>
    <t>RT @Sparkys_Life: @CStamper_ Proving of course "that you can indict a ham Sandwich" Grand Juries only get to hear what a prosecutor wants t…</t>
  </si>
  <si>
    <t>RT @MichaelAllia3: @CStamper_ How does this happen</t>
  </si>
  <si>
    <t>RT @RightSideUp313: @CStamper_ Soros is getting a great return on his investment</t>
  </si>
  <si>
    <t>RT @Str8DonLemon: @CStamper_ @gocrazy4cards @CNN #moleg #Greitens #GreitensIndictment https://t.co/T2tVUa6UNZ</t>
  </si>
  <si>
    <t>RT @Str8DonLemon: @CStamper_ @gocrazy4cards My dear boy, it's politics! You know the answer!
You really think we Democrats shouldn't use t…</t>
  </si>
  <si>
    <t>@CStamper_ There will be more victims, thanks kim!!</t>
  </si>
  <si>
    <t>RT @gocrazy4cards: @Str8DonLemon @rothfarms @CStamper_ It's bs ex husband mad that greitens is doing good and he not man enough to keep it…</t>
  </si>
  <si>
    <t>RT @Str8DonLemon: @rothfarms @CStamper_ #moleg https://t.co/nkW0Jy1Ypm</t>
  </si>
  <si>
    <t>RT @rothfarms: @CStamper_ St Louis oughta be ashamed of Kim Gardner.  Good Grief.  Pathetic.</t>
  </si>
  <si>
    <t>RT @Allen54131354: @StLouisCityCA @stlcao Really.  Now you're wasting our money on Greitens. Thought you learned your lesson dumbass! Loser!</t>
  </si>
  <si>
    <t>RT @MrDuckDong: @StLouisCityCA @stlcao I find it tragic that soft on crime liberals can’t figure out why crime is so high. Congratulations…</t>
  </si>
  <si>
    <t>RT @Allen54131354: @StLouisCityCA @stlcao Number one for violent crime in the US.   Great job Kimmy!</t>
  </si>
  <si>
    <t>@thisisjames @StLouisCityCA @stlcao She is crippling the city worse than it’s ever been. When your cities prosecutor is corrupt, your kind of screwed. I’m starting to hear about all these different cases where  she’s letting violent criminals walk.</t>
  </si>
  <si>
    <t>RT @thisisjames: @StLouisCityCA @stlcao How many will be stabbed before you prosecute?  https://t.co/hlNNoYuXtH</t>
  </si>
  <si>
    <t>RT @kandiejean: @StLouisCityCA How about you stop wasting our time and money prosecuting the governor, and figure that out. What he did beh…</t>
  </si>
  <si>
    <t>RT @kandiejean: @JessicaStover18 @StLouisCityCA Shame on you is right, spend your time and our money prosecuting the murder of innocent peo…</t>
  </si>
  <si>
    <t>RT @JessicaStover18: @StLouisCityCA I CAN'T NOT BELIEVE YOU HAD A MISSOURI GOVERNOR ARRESTED   SHAME ON YOU KIMBERLY GARDNER WHAT YOU DONE…</t>
  </si>
  <si>
    <t>@DaveKeiser @StLouisCityCA @stlcao Truth</t>
  </si>
  <si>
    <t>RT @DaveKeiser: @StLouisCityCA @stlcao Hard to say, but #StLouis would be a great place to start!</t>
  </si>
  <si>
    <t>@StLouisCityCA @cao And police officers.</t>
  </si>
  <si>
    <t>@StLouisCityCA @cao Kim Gardner, you are the worst thing to happen to the city of St. Louis for a very long time. You’re not interested in making the streets safer for citizens, you only go after opposing politicians police officers.</t>
  </si>
  <si>
    <t>RT @bobross1974: @StLouisCityCA @cao Corrupt Prosecutors
Bad prosecutors!
What'cha want? What'cha want?
What'cha gonna do
When the Office…</t>
  </si>
  <si>
    <t>Gardner says Greitens case is not politically motivated – https://t.co/N46I5008E7 https://t.co/l9kKO2sjPP</t>
  </si>
  <si>
    <t>https://t.co/SQB0W02O4O</t>
  </si>
  <si>
    <t>North and south city neighborhoods unite to promote change in communities
(Via KSDK) https://t.co/29clXO2JZ5</t>
  </si>
  <si>
    <t>@Str8DonLemon @thisisjames @FOX2now @EricGreitens That’s exactly what they’re doing, but you would think that the judge would have thrown such a ridiculous witch hunt out.</t>
  </si>
  <si>
    <t>RT @Str8DonLemon: @kendylei @thisisjames @FOX2now The trying to use it to investigate him for anything.
Time to fight back @EricGreitens…</t>
  </si>
  <si>
    <t>@thisisjames @FOX2now Good question huh? Apparently one they don’t have to answer to for some reason.</t>
  </si>
  <si>
    <t>RT @SiddonsDan: “Breaking! McCabe Altered FBI Reports To Frame Trump. [@FBI] director Chris Wray maybe next to be fired. We will fight, we…</t>
  </si>
  <si>
    <t>RT @PeteS77252077: @kendylei @bobross1974 @esqonfire @GovGreitensMO @SheenaGreitens @MOleg @stlcao @EricGreitens @StLouisCityCA @Joe_Cool_1…</t>
  </si>
  <si>
    <t>RT @PeteS77252077: @bobross1974 @thisisjames @FOX2now This whole thing is BS 
#Greitens #moleg 
#ComeyStrategy https://t.co/CjRxWmpLdQ</t>
  </si>
  <si>
    <t>RT @PeteS77252077: @bobross1974 @thisisjames @FOX2now It’s total bs. For all we know they could have been exchanging pics. That’s what men…</t>
  </si>
  <si>
    <t>@bobross1974 @thisisjames @FOX2now Abso freakin lutely</t>
  </si>
  <si>
    <t>RT @bobross1974: @thisisjames @FOX2now The irony, of course, if he did invade her privacy by taking the photo it never went beyond his eyes…</t>
  </si>
  <si>
    <t>@thisisjames @FOX2now The stupid prosecutors don’t even have a picture they are making the claim about, how messed up is that?</t>
  </si>
  <si>
    <t>RT @thisisjames: @FOX2now Such a stupid witch hunt.  Took a nude photo of his gf and is charged with "invasion of privacy" because of it.…</t>
  </si>
  <si>
    <t>RT @Sticknstones4: @FOX2now There is no picture</t>
  </si>
  <si>
    <t>RT @bobross1974: @FOX2now This is going to be awkward. 
Defense Attorney: "Mr. Tisaby, have you ever lied under oath?"
Tisaby: "Ah......"</t>
  </si>
  <si>
    <t>RT @PeteS77252077: @FOX2now Investigation is bogus
✔️No probable cause.
✔️No police report 
✔️Tape aint evidence 
✔️Waited 3 years?
🤔 Ex…</t>
  </si>
  <si>
    <t>@DLeoRed I’m sorry for the mis understand that little hajen 💩 was a smart ass to me, then I replied back to her , then one or all of the little 💩’s blocked me. Your not a bad mom. I’m never ok with domestic violence, I grew up with it.</t>
  </si>
  <si>
    <t>RT @gocrazy4cards: @kendylei That's ok. I voted for him just because Hillary is the devil's spawn and I want illegal immigration stopped Ma…</t>
  </si>
  <si>
    <t>@gocrazy4cards @FOX2now Yeah, I understand that, I don’t get it either. I will always treat everyone with respect as long as they are treating me with respect. I just don’t want to offend you,for some reason so many ppl have a problem with Trump, to me he’s the best POTUS.</t>
  </si>
  <si>
    <t>@DLeoRed @R_Hajen @Urafaker @stassi @ariana2525 I don’t give 2 💩’s about your cussing, what i have a problem with is being called a bitch.</t>
  </si>
  <si>
    <t>@DLeoRed @R_Hajen @Urafaker @stassi @ariana2525 I was a little pissed when yo called me a bitch. Knee jerk reaction.</t>
  </si>
  <si>
    <t>@DLeoRed @R_Hajen @Urafaker @stassi @ariana2525 Sorry, didn’t mean that, but you called me a bitch,</t>
  </si>
  <si>
    <t>@SKOLBLUE1 @toddchrisley 😆😆</t>
  </si>
  <si>
    <t>@gocrazy4cards glad to follow you paul, but I am a huge Trump supporter .</t>
  </si>
  <si>
    <t>@gocrazy4cards @FOX2now Gotcha, and couldn’t agree more. Kim Gardner is incredibly corrupt and I believe racist.</t>
  </si>
  <si>
    <t>@SKOLBLUE1 @toddchrisley The re runs are on now.</t>
  </si>
  <si>
    <t>@SKOLBLUE1 @toddchrisley I love southern charm too, i just get tired of the kathryn bashing, and I can’t stand whitney and patricia</t>
  </si>
  <si>
    <t>@SKOLBLUE1 @toddchrisley I love todd chrisley</t>
  </si>
  <si>
    <t>@SKOLBLUE1 hey skolblue you found me, I’m shameful with my housewives shows. Sometimes i get a little carried away.</t>
  </si>
  <si>
    <t>@gocrazy4cards @FOX2now You think the woman Greitens had the affair with is trying to make a name for herself? I don’t disagree, I just don’t know.</t>
  </si>
  <si>
    <t>@gocrazy4cards @FOX2now Wait! What??</t>
  </si>
  <si>
    <t>But the whole show started becoming  unwatchable. Nothing but a bunch of pompous ass ⭕️’s who’ve barely worked a day in their life, making it their life’s mission to make kathryn’s life miserable. Hope it’s changed it’s direction.#southerncharm</t>
  </si>
  <si>
    <t>Ohhhhhh, southern charm coming back, it’s a little painful watching it from the beginning. Pompous whitney and his mother patricia ug, they were intolerable, they were forced to chill as it went on.#southerncharm</t>
  </si>
  <si>
    <t>@adrian_dimasi When logan was all over James, and when James was acting so weird with lala.</t>
  </si>
  <si>
    <t>@DLeoRed @R_Hajen @Urafaker @stassi @ariana2525 I already apologized and admitted I might have mis read stassi’s  concern. But either way there’s no reason for you to be calling me a bitch. If we can’t respect each other better than that, we’ll just block the other one. But please don’t call me names.</t>
  </si>
  <si>
    <t>@DLeoRed @R_Hajen @Urafaker @stassi @ariana2525 DLeoRed, I think you have taken my tweets out of context, I wasn’t calling you an asshole, that was to the little flippant girl that  was giving me attitude.</t>
  </si>
  <si>
    <t>@DLeoRed @R_Hajen @Urafaker @stassi @ariana2525 Excuse me, who in the hell are you calling a bitch? You call yourself a mom? Then act like one!!!!!!!</t>
  </si>
  <si>
    <t>@Speedy62269 Ditto</t>
  </si>
  <si>
    <t>@bobross1974 @Joe_Cool_1 @esqonfire @GovGreitensMO @SheenaGreitens @MOleg @stlcao @EricGreitens @StLouisCityCA @Arightside @KMOV @AGJoshHawley @KimGardnerSTL @HereLiesMoon @1057thePoint @RizzShow I agree.</t>
  </si>
  <si>
    <t>RT @bobross1974: @Joe_Cool_1 @esqonfire @GovGreitensMO @SheenaGreitens @MOleg @kendylei @stlcao @EricGreitens @StLouisCityCA @Arightside @K…</t>
  </si>
  <si>
    <t>@Joe_Cool_1 @bobross1974 @esqonfire @GovGreitensMO @SheenaGreitens @MOleg @stlcao @EricGreitens @StLouisCityCA @Arightside @KMOV @AGJoshHawley @KimGardnerSTL @HereLiesMoon @1057thePoint @RizzShow Wow, they are going to such great lengths to go after Greitens. Even Stevie Wonder can see what’s going on here. Why is this farce allowed to keep going on? 😡😡</t>
  </si>
  <si>
    <t>@DLeoRed @R_Hajen @Urafaker @stassi @ariana2525 I don’t know any of them. If stassi was saying out of concern, I apologize. Women looking after other women’s safety is more important. Domestic violence is never ok. I would hurt  some ass ⭕️ if he laid a hand on my daughter or any woman in front of me.</t>
  </si>
  <si>
    <t>@Speedy62269 Happy to</t>
  </si>
  <si>
    <t>@bobross1974 @esqonfire @GovGreitensMO @SheenaGreitens @MOleg @stlcao @EricGreitens @StLouisCityCA @Joe_Cool_1 @Arightside @KMOV @AGJoshHawley Good question, which no one can give. Lots of good questions, just not getting any good answers. Just more BS. Why is this case even still continuing?  No evidence as promised, the grand jury was lied to about the evidence. Really??  We are still living in America. WTH</t>
  </si>
  <si>
    <t>RT @bobross1974: Tell me! How does one prepare an indictment before beginning any investigation?  @esqonfire @GovGreitensMO @SheenaGreitens…</t>
  </si>
  <si>
    <t>RT @PeteS77252077: @ChristopherAve @EricGreitens @CStamper_ @seanhannity @LarrySchweikart @stltoday Sending me some link to you garbage web…</t>
  </si>
  <si>
    <t>RT @PeteS77252077: @ChristopherAve @EricGreitens @CStamper_ @seanhannity @LarrySchweikart @stltoday @EricGreitens they are operating and pu…</t>
  </si>
  <si>
    <t>RT @PeteS77252077: @ChristopherAve @EricGreitens @CStamper_ @seanhannity @LarrySchweikart @stltoday So here you are today running hit piece…</t>
  </si>
  <si>
    <t>@PeteS77252077 @ChristopherAve @EricGreitens @CStamper_ @seanhannity @LarrySchweikart @stltoday That’s exactly what they’re doing, kudos to you for calling them out on it.</t>
  </si>
  <si>
    <t>RT @PeteS77252077: @ChristopherAve @EricGreitens @CStamper_ @seanhannity @LarrySchweikart @stltoday No you don’t believe it, and I’ll tell…</t>
  </si>
  <si>
    <t>RT @PeteS77252077: @ChristopherAve @EricGreitens @CStamper_ @seanhannity @LarrySchweikart @stltoday Nobody in Missouri thinks you people te…</t>
  </si>
  <si>
    <t>RT @PeteS77252077: @ChristopherAve @EricGreitens @CStamper_ @seanhannity @LarrySchweikart @stltoday I’ve been watching all of u clowns clos…</t>
  </si>
  <si>
    <t>RT @PeteS77252077: I’ve got more common sense questions @ChristopherAve ... if they are stupid questions, explain how, explain why, and pok…</t>
  </si>
  <si>
    <t>RT @PeteS77252077: It certainly helps ... FAN THE FLAMES
Shouldn’t you be asking Newman about this @ChristopherAve ?
At least ask?
#mole…</t>
  </si>
  <si>
    <t>@PeteS77252077 @ChristopherAve @CStamper_ @EricGreitens @SpeakerTimJones @ninekiller @seanhannity @RationalMale She might not be, but it seems like me and all the ppl in Missouri that voted for Greitens are very happy with him,  just mot happy about the unfair treatment he’s receiving.</t>
  </si>
  <si>
    <t>@PeteS77252077 @ChristopherAve @CStamper_ @EricGreitens @SpeakerTimJones @ninekiller @seanhannity @RationalMale She’s trying to look like sally Jessie rapheal.</t>
  </si>
  <si>
    <t>RT @PeteS77252077: How far would activist go to fan the flames? To get the fires burning?
How far would they go to create “little bonfires…</t>
  </si>
  <si>
    <t>RT @PeteS77252077: Want to point out there is some seriously major mass hallucinations going on regarding Trump &amp;amp; people thinking they are…</t>
  </si>
  <si>
    <t>@FOX2now Do we know anything about the judge in this case? Seems so strange, he didn’t dismiss this witch hunt of kim Gardner’s already, she’s pulled this stunt before.</t>
  </si>
  <si>
    <t>@FOX2now Why are they not being called out on this? And why is this allowed to keep going on. It seems Governor Greitens is having his rights STOMPED on.</t>
  </si>
  <si>
    <t>@muegge_g @FOX2now Exactly, this has personal vendettas written all over it.</t>
  </si>
  <si>
    <t>RT @muegge_g: @FOX2now This seems to be a race related trial rather than a criminal trial, the prosecuting team is Black, the Governor Whit…</t>
  </si>
  <si>
    <t>RT @MSTLGA: @Speedy62269 @josefrealty @FOX2now Here’s are partial list , not inclusive of casenet &amp;amp; Jeffcity https://t.co/Ql7CK19cCS</t>
  </si>
  <si>
    <t>@Speedy62269 @FOX2now He’s getting away with it because no one is holding him accountable.</t>
  </si>
  <si>
    <t>@MSTLGA @FOX2now Outrageous!! Just goes to show, the cities administration definitely needs to be cleaned up. Corruption is running rampantly.</t>
  </si>
  <si>
    <t>@RacenCheese Men do not have that right.</t>
  </si>
  <si>
    <t>@lindsey_brooks @lala_kent I agree,</t>
  </si>
  <si>
    <t>@real_tea_time Spot on!</t>
  </si>
  <si>
    <t>RT @real_tea_time: Scheana talking about Rob is giving me some serious LuAnn and Tom vibes! #vanderpumprules #RHONY</t>
  </si>
  <si>
    <t>@realityaddictx 😆😆 poor scheana,  will she ever wake up and smell the coffee ☕️?</t>
  </si>
  <si>
    <t>@GabiTrovati @Bravotv @Andy That’s always an ugly look when a man confronts a woman so aggressively.</t>
  </si>
  <si>
    <t>@WatchingTrashTV Well said, I just about peed myself laughing 😆, and did you see the look on lala’s face. Too funny.</t>
  </si>
  <si>
    <t>@BlainKate I agree. Take care.</t>
  </si>
  <si>
    <t>@ScatterBrain21 She’s just very protective of her brother, she said kids use to pick on him when he was little. I</t>
  </si>
  <si>
    <t>@PearnoTweeeeets That’s usually the way it goes.</t>
  </si>
  <si>
    <t>@BlainKate If it were my daughter, I would certainly want her to aire on the sode of caution. I hope jeremy has gotten therapy and deals with that anger.</t>
  </si>
  <si>
    <t>@BlainKate Not making excuses for him, it was few years ago. And I’m not by any means telling girls to not be careful  with anyone, especially if you don’t know them very well. Ok, maybe it was out of concern and I certainly don’t blame them for looking out for other women.</t>
  </si>
  <si>
    <t>@bravo_fiend Beevis and butthead</t>
  </si>
  <si>
    <t>@PearnoTweeeeets 😂😂 hang in there with your diet. I can attest to it catching up with you.</t>
  </si>
  <si>
    <t>@TalkofAngels 😊 love it!!</t>
  </si>
  <si>
    <t>RT @TalkofAngels: I'm eating 2 pies for dinner in Pi Day while drinking champagne and catching up on #vanderpumprules and #summerhouse. I'm…</t>
  </si>
  <si>
    <t>@Neenerzz Most ppl do, because their so busy and tired from working for a living, starting families.</t>
  </si>
  <si>
    <t>RT @Neenerzz: These people are in their mid 30’s and they booze it up every night. I thought you get over that at like...25 #exhausting #va…</t>
  </si>
  <si>
    <t>@PearnoTweeeeets But how long can they be these carefree drunks? Aren’t they like mid thirties to fourty? After thirty at the very latest, my partying days were over, too busy and tired from having to work for a living and taking care of my family.</t>
  </si>
  <si>
    <t>@PearnoTweeeeets It’s got to catch up with them</t>
  </si>
  <si>
    <t>RT @PearnoTweeeeets: I eat a burger n fries and feel fat AF while these people booze almost every night and always eat out at restaurants a…</t>
  </si>
  <si>
    <t>@bridget37117446 @Damnitjaney I’m so confused, a lot of accusations swirling around.</t>
  </si>
  <si>
    <t>@Damnitjaney Who had the accusation and record to back it up?</t>
  </si>
  <si>
    <t>@itsShonny @thequianafulton Totally agree, itsshonny, I just can’t forget about someone’s horrible behavior so quickly.</t>
  </si>
  <si>
    <t>@BlainKate Has anybody actually seen this for sure?  How does anyone know he has a record for physical violence?</t>
  </si>
  <si>
    <t>@thequianafulton It just kind of seemed to me that katie and stassi were doing it more to be mean girls that pick on ppl all the time.</t>
  </si>
  <si>
    <t>RT @Str8DonLemon: @PeteS77252077 Bro.10 bucks says he won't answer</t>
  </si>
  <si>
    <t>RT @PeteS77252077: ✔️ Why did Phillip Sneed go 2 Kmov &amp;amp; not the police if he was just trying to “get ahead of the story”... so he does some…</t>
  </si>
  <si>
    <t>RT @PeteS77252077: ✔️If tape was offered, why did they turn it down?
🤔 Oppo research is a normal thing and could have helped opponents.…</t>
  </si>
  <si>
    <t>RT @PeteS77252077: MO Journalists claiming they care about truth is like Shaun King claiming he’s black: Not True
If U actually cared abou…</t>
  </si>
  <si>
    <t>@PubPolHist @mollyrosestl @ShaunKing @RealJusticePAC Mark, stop harassing me, you and your little friend are really starting to annoy me. Go outside and play now.</t>
  </si>
  <si>
    <t>@mollyrosestl @PubPolHist @ShaunKing @RealJusticePAC Molly, run along and play now sweetie, you’re starting to annoy me.</t>
  </si>
  <si>
    <t>I’m sorry but it seems like younger ppl, kids in their 20’s are so much ruder and disrespectful these days.</t>
  </si>
  <si>
    <t>@PubPolHist oh marky mark, https://t.co/ICLMBx0Zli</t>
  </si>
  <si>
    <t>@mollyrosestl 😂😂 ok little one, now off with you.</t>
  </si>
  <si>
    <t>Katie went on a crusade when someone called her fat, but she can sit there and make fun and say malicious vindictive things about someone else? Really??#VanderpumpRules</t>
  </si>
  <si>
    <t>@Neenerzz It’s malicious and hurtful from 2 mean girls.</t>
  </si>
  <si>
    <t>@Neenerzz Wow, it’s amazing how judgmental ppl are.</t>
  </si>
  <si>
    <t>@adrian_dimasi When she is there and watching his guy friend hang all over him, and him gushing over lala saying he loves her, she makes these horrible faces but still just keeps putting up with it.</t>
  </si>
  <si>
    <t>@phillykat73 @twschwa @TomSandoval1 @LisaVanderpump I was kind of thinking that too.</t>
  </si>
  <si>
    <t>@MDnyc_16 @anneboleynwins @BNCartwright Agree, she’s making her own bed at this point.</t>
  </si>
  <si>
    <t>RT @MDnyc_16: @anneboleynwins "In Kentucky we'd have 2 kids by now" Really? Whether you want them or not, plan for them or not or even if t…</t>
  </si>
  <si>
    <t>@sexymami8869 @anneboleynwins Yeah, she had to of.</t>
  </si>
  <si>
    <t>@michele25000 @anneboleynwins That she wants to get pregnant. https://t.co/vVDZksq3UC</t>
  </si>
  <si>
    <t>@anneboleynwins I think we all know brittany wouldn’t mind at all if she got knocked up.</t>
  </si>
  <si>
    <t>@anneboleynwins The pull out method?  75% of the time. https://t.co/7mBBBB6OcA</t>
  </si>
  <si>
    <t>RT @anneboleynwins: Brittany and Jax. Not using protection. Didn’t he JUST cheat on her? And don’t we learn in health class in high school…</t>
  </si>
  <si>
    <t>@R_Hajen @DLeoRed @Urafaker @stassi @ariana2525 Hajen You want to be ignorant to me, you’ll get it right back.</t>
  </si>
  <si>
    <t>@R_Hajen @DLeoRed @Urafaker @stassi @ariana2525 I’ve watched them be mean little bitches for the last several years asshole!!!</t>
  </si>
  <si>
    <t>RT @kathleenwu888: I can't hear Lala say my man anymore, it's worse then Scheana saying Rob #vanderpumprules #PumpRules</t>
  </si>
  <si>
    <t>@RacenCheese @Urafaker 🙄🙄</t>
  </si>
  <si>
    <t>RT @mlegittino: @Urafaker I think Billi and Jeremy should date. If Jeremy gets physical Billi could kick the shit out of him. Go Billi!</t>
  </si>
  <si>
    <t>@RealVickiNicole @Urafaker They do this mean girl stuff all the time.</t>
  </si>
  <si>
    <t>@LaurenASupastar @Urafaker Ya think? They’re bitches, that’s what they do.</t>
  </si>
  <si>
    <t>@DLeoRed @Urafaker @stassi @ariana2525 @kristendoute Really??  Your setting the bar to kristen doute?? https://t.co/dC4zZ8xmel</t>
  </si>
  <si>
    <t>@summerthemom @Urafaker P lease, give me a break. Stassi was just trying to be a bitch as usual.  If I found out she was going around talking hateful and ignorant about my brother, I wouldn’t let her get away with it.</t>
  </si>
  <si>
    <t>@DLeoRed @R_Hajen @Urafaker @stassi @ariana2525 Stassi and katie were just trying to be mean little hurtful bitches like they always do.</t>
  </si>
  <si>
    <t>@Urafaker @LDR21458882 He had a little too much to drink at a wedding reception and made a fool out of himself. Kind of like most of them do on a regular basis.</t>
  </si>
  <si>
    <t>@LDR21458882 @Urafaker Exactly!!</t>
  </si>
  <si>
    <t>@Urafaker Because it’s not 2 women saying it out of concern for anyone in confidentiality, it’s 2 girls spreading malicious hateful rumors to be mean.</t>
  </si>
  <si>
    <t>@chelstorrm @cloverandrocky Such BS!!!  😡😡😡</t>
  </si>
  <si>
    <t>RT @chelstorrm: I was fired today. From Roanoke City Social Services, serving as a damn good social worker. I was fired for having a concea…</t>
  </si>
  <si>
    <t>RT @brandongroeny: Donald Trump looks more energetic than ever.
Imagine being attacked from all sides every single day and being able to b…</t>
  </si>
  <si>
    <t>RT @JCunninghamMO: What the heck from someone who knows the score on Kim Gardner's office...https://t.co/LWUbrWeynj</t>
  </si>
  <si>
    <t>@Frankli20Rodney @CStamper_ Is that not the truth???</t>
  </si>
  <si>
    <t>RT @Frankli20Rodney: @CStamper_ What did you say.                        The out-of-state investigator Soros-backed Kim Gardner hired to le…</t>
  </si>
  <si>
    <t>@Pegstur1005 Thank you Mr. Warren for having the courage to tell the truth.</t>
  </si>
  <si>
    <t>RT @Pegstur1005: “I Worked With STL Circuit Attorney Kim Gardner. Her Indictment of Eric Greitens Is Troubling.” by Dwight Warren https://t…</t>
  </si>
  <si>
    <t>RT @sigi_hill: IDK how many Missourians read these legitimate 5 Qs by LE expert Lt. Col. Dave Grossman abt obvious malpractice against Gov.…</t>
  </si>
  <si>
    <t>RT @HelenTuttle: Witch Hunt: Kim Gardner, a Democrat prosecutor in St. Louis MO, is using her office and taxpayer dollars to persecute a si…</t>
  </si>
  <si>
    <t>RT @jerryhobbsMERC: “I Worked With STL Circuit Attorney Kim Gardner. Her Indictment of Eric Greitens Is Troubling.” by Dwight Warren https:…</t>
  </si>
  <si>
    <t>RT @bobross1974: @stlcao @StLouisCityCA 
Corrupt Prosecutors
Bad prosecutors!
What'cha want? What'cha want?
What'cha gonna do
When the Of…</t>
  </si>
  <si>
    <t>@Joe_Cool_1 @LivingBlueinRed @KurtEricksonPD @EricGreitens @KimGardnerSTL Seems to me maybe a few prejudices too.</t>
  </si>
  <si>
    <t>RT @s_kupp: Liberal Dimmicrat St. Louis prosecutor #KimGardner takes $200,000 from
#GeorgeSoros , then does her master’s bidding
This charg…</t>
  </si>
  <si>
    <t>@PCrapidy @stltoday A little biased maybe?</t>
  </si>
  <si>
    <t>RT @StephanieCampb4: #KimGardner is out to get #ericgreitens &amp;amp; make a name for herself especially after she got the never ending said $ fro…</t>
  </si>
  <si>
    <t>@Joe_Cool_1 @KMOV @LydaKrewson @EricGreitens @KimGardnerSTL Not the first time she lied about having evidence that turns out she didn’t. She should resign, before someone finally decides to start investigating her and her office and find out just how dirty and corrupt she really is.</t>
  </si>
  <si>
    <t>RT @1crosbycat: Democrat prosecutor #KimGardner indicts MO governor for being republican https://t.co/8NDaiaCYfN</t>
  </si>
  <si>
    <t>RT @DirtbandfanMike: What a feather in the cap of Kim Gardner.  200 plus murders in STL but by god she’s gonna get Grietens.  #yougogirl #k…</t>
  </si>
  <si>
    <t>RT @DaynaGould: @realDonaldTrump @GovGreitensMO @RoyBlunt @RepAnnWagner @CloriaBrown @jallman971  https://t.co/DgMBWfFx5V</t>
  </si>
  <si>
    <t>RT @DaynaGould: @realDonaldTrump @GovGreitensMO @RoyBlunt @RepAnnWagner @CloriaBrown @jallman971  https://t.co/CExpTxKRuN</t>
  </si>
  <si>
    <t>RT @DaynaGould: @realDonaldTrump @GovGreitensMO @RoyBlunt @RepAnnWagner @CloriaBrown @jallman971 Well Well Looks Like #KimGardner Has Her O…</t>
  </si>
  <si>
    <t>RT @joelcurrier: Former Asst Circuit Atty Dwight Warren, let go last year, opines on Kim Gardner’s prosecution of @EricGreitens: https://t.…</t>
  </si>
  <si>
    <t>RT @KMOXKilleen: St. Louis Circuit Attorney Kim Gardner has no comment on the arms race in the Greitens case--a Harvard lawyer here, a Scot…</t>
  </si>
  <si>
    <t>@thisweekinmopol @ellington_b @gretchenbangert @EricGreitens @stlcao @KCPLConnect 🙄🙄</t>
  </si>
  <si>
    <t>RT @KnightGeorgeJr: @stltoday Circuit Attorney Kim Gardner doesn’t have a victim, apparently no photo, and is trying to save face by bringi…</t>
  </si>
  <si>
    <t>RT @PeteS77252077: (64) If you are reading along after all of this, I ask, when are you, as conservatives, going to have “an awakening?” So…</t>
  </si>
  <si>
    <t>RT @PeteS77252077: (62) Many think we are evil and legit just elected Hitler. 
They are hallucinating thanks to The Fake News Media
But i…</t>
  </si>
  <si>
    <t>RT @PeteS77252077: (61) Conservatives are being censored online. We are being banned on college campuses. 
Even in Cali in many parts, it’…</t>
  </si>
  <si>
    <t>RT @PeteS77252077: (59) Or is @EricGreitens guilty as charged? 
If you are reading this, Eric, &amp;amp; you are guilty, resign. No sense fighting…</t>
  </si>
  <si>
    <t>RT @PeteS77252077: (58) #Greitens Terms
The Activist = Newman
The Leaker = PS
The Comey Strategy = KMOV Leak
The Media = #FakeNews
The Hat…</t>
  </si>
  <si>
    <t>RT @PeteS77252077: (55) We know what Dems motives are behind such attack, and it SHOULD be asked: what do they know?
Especially since one…</t>
  </si>
  <si>
    <t>RT @PeteS77252077: (54) And KS? Credible? She kept seeing @EricGreitens after alleged incident
Is she being used by his political enemies?…</t>
  </si>
  <si>
    <t>RT @PeteS77252077: (52) Questions like what Kim Gardner’s motives here are — given the suspicious nature in which she indicted @EricGreiten…</t>
  </si>
  <si>
    <t>@MichaelJGras @ShaunKing @RealJusticePAC She is the very definition of horrific. Horribly corrupt to be exact. The real criminals in stl. City are safe. She only goes after her political opponents and LE , who just happen to be white men on top of it. She’s ran that office into the sewer.</t>
  </si>
  <si>
    <t>RT @MADPMO: @ShaunKing @RealJusticePAC Great. We have a lot of work to do in Missouri, especially in St. Louis.</t>
  </si>
  <si>
    <t>@mollyrosestl @ShaunKing @RealJusticePAC County isn’t perfect but it’s still 200 % better than that 💩 hole city.</t>
  </si>
  <si>
    <t>RT @ShaunKing: The @RealJusticePAC is coming to Oakland to work alongside grassroots leaders and organizations to help elect a progressive,…</t>
  </si>
  <si>
    <t>RT @ShaunKing: The @RealJusticePAC is coming to ST. LOUIS to help elect a progressive, reform-minded DA there. 
Few cities have been plagu…</t>
  </si>
  <si>
    <t>@drell283 Please, someone make Kim Gardner and her henchmen in the st.louis prosecutors office accountable for all their shady corrupt actions .</t>
  </si>
  <si>
    <t>@SKOLBLUE1 @TuckerCarlson Right, and her failing office since she took over 6 months ago.</t>
  </si>
  <si>
    <t>@ClaytonTimes @thisweekinmopol @brucefranksjr @EricGreitens @stlcao @KCPLConnect What a joke? Nice rap sheet of the other city alderman that was just arrested though.</t>
  </si>
  <si>
    <t>@MarkReardonKMOX What has this country become?</t>
  </si>
  <si>
    <t>RT @BPGenius: @stephenfhayes I’m actually floored.  I cannot believe that someone who was so close to being #POTUS would talk like THAT abo…</t>
  </si>
  <si>
    <t>RT @AUchick2011: @stephenfhayes Revoke her passport and block her return to USA... Please!</t>
  </si>
  <si>
    <t>@stephenfhayes @MarkReardonKMOX I think Hillary is losing her mind, maybe alzheimers or something, her brain is stuck on this time in her life,   She gets up every day and re lives it over and over.</t>
  </si>
  <si>
    <t>RT @stephenfhayes: She was an incomparably awful candidate. And a pretty shitty person, too. https://t.co/GcQ84L7DlW</t>
  </si>
  <si>
    <t>@sigi_hill Couldn’t be soon enough for the city of st.louis, she’s crippled the city, criminals know they’re safe in the city of st.louis. How can you not call that corruption at its best.</t>
  </si>
  <si>
    <t>RT @sigi_hill: DemocRAT and BLM supporter STL City Atty Kim Gardner digging up her own grave in her malpractice against Gov. Greitens? Let'…</t>
  </si>
  <si>
    <t>@CStamper_ @SpeakerTimJones @jallman971 Every time I see this face, all I can think about is how incredibly corrupt she is and how in the hell does she keep getting away with it?</t>
  </si>
  <si>
    <t>RT @PeteS77252077: Why is @GOPMissouri continuing to allow this witch hunt on @EricGreitens ? 
@CStamper_ @JohnLamping @SpeakerTimJones @T…</t>
  </si>
  <si>
    <t>@MarkDWalter Who’s bank rolling the extra lawyers and outside investigators firm for the prosecutors office? 🤭 that’s right the tax payers of st.louis. The same prosecutors office that refuses to go after violent criminals that critically wounded a toddler in a drive by. 😡😡😡😡</t>
  </si>
  <si>
    <t>RT @PeteS77252077: @TheLeadCNN @brianstelter @jaketapper Anybody who lives in LA county knows illegals vote. They don't, you say? Then why…</t>
  </si>
  <si>
    <t>RT @EricGreitens: We promised to bring American jobs back to Southeast Missouri. We fought for them, and we won! Those jobs are coming back…</t>
  </si>
  <si>
    <t>RT @PeteS77252077: @stltoday @EricGreitens @CStamper_ @TomJEstes @JohnLamping @seanhannity @SpeakerTimJones @ninekiller @jallman971 @DJChur…</t>
  </si>
  <si>
    <t>RT @PeteS77252077: @stltoday @EricGreitens @CStamper_ @TomJEstes @JohnLamping @seanhannity @SpeakerTimJones Shouldn’t le media have at leas…</t>
  </si>
  <si>
    <t>RT @PeteS77252077: @stltoday @EricGreitens @CStamper_ @TomJEstes @JohnLamping @seanhannity @SpeakerTimJones He goes on rant about how he ha…</t>
  </si>
  <si>
    <t>RT @PeteS77252077: @stltoday Relevant or useless?
I found this 3 weeks ago with a simple google search. Maybe it doesn’t matter but given…</t>
  </si>
  <si>
    <t>RT @PeteS77252077: @stltoday Now let’s see lib media question credibility of accuser
U all do know about video of him online on YouTube —…</t>
  </si>
  <si>
    <t>RT @stltoday: Man investigating Greitens' affair was himself investigated by the FBI for bigamy https://t.co/DF0xAONEWp https://t.co/bwG7UQ…</t>
  </si>
  <si>
    <t>RT @DiscernedSpirit: @CStamper_ Never in the history in the 8 years of office in the Obama presidency has there been so much #colluding wit…</t>
  </si>
  <si>
    <t>RT @PeteS77252077: @CStamper_ Remember, they’ve been lied to by the media and many of them are suffering serious hallucinations. 
They rea…</t>
  </si>
  <si>
    <t>RT @PeteS77252077: @CStamper_ “I have a whole lot more love than you because I’m willing to go out and get corrupt for it”
Serious concern…</t>
  </si>
  <si>
    <t>RT @Sticknstones4: @joebboeck @CStamper_ Soros paid minions in action
https://t.co/WhhFx0G56r</t>
  </si>
  <si>
    <t>RT @joebboeck: @CStamper_ Why did u think Soros was spending millions in the DA races????</t>
  </si>
  <si>
    <t>@gingerzsnapped @CStamper_ Blown out of proportion by a very liberal prosecutors office, who refuses to go after the real criminals destroying the streets in st.louis.</t>
  </si>
  <si>
    <t>@Sticknstones4 @STLCrimeBeat There’s so many things st.louis could benefit from for 120.000 dollars than the prosecutors office going on their own little witch hunt.</t>
  </si>
  <si>
    <t>RT @PeteS77252077: @STLCrimeBeat What’s waste of tax payer money on an obvious taxpayer funded #witchunt 
End this nonsense 
@EricGreiten…</t>
  </si>
  <si>
    <t>Dems are angry over Hillary Clinton's latest comments | TheHill
https://t.co/vvKk1fygih
Shared from my Google feed</t>
  </si>
  <si>
    <t>@teri_chamberlin @doritkemsley1 That’s probably how she sets up visitation days every other week.</t>
  </si>
  <si>
    <t>RT @LisaWheatie: @doritkemsley1  https://t.co/EQ95bMxzs6</t>
  </si>
  <si>
    <t>@Lilllyloo @usweekly @doritkemsley1 It’s going to go south when dorito loses his big spender buddy LVP.</t>
  </si>
  <si>
    <t>RT @JustSayinmho1: @doritkemsley1  https://t.co/zvuWtqgU6l</t>
  </si>
  <si>
    <t>@doritkemsley1 Probably a lie, but what’s your point?  Millions of ppl go to work everyday.</t>
  </si>
  <si>
    <t>@sharoncollette @doritkemsley1 He’s probably just trying to keep pimp daddy pk happy.</t>
  </si>
  <si>
    <t>RT @JoettaWarnick: @doritkemsley1 Your wrong its the other way around eprge..watch the show!! Shes a s*** starter and steps back to watch i…</t>
  </si>
  <si>
    <t>RT @Barbara29465617: @qslatenight81 @doritkemsley1 Everything about Dorit is phoney! From her accent to her so calls fortune! Wake up PK U…</t>
  </si>
  <si>
    <t>RT @qslatenight81: @doritkemsley1 Wrong Teddi is a fan favorite 
And your friend @doritkemsley1 is the problem and your crazy if you don't…</t>
  </si>
  <si>
    <t>@Melanie20111 @TheRealCamilleG @doritkemsley1 Yeah, a little disturbing.</t>
  </si>
  <si>
    <t>RT @Pinky81949548: @TheRealCamilleG I wldnt put to much stock in Dorit and her RENT A LIFE. She has to continually change her look to keep…</t>
  </si>
  <si>
    <t>@vanesstvlvr @Italkfunny2U @TheRealCamilleG Camille was ganged up on by kyle and the trout mouth posse.</t>
  </si>
  <si>
    <t>@kathy_attardo @LindaMacmurdo @AmyPetitt1 @doritkemsley1 @TeddiMellencamp As long as they keep her out of it. But they will never get back what they put into it. Pk is trying to buy her a career.</t>
  </si>
  <si>
    <t>@kathy_attardo @LindaMacmurdo @AmyPetitt1 @doritkemsley1 @TeddiMellencamp Oh yeah,  her accent is yet another one of dorit’s lies that she refuses to fess up to. That’s what’s so maddening about her.</t>
  </si>
  <si>
    <t>@murraydavide @BravoWWHL @doritkemsley1 @MrJerryOC @Andy Or in Dorito’s big bad sugar daddy, pk the 🐷?</t>
  </si>
  <si>
    <t>RT @hmh616: @BravoWWHL @doritkemsley1 @MrJerryOC @Andy Poor Jerry trying so hard to be nice when he knows Dorits just the worst was so awkw…</t>
  </si>
  <si>
    <t>RT @captintoni: @BravoWWHL @doritkemsley1 @MrJerryOC @Andy Does @doritkemsley1 have a degree in psychology? If not she needs to stop diagno…</t>
  </si>
  <si>
    <t>@Bravotv @doritkemsley1 If it is, it’s because they were able to clip dorito’s ideas.</t>
  </si>
  <si>
    <t>@LindaMacmurdo @kathy_attardo @AmyPetitt1 @doritkemsley1 @TeddiMellencamp Really??  Gotta watch that again. She’s such a phony.</t>
  </si>
  <si>
    <t>@erikajayne Apologize!!</t>
  </si>
  <si>
    <t>RT @LindaLucia33: @erikajayne Doorway to Dignity is a nonprofit that sees the NEED to house our HOMELESS with Dignity and set them up for s…</t>
  </si>
  <si>
    <t>@erikajayne Just goes to show that you really are a mean cold hearted bitch. No one wants to see that.</t>
  </si>
  <si>
    <t>@SheilaFFord1 @erikajayne Then kept another woman from consoling her saying leave THAT alone!!</t>
  </si>
  <si>
    <t>@erikajayne This is just un natural to watch an almost 50 year old running around in skimpy clothes acting like granny Madonna, it’s just getting weird.</t>
  </si>
  <si>
    <t>@BNEventsGrove @erikajayne @Bravotv Erika, no one wants anything to do with you, until we see real remorse for the way you’ve treated Teddy all season and a real apology.</t>
  </si>
  <si>
    <t>@NavyGirl1823 @BNEventsGrove @erikajayne @Bravotv Ask for your money back. She’s a bully. And a mean one.</t>
  </si>
  <si>
    <t>RT @Mingmingcherry: @erikajayne Youre a mean girl. Maybe instead of paying people to be your friends that tell you yes all the time you go…</t>
  </si>
  <si>
    <t>RT @ImaJustSaying: @erikajayne People forget @erikajayne was raised by wolves and not in Cali or like @TeddiMellencamp.  Her behavior is mo…</t>
  </si>
  <si>
    <t>RT @TORIL210: @erikajayne No pure comedy is NO ONE WOULD KNOW  WHO YOU R if @YolandaHadid hadn’t brought you on !! #BULLY #truecolor 🙄🙄</t>
  </si>
  <si>
    <t>RT @Becktul: @erikajayne Does it make you feel good to be a bitch to Teddi for no reason? My love for you went from 100 to 0 real quick. Dr…</t>
  </si>
  <si>
    <t>RT @bravotvobsessed: Making fun of someone calling them a cry baby is so juvenile, grow up Erika! #RHOBH</t>
  </si>
  <si>
    <t>RT @SweepReality: Let me get this straight - Erika can say whatever she wants and however she wants but no one else can say anything back -…</t>
  </si>
  <si>
    <t>RT @KarenHugersHair: "Beverly Beach!...it's fictional." Just like the rest of Dorit &amp;amp; PK's bankrupt lifestyle. #RHOBH</t>
  </si>
  <si>
    <t>RT @mrscjohns: Dear @doritkemsley1 if you don’t want to be called out on talking crap about everyone, then DONT DO IT. It’s simple. Bravo t…</t>
  </si>
  <si>
    <t>@LivinwithNF That’s dorito, to a tee.</t>
  </si>
  <si>
    <t>RT @LivinwithNF: What is Dorit doing...running around trying to get people on her side?  She talks badly about them behind their backs and…</t>
  </si>
  <si>
    <t>@BravoWWHL It was so obvious jerry o’ connel is not a fan of Dorito’s. I could tell he was trying to be polite.</t>
  </si>
  <si>
    <t>RT @eesirenee: Dorit, you don’t have a heart. You left it wherever you left your children, and the other responsibilities you shirk. #RHOBH</t>
  </si>
  <si>
    <t>RT @LisaLovesRedSox: #RHOBH @doritkemsley1  if you and your husband Benny Hill thinks laughing about @lisarinna once again behind her back…</t>
  </si>
  <si>
    <t>RT @kathy_attardo: @Travvie_Dearest @kendylei @TeddiMellencamp I agree w you 100% on this! @doritkemsley1 talked about LVP at the table whe…</t>
  </si>
  <si>
    <t>RT @kathy_attardo: @LindaMacmurdo @kendylei @AmyPetitt1 Are you talking about why @doritkemsley1 is always mad at @TeddiMellencamp ? Becaus…</t>
  </si>
  <si>
    <t>@lashaunac92 Dorito has done so much more that and keeps getting away with and still doing the same thing over and over.</t>
  </si>
  <si>
    <t>@lashaunac92 We have different views,</t>
  </si>
  <si>
    <t>RT @WendyWilliams: Erika Jayne unleashed her dark side on #RHOBH last night https://t.co/I410ykKt9g https://t.co/QKCJ1AxJN6</t>
  </si>
  <si>
    <t>@painfulsurvivor @sharoncollette @TeddiMellencamp @LisaVanderpump @TheRealCamilleG Not anymore, she’s a fraud.</t>
  </si>
  <si>
    <t>RT @TeddiMellencamp: My blog for tonight's #RHOBH. 
https://t.co/TQ0flKpYKH</t>
  </si>
  <si>
    <t>@lashaunac92 I freaking loved it, need a lot more karma like that for dorito.</t>
  </si>
  <si>
    <t>@mistymarie34 Hilarious, good one.</t>
  </si>
  <si>
    <t>RT @mistymarie34: Dorit and Ericka are nothing but mean girls and bullies. By the way I drink sweet tea out my wine glass #noshame #rhobh</t>
  </si>
  <si>
    <t>@MikInTheMission @erikajayne @Andy It seems dorito has close to the same situation.  Makes sense, they’re both gold diggers.</t>
  </si>
  <si>
    <t>@SchreezLife @doritkemsley1 Yeah, I caught that too, dorito is truly unbelievable.</t>
  </si>
  <si>
    <t>RT @SchreezLife: “You’re not allowed to be upset”? WTF @doritkemsley1! The world doesn’t revolve around you. This happened because you don’…</t>
  </si>
  <si>
    <t>RT @Missrealitytv1: @DanielleBelle8 @RealityAshhole Let’s be honest, her reaction had nothing to do with the amnesia comment. She’s been lo…</t>
  </si>
  <si>
    <t>RT @kate_mccrea: How was @TeddiMellencamp restarting issues when Dorits the one talking about everyone behind their backs?  #RHOBH</t>
  </si>
  <si>
    <t>RT @Pinky81949548: Erika put your desperate pet project (Dorit)  back on her leash bc the bish is peeing all over everybody.  or rub her no…</t>
  </si>
  <si>
    <t>RT @SarahSaysS0: This is SO hilarious watching Dorit talk in circles. All of her complaints about Teddi, are all of the things Dorit has be…</t>
  </si>
  <si>
    <t>@KingBetchIsBack @LoveSamaria 😂😂</t>
  </si>
  <si>
    <t>RT @RemedialEng4Tre: #RHOBH Does an auto-tuned reality "star" REALLY need 7-10 people to dress her 4 a book cover that she didn't write abo…</t>
  </si>
  <si>
    <t>RT @Bran_Lynn: Who remembers that  ugly cry Erika had last year when Eileen said something about her son and it wasn’t even negative??? Now…</t>
  </si>
  <si>
    <t>RT @LindaMacmurdo: @AmyPetitt1 Cause she’s jealous that there’s a prettier and younger blonde in the group who actually is real, and she is…</t>
  </si>
  <si>
    <t>@AmyPetitt1 I think erika knows Teddy is actually the real deal, what erika  tries to be.</t>
  </si>
  <si>
    <t>@BravojunkyCZ @AmyPetitt1 Possibility</t>
  </si>
  <si>
    <t>@Travvie_Dearest @TeddiMellencamp Good question, I’m sure a lot of ppl would like to know.</t>
  </si>
  <si>
    <t>RT @Travvie_Dearest: I really, REALLY do not like everyone turning on @TeddiMellencamp right now.  HOW does Dorit CONSTANTLY remain unscath…</t>
  </si>
  <si>
    <t>@RealiTMI @TeddiMellencamp An old wound? Those bitches hate each other.</t>
  </si>
  <si>
    <t>RT @shanjohn777: @TeddiMellencamp I still say run from all these people!!!!! https://t.co/75ODEC47mh</t>
  </si>
  <si>
    <t>Erika obviously had issues with Teddy in the first place, why would she have said “I’m tired of being nice to you” like it was such a hard thing .#rhobh</t>
  </si>
  <si>
    <t>RT @Pinky81949548: Rinna I wldnt be to flattered that Dorit is being so nice to you. It's basically like choosing which poison you want to…</t>
  </si>
  <si>
    <t>@DoxieMama70  https://t.co/n1ZCwn0Gey</t>
  </si>
  <si>
    <t>RT @DoxieMama70: Okay, I’m over Erika too. Get over yourself lady!  She and Doridiot deserve each other #RHOBH</t>
  </si>
  <si>
    <t>@MrsKhalifa_x @alexisbcrra Dorito’s fit and disdain were well publicized, that’s what most viewers would have thought of when the photo shoot came out.</t>
  </si>
  <si>
    <t>RT @anchorsawayx: okay i’m done feeling bad for dorit lol and erika is becoming a huge bitch .. i think dorit is rubbing off on her 😒😒 #rho…</t>
  </si>
  <si>
    <t>Oh for God’s sake dorito STFU !! And no you don’t have a ❤️, there’s only   💵 where your ❤️ is supposed to be.#rhobh</t>
  </si>
  <si>
    <t>RT @kate_mccrea: “BeverlyBeach” by Dorit is an imaginary place kind of like the rest of Dorits lifestyle.  #RHOBH</t>
  </si>
  <si>
    <t>RT @realBRAVOfans: Ok wait.. what? Erika was a cocktail waitress and Teddi is a Scion of ROCK ROYALTY!! ( and BTW never acts that way) Erik…</t>
  </si>
  <si>
    <t>RT @Lainey_99: There's a reason both Dorit and Erika Jayne are married to unattractive older men who are never home &amp;amp; Teddi is married to a…</t>
  </si>
  <si>
    <t>RT @KikiUgarte: So over Dorit this season! All she does is talk shit behind everyone’s back and somehow turns it around and blames someone…</t>
  </si>
  <si>
    <t>@SalvaCambranes @realityaddictx It’s hard to remember all the lies you’ve told, but the truth isn’t hard to remember.</t>
  </si>
  <si>
    <t>Dorito’s not upset about her and LVP’s friendship because she cares about her so much, it’s because LVP is the top dog in Beverly Hills.#rhobh</t>
  </si>
  <si>
    <t>RT @TeddiMellencamp: How am I feeling in this group of friends? Right now?! #RHOBH https://t.co/XfUw100vAS</t>
  </si>
  <si>
    <t>Why has dorito been given a pass all season to be such a horrible obnoxious bitch and no one is calling her on any of her💩?  Are they afraid of pk the 🐷 coming after them if his princess doesn’t get her way?#rhobh</t>
  </si>
  <si>
    <t>@neeser73 @laeRtInipeeK @Bravotv And I’m sure she didn’t have to pay a 💩 load of money to achieve it.</t>
  </si>
  <si>
    <t>@TrashyTVthatsMe @Bravotv It’s amazing what A LOT of money can buy.</t>
  </si>
  <si>
    <t>RT @pinkistehbest: I legit just can't stand Dorit anymore. I still have 30 minutes. Fuuuu #RHOBH</t>
  </si>
  <si>
    <t>Erica you’re a real asshole!!#rhobh</t>
  </si>
  <si>
    <t>@Carney84Karen Dorito deserves it more than anybody I can think of.</t>
  </si>
  <si>
    <t>RT @Carney84Karen: #RHOBH Renner hit the nail right on the head! A younger version has come along!</t>
  </si>
  <si>
    <t>Screwy you dorito!!#rhobh</t>
  </si>
  <si>
    <t>RT @1DestinationWed: @doritkemsley1 never knows when to ZIP it 
Love you @TeddiMellencamp 
#RHOBH @Bravotv</t>
  </si>
  <si>
    <t>RT @lou2jam: Erika needs to stay out of it #RHOBH</t>
  </si>
  <si>
    <t>Erica, I’ve always thought you were cool, but I will cut you off, for sleeping with the devil, (dorito).#rhobh</t>
  </si>
  <si>
    <t>RT @wendyrnichols: Me waiting on LVP to unleash #RHOBH https://t.co/pu5zmvdZ3Y</t>
  </si>
  <si>
    <t>RT @Norchell706: Dorit releases bombs, all the time. Girl. Grab her duck lips, fake accent ass a mirror, please.  #rhobh</t>
  </si>
  <si>
    <t>RT @prairiemermaidd: #TeamTeddi #RHOBH close your damn mouth Dorit</t>
  </si>
  <si>
    <t>RT @rhonda_lynch: #RHOBH @doritkemsley1 really needs a new stylist! https://t.co/N1ezHrV4As</t>
  </si>
  <si>
    <t>RT @genevive77: When Dorit is "serious" she TOTALLY loses her accent!!😂😂😂 #RHOBH</t>
  </si>
  <si>
    <t>RT @JAnctil: Ok seriously.. stfu about what glass shit in served in! #RHOBH</t>
  </si>
  <si>
    <t>Erica, I really hope your not getting in bed with the devil, i think your pretty cool, but if you’re messing with Teddy and siding with dorito who you know is a piece of 💩, I’m done with you.#rhobh</t>
  </si>
  <si>
    <t>RT @jaclynn_k: Dorit just can't handle that she's being replaced by the Teddi Bear. #RHOBH</t>
  </si>
  <si>
    <t>Really dorito? as if you didn’t already look like a piece of 💩 you actually found a way to stoop lower, you really are a disgusting piece of 💩.#rhobh</t>
  </si>
  <si>
    <t>RT @joni_cash7: #VanderpumpRules How many times has he promised not to cheat and he still does? From this point on Brittney, you are at fau…</t>
  </si>
  <si>
    <t>RT @Str8DonLemon: @kendylei @metalpatriot10 @LaurenTrager @EricGreitens @KMOV @POTUS @clairecmc Metal u hit the nail on the head... They ha…</t>
  </si>
  <si>
    <t>RT @nvks_: I dont really understand Quads real real issue is. I defo agree Dr G needs to speak to her with way more respect but what actual…</t>
  </si>
  <si>
    <t>I’m so sad and shocked Dr.Simone announced their divorce.#MarriedToMed</t>
  </si>
  <si>
    <t>Seriously mariah, get over yourself drama queen, it was funny.#MarriedToMed</t>
  </si>
  <si>
    <t>I’ve been trying to understand quad’s frustration in her marriage, but sometimes it seems like she’s just looking for a reason.#MarriedToMed</t>
  </si>
  <si>
    <t>RT @CreetheGreat: So contessa is cool with someone calling out “hoe shit” but not “nigga” behavior #MarriedToMed</t>
  </si>
  <si>
    <t>RT @HousewifeHannah: #married2med #MarriedToMed #MarriedToMedicine 
Did anyone else hear Cone-Tessa say "aw, that's funny" about @iluvmaria…</t>
  </si>
  <si>
    <t>RT @Olivia_Ebere: So this scene with Dr. Simone and Cecil talking about how they are working on their marriage really got me upset since we…</t>
  </si>
  <si>
    <t>@KellBek And we laugh because we’re not on the receiving end. I do like wit and humor.</t>
  </si>
  <si>
    <t>RT @Lowkey_TELLEM: I see no issue in what Eugene said. It was a FACT! And I saw no need for @Tweet_Toya apologizing after he did several ti…</t>
  </si>
  <si>
    <t>The more I’m hearing and seeing the new girl, 🤔 not so sure.#MarriedToMed</t>
  </si>
  <si>
    <t>@OverItAll7 Wow, she really lost a lot of weight.</t>
  </si>
  <si>
    <t>Really??  I tune into to watch you ladies and the first thing you do is dis white women and the FLOTUS??  #MarriedToMed</t>
  </si>
  <si>
    <t>RT @aaron_hedlund: @EricGreitens realizes what too few other policymakers do, which is that a job isn't just about a paycheck--though that'…</t>
  </si>
  <si>
    <t>@JaneDueker @EricGreitens I get it now, jane has an affiliation with KMOV. The news station that dug up some BS and ran with it. I was wondering what dog she had in this fight.</t>
  </si>
  <si>
    <t>RT @NSFMill: @JaneDueker @EricGreitens What ever happened to innocent until proven guilty? We somehow lost that along the way.  You were se…</t>
  </si>
  <si>
    <t>@T_N_B7 @JaneDueker @EricGreitens  https://t.co/Ouid36lSIs</t>
  </si>
  <si>
    <t>RT @Terry_BH: Dave Grossman of The Federalist has an article showing the indictment of Eric Greitens, the Gov of Missouri is similar to the…</t>
  </si>
  <si>
    <t>RT @KCMikeMahoney: Former US Attorney General John Ashcroft  called Mo. Gov Eric Greitens situation  a “personal problem”,  as opposed to a…</t>
  </si>
  <si>
    <t>RT @hrehder: #450 jobs coming back to the Bootheel! Thank you Magnitude 7 Metals, @realDonaldTrump @EricGreitens @RepJasonSmith and our #SE…</t>
  </si>
  <si>
    <t>RT @MissouriGOP: SO. MUCH. JOY!  Thrilled for the people of SEMO!  Missourians all over the state are seeing thousands of jobs added, and h…</t>
  </si>
  <si>
    <t>@TomthunkitsMind But yet, all these tax paid outside lawyers and agencies can’t produce the picture they said they have as evidence.</t>
  </si>
  <si>
    <t>RT @cdiersing: everytime anyone resigns from any role for any reason I'm just reminded that eric greitens is somehow still governor of miss…</t>
  </si>
  <si>
    <t>RT @sigi_hill: @kendylei Because she is a democRAT and STL is democRAT infested? democRATs are corrupt - their only way to cover their hist…</t>
  </si>
  <si>
    <t>@sigi_hill Absolutely</t>
  </si>
  <si>
    <t>@Sticknstones4 @stltoday She turns criminal cases away.</t>
  </si>
  <si>
    <t>RT @Sticknstones4: @stltoday How many homocides did she prosecute?  How many FBI prosecutors had to be sent here. Her office is a joke</t>
  </si>
  <si>
    <t>@AmyKhuhro @stltoday Really good question, actually a lot of good questions, just no answers and more tax dollars being spent.</t>
  </si>
  <si>
    <t>RT @AmyKhuhro: @stltoday Why?  We should the city of STL pay for another prosecutor who is not able to practice in the State of MO?</t>
  </si>
  <si>
    <t>@mattfredstl @blackwidow07 @stltoday @OldenburgSTL They need that protection from a corrupt administration that’s for sure.</t>
  </si>
  <si>
    <t>@UnclePat19 @stltoday Tax dollars at work!!</t>
  </si>
  <si>
    <t>@UnclePat19 @stltoday They have nothing and they’re desperately digging.</t>
  </si>
  <si>
    <t>@MRfourty2fourty @stltoday @KimGardnerSTL Is that not the truth? How insane is this woman? If she went after criminals this way, she might clean up the streets of st.louis, but we all know that’s not her focus.</t>
  </si>
  <si>
    <t>RT @MRfourty2fourty: @stltoday @KimGardnerSTL now hired a former FBI agent and Harvard professor for a class D felony. Says she's treating…</t>
  </si>
  <si>
    <t>@stltoday Too bad kim Gardner doesn’t go after criminals this way</t>
  </si>
  <si>
    <t>RT @FDRLST: 'Unlike anything I’ve ever seen in all my years of law enforcement.' https://t.co/7kgybIphxI</t>
  </si>
  <si>
    <t>@EricGreitens 🙏🏻🙏🏻🙏🏻</t>
  </si>
  <si>
    <t>RT @EricGreitens: The department has lost two officers this year. Clinton is grieving, and the entire state of Missouri stands with them. P…</t>
  </si>
  <si>
    <t>RT @EricGreitens: After a special session and a lot of work by people all over the state and country, I was proud to be back in the boothee…</t>
  </si>
  <si>
    <t>RT @johnrampton: "Teach your children early not to pass the blame or make excuses, but to take responsibility for their actions." --Eric Gr…</t>
  </si>
  <si>
    <t>RT @Str8DonLemon: @JaneDueker Where is the police report? 
How can you explain the way this prosecutor indicted ?
#moleg</t>
  </si>
  <si>
    <t>RT @Str8DonLemon: @MOpoliticalguy @JaneDueker @CStamper_ @JohnLamping @TomJEstes @MOHouseGOP @EricGreitens That isn't evidence. Nor does it…</t>
  </si>
  <si>
    <t>RT @Str8DonLemon: Yes or no @MOpoliticalguy &amp;amp; @JaneDueker 
⁉️Do they have police report?
⁉️Probable cause?
⁉️Evidence, not hearsay.
⁉️Isn'…</t>
  </si>
  <si>
    <t>@APCentralRegion Keep digging, the outside agencies are certainly getting paid enough to find something!</t>
  </si>
  <si>
    <t>@metalpatriot10 @LaurenTrager @EricGreitens @KMOV @POTUS @clairecmc Thank God we’re getting rid of the old bag.</t>
  </si>
  <si>
    <t>RT @metalpatriot10: @LaurenTrager @EricGreitens @KMOV This is just a mini version of the same thing happening to the @POTUS. The Democrats…</t>
  </si>
  <si>
    <t>RT @Str8DonLemon: @LaurenTrager @EricGreitens @KMOV So pictures of the home? Right?
Am I reading that right?
What does that even prove? Lo…</t>
  </si>
  <si>
    <t>@LaurenTrager @EricGreitens @KMOV Shocker!! You mean they don’t have the picture that is supposed to be the evidence ? Kim Gardner lied again ?🤭 shocking.</t>
  </si>
  <si>
    <t>RT @LaurenTrager: The prosecution in the case against Governor @EricGreitens has turned over 6 more photos to the defense. A source close t…</t>
  </si>
  <si>
    <t>RT @EricGreitens: Last year, the people of Southeast Missouri came together with one voice to say: we don't want welfare. We want to work.…</t>
  </si>
  <si>
    <t>@IAmRuthless102 @S_Cooper0404 @StubbonBull69 @netflix How did that go?</t>
  </si>
  <si>
    <t>RT @SusanDalt1: @S_Cooper0404 @RealEagleWings @netflix They get in bed with the cumdumpster I’ll drop em fast! https://t.co/HGwfeM8Jgx</t>
  </si>
  <si>
    <t>@tcolpean @S_Cooper0404 @netflix So true</t>
  </si>
  <si>
    <t>RT @tcolpean: @S_Cooper0404 @netflix Does Netflix REALLY want to challenge this? Perhaps they should look up the definition of BOYCOTT &amp;amp; ch…</t>
  </si>
  <si>
    <t>RT @Rosa6416: @S_Cooper0404 @netflix If Netflix does any any kind of business with Barry we the people have the power Not to watch it</t>
  </si>
  <si>
    <t>RT @70sMade: @S_Cooper0404 @Zippityd00dah @netflix I’ve boycotted so many things this year that adding Netflix will not be a problem lol</t>
  </si>
  <si>
    <t>RT @Wheetypie: @S_Cooper0404 @netflix I will drop #Netflix if this happens</t>
  </si>
  <si>
    <t>RT @WYVettelvr: @S_Cooper0404 @TrumpsDC @netflix I will definitely cancel my @netflix if they put that treasonaous b*****d and his wife on…</t>
  </si>
  <si>
    <t>@FJFMiami @staceyT85363374 @S_Cooper0404 @netflix Ditto</t>
  </si>
  <si>
    <t>RT @FJFMiami: @staceyT85363374 @S_Cooper0404 @netflix EXACTLY, I ALREADY CANCELLED THEM</t>
  </si>
  <si>
    <t>RT @staceyT85363374: @S_Cooper0404 @netflix Dont need more of #Obamafailures to pay for. Already wasted money on his failed policies! Plent…</t>
  </si>
  <si>
    <t>RT @sterlingwords1: @S_Cooper0404 @FM_3883 @netflix I use Netflix but will flush them down the obama if they promote him in any way. Foreve…</t>
  </si>
  <si>
    <t>@MerleSmithJr @S_Cooper0404 @JackLamb1957 @netflix 🤭 Michelle obama is really a man!!</t>
  </si>
  <si>
    <t>RT @MerleSmithJr: @S_Cooper0404 @JackLamb1957 @netflix My suggestion for episode 3
Have you seen my baseball?
4 bubba in a blouse.
5 gorill…</t>
  </si>
  <si>
    <t>RT @GriffSusan: @S_Cooper0404 @superyayadize @netflix I’ve loved @Netflix all these years, but will definitely cancel over the non-transpar…</t>
  </si>
  <si>
    <t>RT @ca_godwin: @S_Cooper0404 @netflix Canceled my subscription to Netflix!! Let’s see how this works out for Netflix!!😂😂😂❤️🇺🇸🇺🇸🇺🇸</t>
  </si>
  <si>
    <t>RT @swisschoc: @S_Cooper0404 @AzzatAlsaleem @netflix Netflix will lose millions of accounts..what is the matter with these people.? Who are…</t>
  </si>
  <si>
    <t>RT @S_Cooper0404: https://t.co/0KaL9AYHHt</t>
  </si>
  <si>
    <t>RT @S_Cooper0404: "Obama is Colluding With Netflix to Create a Propaganda Machine"
SEND NETFLIX A CLEAR MESSAGE!
RETWEET &amp;amp; COMMENT if you…</t>
  </si>
  <si>
    <t>RT @Lisa_Lisa_NJ: Best...President...Ever...
#KristianSaucier https://t.co/PbBkPHzVlJ</t>
  </si>
  <si>
    <t>RT @KrisParonto: Keep making Chuck whine and cry @DevinNunes for exposing him and the @DNC ‘s corruption. @SenSchumer , you tried to cheat…</t>
  </si>
  <si>
    <t>RT @RichB3000: Time to get rid of St Louis Kim Gardner https://t.co/SXCTCj0ALa</t>
  </si>
  <si>
    <t>@GarrettKRCG13 @Dogan4Rep @EricGreitens @KRCG13 Kim Gardner is a corrupt and crooked elected prosecutor. She doesn’t go after real criminals. The real criminals in st.louis are safe, wish I could say the same for the citizens. 🙁</t>
  </si>
  <si>
    <t>@Brianontheair @EricGreitens Pretty good description.</t>
  </si>
  <si>
    <t>RT @Brianontheair: Governor @EricGreitens has criticized Circuit Attorney Kim Gardner, who is a former Democratic lawmaker. He describes he…</t>
  </si>
  <si>
    <t>RT @MarineX: Kim Gardner represents everything that is wrong with this city &amp;amp; country!</t>
  </si>
  <si>
    <t>RT @Elaines2cents: The Missouri Republican Party noted that St. Louis circuit attorney Kim Gardner had received more than $200,000 from wea…</t>
  </si>
  <si>
    <t>RT @LauraJS01092808: @jallman971 Kim Gardner is exactly why county voters will never vote to merge with the city!  Until he's found guilty,…</t>
  </si>
  <si>
    <t>RT @donaldrecords: George Soros Paid Missouri Circuit Attorney Kim Gardner To commit a Fraud Indictment against Missouri Gov. Eric Greitens.</t>
  </si>
  <si>
    <t>RT @JohnAMDG: @jallman971 How much did Kim Gardner pay for private investigators?  Tax payer money, right? Who were they? Grand jury is ove…</t>
  </si>
  <si>
    <t>RT @collins11_m: @CStamper_ Looks to me like attorneys like Kim Gardner who take part in politically driven defamation need their law licen…</t>
  </si>
  <si>
    <t>RT @DeplorableSunny: https://t.co/t6DtVdaAv7 any fair reading of the facts of this indictment point 2 this being a political hit job/not an…</t>
  </si>
  <si>
    <t>RT @PreppersGuide: Gardner's use of private firm for investigation questioned - JEFFERSON CITY, Mo. (AP) — Attorneys for Missouri Gov. Eric…</t>
  </si>
  <si>
    <t>RT @LittlePubGig: Soros’ Washington-DC based super PAC gave St. Louis Circuit Attorney Kim Gardner almost $200,000 to make sure she carried…</t>
  </si>
  <si>
    <t>RT @Markknight45: @DRUDGE_REPORT Lib Dimm prosecutor. Kim Gardner is a train wreck</t>
  </si>
  <si>
    <t>RT @LanceDKewley: @kytv 🇺🇸MISSOURIANS🇺🇸
Prosecutor Kim Gardner (SOROS funded)($200,000)
PLAYS COMMUNIST politics trying to find a crime to…</t>
  </si>
  <si>
    <t>RT @DChicagoQ: 'Unlike anything I’ve ever seen in all my years of law enforcement' ...5 questions Attorney Kim Gardner needs to answer... W…</t>
  </si>
  <si>
    <t>RT @SKOLBLUE1: @TuckerCarlson please interview Kim Gardner STL prosecutor on her failed track record and her excessive budget spending and…</t>
  </si>
  <si>
    <t>@VirvusJ Kim Gardner is pretty undefensible, she’s abusing her power of authority, she’s not doing her job of going after violent criminals, only her political beliefs.</t>
  </si>
  <si>
    <t>@ClaytonTimes @thisweekinmopol @brucefranksjr @EricGreitens @stlcao @KCPLConnect What are you smokin bruce franks jr?</t>
  </si>
  <si>
    <t>@magathemaga1 @CStamper_ Gardner doesn’t make a move if it’s not for her political gain. She’s abusing her power of office.</t>
  </si>
  <si>
    <t>RT @magathemaga1: Don’t think it’s political
✔️No evidence?
Don’t think it’s political
✔️No probable cause?
Don’t think it’s political
✔️No…</t>
  </si>
  <si>
    <t>RT @magathemaga1: If Citizens can show this type of curiosity about a seemingly bogus witch hunt, why hasn’t anybody in the MO Media?
Why…</t>
  </si>
  <si>
    <t>@magathemaga1 @EricGreitens Very good question? Would love to get some answers.</t>
  </si>
  <si>
    <t>@PeteS77252077 @EricGreitens @johncombest She got caught in a lie, she has no answer.</t>
  </si>
  <si>
    <t>@PeteS77252077 @EricGreitens I think she is the spokesperson for kim Gardner’s office, because gardner is trying to keep a low profile, since the heat is on her already for being corrupt.</t>
  </si>
  <si>
    <t>RT @PeteS77252077: (2) Earlier, she made this tweet. Which is obviously false. 
They voted for an investigation, not an impeachment. 
I a…</t>
  </si>
  <si>
    <t>@PeteS77252077 @staceynewman Hmmm 🤔,  no reply huh ?  Speaks volumes to me. Caught in another lie.</t>
  </si>
  <si>
    <t>@whitejive @KMOXKilleen Kim Gardner has no interest in locking up real criminals, she uses that office for her political gain! And that’s it. Violent criminals get a pass in st.louis as long as she’s in that office.</t>
  </si>
  <si>
    <t>RT @whitejive: @KMOXKilleen Where was she on the Cherokee st shop owner with cancer? Dropped charges on the scum who did him in</t>
  </si>
  <si>
    <t>RT @thewhirlonline: @KMOXKilleen You know there is trouble in #RiverCity, when a bunch of Democrats w/NO prosecution experience roll out to…</t>
  </si>
  <si>
    <t>@McCartyPhotog1 @KMOXKilleen Because she lied about having any evidence, she doesn’t have the blackmail picture she claimed to have. Kim Gardner is as corrupt and crooked as it gets.</t>
  </si>
  <si>
    <t>RT @PatriotRain: All paid for by our tax dollars. Meanwhile CITY of St. Louis becoming a place no one wants to visit out of fear of Antifa…</t>
  </si>
  <si>
    <t>@KelleyHoskins This woman is on a mission, she’s working for her own interests, not the city of st.louis.</t>
  </si>
  <si>
    <t>RT @drell283: Like what is her win/loss percentage vs. her predecessor? How about the huge bump in salary for her new chief investigator? H…</t>
  </si>
  <si>
    <t>@jamescarr @sigi_hill I think Gardner has that thoroughly covered, she’s got multiple agencies scurrying to dig up something on him. 🤨</t>
  </si>
  <si>
    <t>RT @sigi_hill: Email 
Todd.richardson@house.mo.gov 
Elijah.haahr@house.mo.gov 
Rob.vescovo@house.mo.gov</t>
  </si>
  <si>
    <t>RT @sigi_hill: All Missourians, Contact your representative in Jefferson City to state your support for Governor Greitens &amp;amp; while you are a…</t>
  </si>
  <si>
    <t>@sigi_hill Why hasn’t this woman had to answer to anyone for the mockery she is making out of the prosecutors office. How can she keep getting away with her bogus witch hunts and not going after violent criminals? And where is the city getting these funds?St.louis is broke.</t>
  </si>
  <si>
    <t>RT @sigi_hill: Abuse of power!
Like CNN, the seditious democRATs &amp;amp; swamp republicans, the liberal media in MO is feasting off this attack b…</t>
  </si>
  <si>
    <t>RT @sigi_hill: ... “a St. Louis judge was forced to disqualify her office from pursuing a police shooting case, because she was prosecuting…</t>
  </si>
  <si>
    <t>RT @sigi_hill: Quote: “In ONE year in office, (Kim Gardner’s) office has been losing staff, wrecking cases, &amp;amp; even conflicted itself out of…</t>
  </si>
  <si>
    <t>RT @sigi_hill: Dear Missourians, We need to stand up for our hard working Gov. Greitens. Every day we see democRATs racketeering our countr…</t>
  </si>
  <si>
    <t>RT @sigi_hill: states Edward Dowd, Gov. Greitens' attorney.
Instead of following the rules to let the police do the investigation crooked K…</t>
  </si>
  <si>
    <t>RT @sigi_hill: Quote: “Kim Gardner “isn’t just a Circuit Attorney who happens to be a Democrat. She’s avowedly anti-police and anti-law enf…</t>
  </si>
  <si>
    <t>RT @sigi_hill: We know, DemocRATs rig &amp;amp; corrupt elections with the assistance of their henchmen #MediaMafia. If they can’t rig qualified el…</t>
  </si>
  <si>
    <t>RT @sigi_hill: Look who is the St. Louis Circuit Attorney trying to wreck our Governor Greitens:
#DemocRAT Circuit Attorney #KimGardner, sp…</t>
  </si>
  <si>
    <t>RT @LanceDKewley: 🇺🇸Missourians 🇺🇸
PHOTO AND TRANSMISSION OF PHOTO TO MISTRESSES OWN COMPUTER 
INVASION OF PRIVACY THE MICHIGAN INVESTIGATI…</t>
  </si>
  <si>
    <t>RT @LanceDKewley: @🇺🇸Missourians 🇺🇸
St. Louis circuit
 Att (SOROS FUNDED $200,000)Kim Gardner uses MICHIGAN investigation firm to INVESTIGA…</t>
  </si>
  <si>
    <t>RT @DeplorableSunny: Our State was run by democrats...that's what happened...our Republican Gov. @EricGreitens has done good things for MO…</t>
  </si>
  <si>
    <t>RT @JCunninghamMO: Shooting toddlers in a road rage (linked below) is not as important to pursue with the vigor Kim Gardner is all over a c…</t>
  </si>
  <si>
    <t>RT @MarineX: Greitens step down? Impeach Kim Gardner instead!!!</t>
  </si>
  <si>
    <t>RT @TomJEstes: It was good to see Kim Gardner questioned about why she doesn’t prosecute violent criminals but is going after @EricGreitens…</t>
  </si>
  <si>
    <t>@thewhirlonline @KMOV @EricGreitens Totally blows my mind. If she put forth an ounce of this determination to clean up the violent streets of St.louis, maybe ppl would feel safe enough to go there.</t>
  </si>
  <si>
    <t>RT @thewhirlonline: #Slanted @KMOV Did you just see the bias story against @EricGreitens with their so-called legal experts, questioning hi…</t>
  </si>
  <si>
    <t>@KMOXKilleen Show us the picture. What’s that?? She doesn’t even have it !!</t>
  </si>
  <si>
    <t>RT @sigi_hill: Crooked Kim Gardner needs to be exposed for the vindictive, deranged, racist democRAT that she is, any method of destruction…</t>
  </si>
  <si>
    <t>@LaurenWern She doesn’t even have the picture which she’s claiming this whole case is about. She lied, she never had a picture. Just like she lied about having new evidence in the stockley case.</t>
  </si>
  <si>
    <t>@LaurenWern I’m willing to bet it was pretty much an all liberal jury.</t>
  </si>
  <si>
    <t>RT @sigi_hill: St. Louis Circuit Attorney Kim Gardner https://t.co/JS9R7h5tvD</t>
  </si>
  <si>
    <t>RT @PatriotRain: Kim Gardner should be ashamed of herself for spending our money on this witch hunt against him. Any thing they can do to d…</t>
  </si>
  <si>
    <t>@PatriotRain Kim Gardner is making the city’s problems even worse,  she’s turning a blind eye to violent criminals and totally focused on bringing down her political rivals. I certainly don’t go into the city that I don’t feel safe in.</t>
  </si>
  <si>
    <t>RT @kmoxnews: The prosecutor is beefing up her legal team to try to win a conviction against Missouri Gov. Eric Greitens -- but already, so…</t>
  </si>
  <si>
    <t>RT @RichB3000: Need the whole truth.  STL City district attorney Kim Gardner practices reverse discrimination and is 200% anti police.  Any…</t>
  </si>
  <si>
    <t>@thewhirlonline @EricGreitens Good question, one I’ve been waiting to hear the answer for. Doesn’t make sense. 🤨</t>
  </si>
  <si>
    <t>RT @thewhirlonline: Come again?  Okay, the City's prosecutor Kim Gardner charged @EricGreitens w/a felony, but doesn't have the "photo" tha…</t>
  </si>
  <si>
    <t>RT @KMOXKilleen: Alderman Joe Vaccaro questions the cost, as Circuit Attorney Kim Gardner hires Harvard law professor to help convict Mo Go…</t>
  </si>
  <si>
    <t>RT @magathemaga1: @SouthsideNancy @ScottCharton @stltoday @HawleyMO @confide @EricGreitens @jallman971 @GovGreitens6 @MOGOP_Chairman @GovGr…</t>
  </si>
  <si>
    <t>RT @drell283: OK @tonymess. We've seen your hardon for Greitens. How about you do a little digging on Kim Gardner's incompetence or her att…</t>
  </si>
  <si>
    <t>RT @lindsaywise: NEW St. Louis Prosecuting Attorney Kim Gardner announces she has hired a new chief investigator with FBI experience: "Gard…</t>
  </si>
  <si>
    <t>RT @doubleohduke: If you murder two people in STL, get ID'ed by a witness, then get caught with the murder weapon, Kim Gardner's office wil…</t>
  </si>
  <si>
    <t>RT @trpohyhusband: @CStamper_ Same thing happening in Texas. Soros funded politicians.</t>
  </si>
  <si>
    <t>RT @Justice4Alex93: @CStamper_ We already have one here in orange county Florida ☆ #AramisAyala ▪She literally tried to abolish the death p…</t>
  </si>
  <si>
    <t>RT @Jarhead_2841: @CStamper_ @kwilli1046 #arrestsoros</t>
  </si>
  <si>
    <t>RT @GREAT4USA: @CStamper_ COUNTRY is under attack, and I'm beginning to say...LET IT HAPPEN&amp;gt; ain't enough 'left' money to protect THEM!</t>
  </si>
  <si>
    <t>RT @howienudet: @CStamper_ @vickieDiSabato Deplorables need to unit everywhere.</t>
  </si>
  <si>
    <t>RT @Topchoice16: @CStamper_ Where are conservative lawyers? You better take this case pro bono. Stop these people from criminalizing politi…</t>
  </si>
  <si>
    <t>RT @tooshy01: @CStamper_ Stand strong Governor!  There is nothing Soros and the far-left won't do and we can't let them win.  You are doing…</t>
  </si>
  <si>
    <t>@whitejive @MarkReardonKMOX @EricGreitens Because she knows better, anyone paying the least bit of attention to the cases she goes after obviously knows she’s incredibly biased, in my opinion, racist.</t>
  </si>
  <si>
    <t>RT @MarkReardonKMOX: @ScottCharton @EricGreitens I told you...hire investigators from Michigan at $250 per hour...or get the Harvard dude t…</t>
  </si>
  <si>
    <t>RT @MarkReardonKMOX: @ScottCharton @EricGreitens If she put 1/100th the effort into the REAL crime cases maybe she'd have some luck. Just a…</t>
  </si>
  <si>
    <t>RT @MarkReardonKMOX: Great job Kim Gardner...drop this case to focus on politics with @EricGreitens.
https://t.co/B3HnyQWXqB</t>
  </si>
  <si>
    <t>@AmyDay50 @LC3203 @TeddiMellencamp Wow yeah, your right, I’m disappointed in erika</t>
  </si>
  <si>
    <t>@JPKMoto I absolutely agree, it will be people like lvp that buy anything as a favor to pk.</t>
  </si>
  <si>
    <t>RT @JPKMoto: @kendylei PK has a lot of money but let's be real he's indulging her with this line. I doubt anyone outside her circle will bu…</t>
  </si>
  <si>
    <t>@JPKMoto That’s EXACTLY how dorito acts. Because she is a child and pk is big daddy who never says no and fixes everything for her. ENOUGH already 🙄🙄</t>
  </si>
  <si>
    <t>RT @JPKMoto: Dorit is so pathetic with this straddling and fake fluff. It's like a child who can't take no. #rhobh</t>
  </si>
  <si>
    <t>@AmyDay50 @LC3203 @TeddiMellencamp I’m not understanding, is erica taking dorito’s side? Say it isn’t so. If it is, it’s because she’s scared of big daddy coming after her when Dorito goes back crying to him.</t>
  </si>
  <si>
    <t>@JPKMoto Big daddy bought this swimwear line. She should probably just let him finish it, so they have a chance of recouping any of their money.</t>
  </si>
  <si>
    <t>RT @justbeyou1973: @doritkemsley1 you look so pathetic the more you try to backtrack on your nasty comments about LVP. I hope they dump you…</t>
  </si>
  <si>
    <t>@adellyn The majority has spoken bravo, we don’t want anymore of dorito. Time for dorito to go.</t>
  </si>
  <si>
    <t>@ronette_tiffany @Bravotv @lisarinna She will never own anything. This chick is given everything and if it doesn’t go the way she wants big daddy comes in and fixes it. Career, friends, magazine cover, etc. whatever she wants big daddy gets!!</t>
  </si>
  <si>
    <t>RT @LindsayBissett: @laeRtInipeeK @AllAboutDaTea The ball gag was GOLD! 🙊😂 @TheRealCamilleG has more than earned her way back on the show.…</t>
  </si>
  <si>
    <t>@belladonna_wa Yes, but she deserves so much more, until she comes down to reality and humbles herself ALOT. Or gets kicked off.</t>
  </si>
  <si>
    <t>@iClick__TV Way to go andy, that was a really decent thing to do. We are on different sides politically, but that was very cool.</t>
  </si>
  <si>
    <t>RT @iClick__TV: “Celebrity Big Brother” Update: Brandi Glaville &amp;amp; Andy from Bravo: Mutual Support and Advice Shared https://t.co/jiXjXUiuIs…</t>
  </si>
  <si>
    <t>@LoveAndyC Oh yeah, someone like brandy needs to come in and take care of LVP’s dirty work, brandy just needs to come in and take care of  delusional dorito period.</t>
  </si>
  <si>
    <t>RT @bridget37117446: @kendylei @KelseyGrammer @TheRealCamilleG Her name is kayte Walsh or something like that they took their 6 month old b…</t>
  </si>
  <si>
    <t>@bridget37117446 @KelseyGrammer @TheRealCamilleG His new wife kayte walsh looks like a little elf.</t>
  </si>
  <si>
    <t>Kelsey Grammer's New Wife Kayte Walsh 'Not Proud' of How Couple's Relationship Began - ABC News -  via @ABC https://t.co/LPNtZBfbMt</t>
  </si>
  <si>
    <t>@bridget37117446 @KelseyGrammer @TheRealCamilleG Wow, what in the hell was kelsey grammer thinking? He lost his damn mind.</t>
  </si>
  <si>
    <t>RT @HWObsessed: Queen Camille didn’t come to play, she came to slay... Dorit! 👸🏼#RHOBH https://t.co/IUymMVlhnN</t>
  </si>
  <si>
    <t>@siptherealtea Bout time,  that little 💩 needs to be knocked down a few a few pegs.</t>
  </si>
  <si>
    <t>Lvp is only friends with dorito because of pk. What kind of friendship is that. And why can’t dorito get friends on her own?#rhobh</t>
  </si>
  <si>
    <t>@HWObsessed @LoveAndyC You know it!</t>
  </si>
  <si>
    <t>@HWObsessed @LoveAndyC Oh yeah!!</t>
  </si>
  <si>
    <t>RT @HWObsessed: @LoveAndyC I think Erika is just trying to get along and not hold a grudge, but deep down you know she can’t stand the bitc…</t>
  </si>
  <si>
    <t>@Bravolebrity1 @BrandiGlanville @Andy Too bad adam rippon is on their too.</t>
  </si>
  <si>
    <t>RT @Mike_Joseph_: I don't tweet about #RHOBH often but I definitely keep up on all the episodes. Lets just say I cannot stand Dorrito &amp;amp; Lis…</t>
  </si>
  <si>
    <t>@courtneyq628 Kyle only likes the mean girls that are on her side.</t>
  </si>
  <si>
    <t>RT @courtneyq628: Dorit is a mean girl!  #RHOBH</t>
  </si>
  <si>
    <t>@mamecastle 😂😂😂</t>
  </si>
  <si>
    <t>RT @Hunny_Child1: #RHOBH @KyleRichards please stop defending Lisa V. Dorit is a liar. https://t.co/K0i1q7y9vs</t>
  </si>
  <si>
    <t>RT @bridget37117446: @RealityTV_Guru @doritkemsley1 can't even do that sorry but, she's the most fake, good for nothing other than create s…</t>
  </si>
  <si>
    <t>RT @kate_mccrea: @Bravotv why do you make the tweets  text so small on the screen?  I can barely see it.  Please make it bigger.  #RHOBH #S…</t>
  </si>
  <si>
    <t>@Daisy099 @KyleRichards @doritkemsley1 Oh please, dorito os a legend in her own mind.</t>
  </si>
  <si>
    <t>@lightoftheocean @TeddiMellencamp Thanks friend, you’re right, completely delusional. 🙄</t>
  </si>
  <si>
    <t>Kyle and dorito claiming to be each other’s best friends, gag me with a spoon already 🤮#rhobh</t>
  </si>
  <si>
    <t>@lightoftheocean @TeddiMellencamp Where is her blog?</t>
  </si>
  <si>
    <t>@lightoftheocean @TeddiMellencamp No she doesn’t get it, EVERYTHING is done for her, she doesn’t even have to make her own friends, her husband has to get one of his pompous rich friends(LVP) to do it.</t>
  </si>
  <si>
    <t>@BookishBren She’s too old for all of that hair.</t>
  </si>
  <si>
    <t>@GAGAdiablo Who’s Eric vain?</t>
  </si>
  <si>
    <t>RT @itsjenwbitches: Kyle is a nut job. #RHOBH I miss Kim. She was the real star of this show.</t>
  </si>
  <si>
    <t>@blatantlybianca She was a mean bitch.</t>
  </si>
  <si>
    <t>@LisaVanderpimp This is real housewives, not a political feed.</t>
  </si>
  <si>
    <t>@LisaVanderpimp @doritkemsley1 Dorito’s such an awful twit.</t>
  </si>
  <si>
    <t>RT @LisaVanderpimp: Who wore it better? #rhobh #rhoa #rhony #rhonj #rhoc #rhoc #rhomelbourne #rhop #rhod #pumprules
Like for Nene
RT for L…</t>
  </si>
  <si>
    <t>RT @LisaVanderpimp: The WWE needs to sign LVP pronto because the tight grip on that permanent headlock is everything. Poor Kyle being playe…</t>
  </si>
  <si>
    <t>@lovz2travel @TeddiMellencamp @Bravotv @KyleRichards She has a lot of people fooled. She use to be even worse.i can tolerate her somewhat now, but not all the time.</t>
  </si>
  <si>
    <t>@LisaVanderpimp Hopefully Camille</t>
  </si>
  <si>
    <t>@RaquelMCarter @sassEden I would be happy if they had normal every day real housewives,</t>
  </si>
  <si>
    <t>@sassEden I feel like this is a trick question.</t>
  </si>
  <si>
    <t>@pfarrside @IsntDaveOne I’m planning on her leaving, this show will be unwatchable if we have to endure another season of dorito.</t>
  </si>
  <si>
    <t>RT @kpanarella: @IsntDaveOne Good gift for her😆</t>
  </si>
  <si>
    <t>@IsntDaveOne @anyabeIIa Now that’s a perfect duo.</t>
  </si>
  <si>
    <t>@BuzzFeed We need white pride</t>
  </si>
  <si>
    <t>@lovz2travel @TeddiMellencamp @Bravotv @KyleRichards Yeah Kyle is always playing an angle.</t>
  </si>
  <si>
    <t>RT @itsjustdebb: #rhobh really took a dark turn when Taylor's husband was beating the shit out of her then killed himself and left her with…</t>
  </si>
  <si>
    <t>@lovz2travel @TeddiMellencamp @Bravotv @KyleRichards That’s Kyle to a T.</t>
  </si>
  <si>
    <t>@TeddiMellencamp @Bravotv @KyleRichards Doesn’t make sense your such good friends with kam westcott, she’s so mean and nasty.</t>
  </si>
  <si>
    <t>RT @lovz2travel: @TeddiMellencamp @Bravotv @KyleRichards Could have predicted this pair! Anytime there’s someone new Kyle brings them in cl…</t>
  </si>
  <si>
    <t>@bridget37117446 @KelseyGrammer @TheRealCamilleG Right!! Do we know who the home wrecker was?</t>
  </si>
  <si>
    <t>RT @bridget37117446: How could @KelseyGrammer leave classy beautiful @TheRealCamilleG for a girl who was welling to sleep with knowing he w…</t>
  </si>
  <si>
    <t>RT @troopermylove: @perfectsliders Whoever doesn't support this should give their own money toward helping illegals and leave the rest of u…</t>
  </si>
  <si>
    <t>@murielthequeen There’s nothing I want to hear from andy rippon, he disgraced America.</t>
  </si>
  <si>
    <t>@KKHOfficial @erikajayne You’re so annoying!</t>
  </si>
  <si>
    <t>@KKHOfficial @erikajayne Ugg, disappear already,</t>
  </si>
  <si>
    <t>RT @Julieandfam: I LOVE @TheRealCamilleG 🙌🏻 She exudes class and discipline. She could say SOOOO much but she doesn’t, keeps it classy! #DA…</t>
  </si>
  <si>
    <t>@mamecastle @TexasWarEagle Kyly was an absolute horrible bitch. And hasn’t changed very much.</t>
  </si>
  <si>
    <t>RT @erikajayne: #RHOBH TONIGHT https://t.co/ff1OdCTQpq</t>
  </si>
  <si>
    <t>RT @HWObsessed: @LoveAndyC @TheRealCamilleG Dorit has an overinflated sense of self importance... that won’t get her far on this show. She…</t>
  </si>
  <si>
    <t>RT @IslaEvangeline: @LoveAndyC @TheRealCamilleG Dorit has no power or influence! LOVE @TheRealCamilleG</t>
  </si>
  <si>
    <t>RT @Coronada1: @LoveAndyC @TheRealCamilleG Dorit needs to go.</t>
  </si>
  <si>
    <t>@NoahBrookz @LoveAndyC @TheRealCamilleG I’m with you.</t>
  </si>
  <si>
    <t>RT @NoahBrookz: @LoveAndyC @TheRealCamilleG To be honest Camille is the only one I like on the cast right now. Camille better slayyyy the r…</t>
  </si>
  <si>
    <t>@SalvaCambranes @LoveAndyC @TheRealCamilleG That’s one pf many words that comes to mind. She’s extremely entitled.</t>
  </si>
  <si>
    <t>RT @SalvaCambranes: @LoveAndyC @TheRealCamilleG Dorit is very entitled, isn't she?</t>
  </si>
  <si>
    <t>@SuzieLogan @LoveAndyC @TheRealCamilleG Well , yeah!</t>
  </si>
  <si>
    <t>RT @SuzieLogan: @LoveAndyC @TheRealCamilleG Camille is all class. Dorit is a wanna be</t>
  </si>
  <si>
    <t>RT @rssanch86: @LoveAndyC @TheRealCamilleG She doesn't want Camille back... well the rest of the world doesn't want Dorit back.</t>
  </si>
  <si>
    <t>@TeddiMellencamp @KamWestcott @Bravotv Can’t stand that mean snob.</t>
  </si>
  <si>
    <t>@TeddiMellencamp @Bravotv @KyleRichards Is heavy promoting part of your job when you become a housewife?</t>
  </si>
  <si>
    <t>RT @libgirltara24: Will never get over how they treated Kim on #rhobh</t>
  </si>
  <si>
    <t>@RCNconnects @Bravotv If dorito does, then it just goes to show how fake LVP is, dorito has proved to be a fake, liar, manipulative, self righteous and narcissistic person.</t>
  </si>
  <si>
    <t>@lilbrownivixen We’re all entitled to our opinions, kim is a very complex discussion.  I just think Kyle is intentionally mean and not a good person and fake. But I recognize she’s grown.</t>
  </si>
  <si>
    <t>RT @steelcityfan86: No one likes margaritas like we do!  @KyleRichards #RHOBH https://t.co/OtBO7u1gje</t>
  </si>
  <si>
    <t>@JuneBugGems @TeddiMellencamp @Bravotv @KyleRichards 🙏🏻 for your speedy recovery.</t>
  </si>
  <si>
    <t>RT @WhaleyKarey: I will defiantly be clapping and happy when @TheRealCamilleG gets back at Dorit, she deserves it! You go Camille, teach Do…</t>
  </si>
  <si>
    <t>@Resist_N0W This is rhobh thread.</t>
  </si>
  <si>
    <t>@amace3 @TheRealCamilleG I’ve always said Camille is a classic beauty.</t>
  </si>
  <si>
    <t>@lilbrownivixen Hope so, she was brutal to kim, so hard to watch her and her friends go after kim when she was down.</t>
  </si>
  <si>
    <t>RT @lilbrownivixen: @kendylei Oh I totally see where Kyle was coming from on that. But maybe she was finally getting how Kim feels</t>
  </si>
  <si>
    <t>@Pinky81949548 Exactly</t>
  </si>
  <si>
    <t>RT @Pinky81949548: @kendylei That's when I began disliking Kyle. She gets pissed at Kim for not sticking up for her but Taylor continually…</t>
  </si>
  <si>
    <t>Wow, it’s amazing how much andy kisses Kyle’s ass.#rhobh</t>
  </si>
  <si>
    <t>@FishmanMindFlip Faye resnik was a coke whore and kyle invented the term mean girl.</t>
  </si>
  <si>
    <t>That makes me crazy the way Kyle and her goons (andy and trout mouth Taylor) attacked Camille while she was going through the worst thing in her life#rhobh</t>
  </si>
  <si>
    <t>Kyle was the liar, she was so jealousy of Camille.#rhobh</t>
  </si>
  <si>
    <t>I would believe Camille over Kyle any day of the week.#rhobh</t>
  </si>
  <si>
    <t>@The_HLo That us such a scary face.</t>
  </si>
  <si>
    <t>@efreidel @doritkemsley1 I’m sure she will be glad to show you.</t>
  </si>
  <si>
    <t>RT @WhaleyKarey: I can't hardly wait to see @LisaVanderpump finally get back at Dorit tonight on #RHOBH She deserves to be put in her place…</t>
  </si>
  <si>
    <t>@lilbrownivixen Yes, I agree, except dorito is  lower than low, and deserves anything coming back on her, she’s the one starting any problems now. Kyle mellowed a little.</t>
  </si>
  <si>
    <t>@mimisooner I just have hard time having any sympathy for Kyle, she was such a nasty mean girl.</t>
  </si>
  <si>
    <t>@mimisooner I think those 2 were genuine friends that had nothing to do with kelsey.</t>
  </si>
  <si>
    <t>@JillMillington1 @mimisooner Thanks, it’s kind of coming back.</t>
  </si>
  <si>
    <t>@mimisooner Kathy her sister?</t>
  </si>
  <si>
    <t>RT @stephwatchingtv: @Bravotv should air "Real Housewives in Reverse Order" where a bunch of women gain composure and become un-divorced. #…</t>
  </si>
  <si>
    <t>RT @MileHighGayGuy: Nooo! I was getting so much done today and then @Bravotv had to go and run a #RHOBH Season 1 marathon! #bingewatching</t>
  </si>
  <si>
    <t>RT @DesVanderslump: Watching these #RHOBH episodes with @TheRealCamilleG and @KelseyGrammer are painful... Camille you’re the real #mvp</t>
  </si>
  <si>
    <t>Kyle is always part of a mean girls group. The girls just change up. Taylor was was her pal then. Makes perfect sense Kyle was such good friends  with faye resnick, trash usually hangs with trash.#rhobh</t>
  </si>
  <si>
    <t>@MaharryLaura I guess 7 years can make a big difference at a certain point in your life.</t>
  </si>
  <si>
    <t>All the things andy listed off saying viewers felt about Camille, should have been used to describe kyle. Camille got a raw deal. Kyle really was most those things andy listed off.#rhobh</t>
  </si>
  <si>
    <t>@mimisooner I’m curious which lady you’re talking about, I was trying to think back.</t>
  </si>
  <si>
    <t>RT @mimisooner: Very telling in New York when Kelsey is giving his toast and Camille says to 13 years of marriage all the looks on the othe…</t>
  </si>
  <si>
    <t>Kelsey grammar is such coward and piece of 💩 the way he walked out on his family. Camille I hope you took all of that procks money.#rhobh</t>
  </si>
  <si>
    <t>Kyle,, I hope your conscience drives you crazy for treating kim the way you did. ❤️ less bitch.#rhobh</t>
  </si>
  <si>
    <t>Kylewas such an ungrateful mean bitch.#rhobh</t>
  </si>
  <si>
    <t>RT @CourtneyBourge: Watching Camille beg for love from Kelsey is awful. He loves himself and himself only.  #RHOBH https://t.co/TNhapqTrQN</t>
  </si>
  <si>
    <t>Kyle was a major bitch on the first season, she’s calmed down some.#rhobh</t>
  </si>
  <si>
    <t>So glad Taylor fell off after a few seasons,  she was so bitchy.  I just wish kyle would have dropped off too.#rhobh</t>
  </si>
  <si>
    <t>@TeddiMellencamp @KamWestcott @Bravotv Maybe I mis jugded you, kam westcott was  a horrible little nasty thing on housewives of dallas. You don’t seem like that.</t>
  </si>
  <si>
    <t>Watching the season from 2011, is when I didn’t like kyle at all, and the way that kelsey grammer was such a coward and the way he treated his family. So glad Camille is happy now.#rhobh</t>
  </si>
  <si>
    <t>RT @pahubb43: IF YOU ARE AN CONSERVATIVE? YOU ARE A TARGET! https://t.co/mV6rcso3r4</t>
  </si>
  <si>
    <t>https://t.co/Wcn46fnXj2</t>
  </si>
  <si>
    <t>GA - Timothy Cunningham, 35, Chamblee, 12 Feb 2018
 https://t.co/E7yzhvEs15</t>
  </si>
  <si>
    <t>RT @The_Trump_Train: @realDonaldTrump We won’t let the liberals abolish the 2nd amendment!</t>
  </si>
  <si>
    <t>RT @Education4Libs: Chuck Schumer told people today that he wouldn’t vote for a judicial nominee because of the color of his skin.
Yea...…</t>
  </si>
  <si>
    <t>RT @polishprincessh: My heart is full.
We survived 3rd deployment. Every time is different, each goodbye has its own difficulties, and the…</t>
  </si>
  <si>
    <t>RT @Education4Libs: It’s pretty sad how liberals say 18 year olds are too immature to buy guns then turn around &amp;amp; let 8 year olds decide th…</t>
  </si>
  <si>
    <t>RT @Thomas1774Paine: Are the Tweets from my account still not showing up in your mobile feeds? last minute test before lawyers tag Twitter…</t>
  </si>
  <si>
    <t>RT @MtRushmore2016: @PhyllisMarion7 @StLCountyRepub @SaraForMissouri @EricGreitens Doesnt appear anyone’s clean in this investigation. Kim…</t>
  </si>
  <si>
    <t>RT @AlanGreenblatt: Kim Gardner, the St. Louis prosecutor going after Greitens, is a Democrat who was part of a wave of progressive big-cit…</t>
  </si>
  <si>
    <t>RT @ChrisDavisMMJ: Missouri GOP issues a scathing statement against St. Louis based Circuit Attorney Kim Gardner. Calls Greiten's arrest a…</t>
  </si>
  <si>
    <t>RT @MtRushmore2016: @JackPosobiec Was STL Prosecutor Kim Gardner one of Soros picks? https://t.co/K4K1IyMLaK</t>
  </si>
  <si>
    <t>@moira Kim Gardner is a democrat on a very political mission.</t>
  </si>
  <si>
    <t>@wisegyebri @lindsaywise @EricGreitens He admitted to having an affair back in 2015, which him  and his family are trying to work through, but that’s not a crime.</t>
  </si>
  <si>
    <t>@mangan_marilyn @lindsaywise @EricGreitens Why can’t the produce the picture?</t>
  </si>
  <si>
    <t>RT @lindsaywise: @tellsomebodynow @EricGreitens It would have to be a very liberal grand jury since it was a grand jury that returned the i…</t>
  </si>
  <si>
    <t>@tellsomebodynow @lindsaywise @EricGreitens Kim Gardner is on her own political mission.</t>
  </si>
  <si>
    <t>RT @tellsomebodynow: @lindsaywise @EricGreitens Fox 4kc anchor this am seemed all in w repubs said this was a political prosecution by a ve…</t>
  </si>
  <si>
    <t>RT @lindsaywise: Missouri GOP: "This law has never been prosecuted in this way and it is safe to say if Eric Greitens wasn’t governor, it w…</t>
  </si>
  <si>
    <t>@lindsaywise @EricGreitens I’m thinking kim Gardner and her office should be investigated, she lied about having new evidence to bring the stockley case to trial, now she doesn’t even have the so called damaging picture for which she went after Greitens for. This all sounds shady to me.</t>
  </si>
  <si>
    <t>RT @lindsaywise: NEW--&amp;gt; Missouri GOP throwing its weight fully behind @EricGreitens today: “Kim Gardner has received more than $200,000 fro…</t>
  </si>
  <si>
    <t>Prosecutors don't have photo at heart of Greitens case
(Via KMOV News) https://t.co/o5LvquCXDp</t>
  </si>
  <si>
    <t>@DLoesch Could not agree with you more, the mental health crisis is the most important thing that needs to be the main focus for politicians, lawmakers and government. I believe until it starts being addressed we’re all just spinning our wheels.</t>
  </si>
  <si>
    <t>RT @DLoesch: 45 reports, 2 FBI tips, decades of political class ignoring the mental health crisis. Increasing age doesn’t solve psychosis,…</t>
  </si>
  <si>
    <t>@RealJamesWoods Unbelievable 🤬🤬</t>
  </si>
  <si>
    <t>RT @RealJamesWoods: Now imagine we had a Department of Justice concerned with protecting our most fundamental right, the right to vote. Fur…</t>
  </si>
  <si>
    <t>@TwitterMoments Damn, I really liked Pizza Hut too.</t>
  </si>
  <si>
    <t>RT @VFL2013: Rt Only... If This Wasn't One Of The Best Days Of Your Life!!!! The Moment That Changed Everything For AMERICA!! @POTUS @FLOTU…</t>
  </si>
  <si>
    <t>RT @mrwalsh__: NEVER FORGET: Entire row of Dems refused to stand when Trump honored family who had daughters killed by MS-13 gang members.…</t>
  </si>
  <si>
    <t>RT @RyanAFournier: Notice how the Democrat aren’t clapping for anything great happening in our country. Shameful. #SOTU</t>
  </si>
  <si>
    <t>RT @RealCandaceO: Make no mistake: Democrats didn't brand themselves as anti-Trump tonight. They branded themselves as anti-American. 
Tru…</t>
  </si>
  <si>
    <t>RT @_SierraWhiskee: The #2A IS what will keep the Government from taking away EVERY right you &amp;amp; I have. That's if you really want those rig…</t>
  </si>
  <si>
    <t>RT @toothmanelite: @billadler @seanhannity Not what the Dems said before trump took office.  Try again. https://t.co/wxDLdEGRtS</t>
  </si>
  <si>
    <t>@thetmet @POTUS Me too!!</t>
  </si>
  <si>
    <t>RT @thetmet: Received my first paycheck since the tax cut. Extra $50 on this check = $1,200/year. Thanks, @POTUS ‼️ 
I ❤️crumbs‼️</t>
  </si>
  <si>
    <t>RT @thetmet: Lock them up!!! https://t.co/b9yZBIJ67J</t>
  </si>
  <si>
    <t>RT @thetmet: Happy Presidents’ Day! #MAGA https://t.co/X4aAYbF9f5</t>
  </si>
  <si>
    <t>RT @thetmet: Lost dog from Hawkinsville, GA
 #lostdog #missingdog #mimialert https://t.co/E9FJGybvSV</t>
  </si>
  <si>
    <t>RT @thetmet: St. Louis' hero for the animals.  Thank you, Randy! &amp;lt;3
Stray Rescue of St. Louis - About Randy Grim https://t.co/zu3DtuRgZ8</t>
  </si>
  <si>
    <t>RT @jessica_skiii: @JesseKellyDC to know there were armed “protectors” that just stood around and listened to kids dying. doing absolutely…</t>
  </si>
  <si>
    <t>RT @whodatdogs: @MadonnaMadsen @JesseKellyDC THIS is Sheriff of Coward County.
We're guessing he won't be 
"suicided" anytime soon
Guessing…</t>
  </si>
  <si>
    <t>RT @atensnut: SORRY LOSER, YOU DONT GET A SECOND CHANCE Gay Olympian Loser Says He Would Now Answer Mike Pence's Phone Call https://t.co/by…</t>
  </si>
  <si>
    <t>RT @atensnut: Dear Monica, I have been working on my trauma “For 4 decades”.  I have always had sympathy for you and believe you were, inde…</t>
  </si>
  <si>
    <t>RT @atensnut: YOU DO KNOW THIS TWEET WAS “Tongue In Cheek”.   The real Clinton victims were never made a part of the #metoo phenomenon. I w…</t>
  </si>
  <si>
    <t>RT @anniefreyshow: Filling in for @MarcCox971 today on #MCS971 on @971FMTalk. Memos, spending bills, Trey Gowdy, Missouri House Interns, an…</t>
  </si>
  <si>
    <t>RT @MarcCox971: This is a St. Louis company. Let’s make sure they know how many @NRA members they have alienated. Shame on the Taylor famil…</t>
  </si>
  <si>
    <t>RT @President1Trump: Remember, those jobs aren’t coming back! @BarackObama Lost 17,000 manufacturing jobs his last year as president! @POTU…</t>
  </si>
  <si>
    <t>RT @pahubb43: GEORGIA BLOCKED DELTA TAX BREAKS AFTER THEY TARGETED THE NRA!   THE Georgia Senate&amp;amp;rsquo;s leaders vowed to block a lucrative…</t>
  </si>
  <si>
    <t>RT @pahubb43: THAT DRUNK PARIOT IS AT IT AGAIN!  Chelsea Handler slammed over tweet about Donald and Ivanka Trump https://t.co/qXpSKLVKVb #…</t>
  </si>
  <si>
    <t>RT @pahubb43: I remember this! https://t.co/WQddKgORoF</t>
  </si>
  <si>
    <t>RT @pahubb43: THANK YOU PATRIOTS! 
Papa John's has cut ties with the NFL. Sighting the blow back of kneeling "bitch babies" millionaires t…</t>
  </si>
  <si>
    <t>RT @MSTLGA: @FoxNews @KevinJacksonTBS Look how oppressed Bruce Franks is  
wears a Louis Vuitton Man purse to protest https://t.co/L7OVWG9M…</t>
  </si>
  <si>
    <t>RT @MSTLGA: Poverty is not an excuse for choosing the thug life
#BlackLivesMatter #stlverdict #expectus #stlouis #stl #thuglife #alllivesm…</t>
  </si>
  <si>
    <t>RT @MSTLGA: Anyone offended by “in God We trust “
Please send me all your cash https://t.co/3l61exVCf7</t>
  </si>
  <si>
    <t>RT @MSTLGA: Look Who went back to school today after vowing not to return 😂
school must be safe again , 
Especially when a camera crew is i…</t>
  </si>
  <si>
    <t>RT @GartrellLinda: .@POTUS Reagan: "We must reject the idea that every time a law's broken, society is guilty rather than the lawbreaker. I…</t>
  </si>
  <si>
    <t>RT @BunkyDan: #TheView one of the most nasty shows out there,  sad that people get off on hatefulness.</t>
  </si>
  <si>
    <t>RT @JohnAMDG: @RoyBlunt @AmericanLegion I'm  veteran, and I'd like to know how much of our tax money did Kim Gardner spend hiring private i…</t>
  </si>
  <si>
    <t>RT @LanceDKewley: @41actionnews 🇺🇸Missourians 🇺🇸
St. Louis circuit
 Att (SOROS FUNDED $200,000)Kim Gardner uses MICHIGAN investigation firm…</t>
  </si>
  <si>
    <t>RT @strmsptr: Hey @jallman971 @971FMTalk @MyMoInfo Gop State Senator Gary Romaine's legal advisor just throwing more knives at our Governor…</t>
  </si>
  <si>
    <t>RT @trauma_StLouis: 11-year-old boy shot in north St. Louis
Protest this!!!! Cops are not the biggest problem #stlverdict
(Via KSDK) https…</t>
  </si>
  <si>
    <t>RT @trauma_StLouis: The violence is affecting people not directly involved #protestthis #expectthis #stlverdict https://t.co/xvbgxEbrJO</t>
  </si>
  <si>
    <t>RT @trauma_StLouis: Day 53 (32 actual protest/party days): #JasonStockley **STILL** innocent #STLProtests  #STLVerdict #ExpectUs #BlackLive…</t>
  </si>
  <si>
    <t>RT @trauma_StLouis: Protest #gameover #JasonStockley **STILL** innocent #STLProtests  #STLVerdict #ExpectUs #BlackLivesMatter  
#STLVerdict</t>
  </si>
  <si>
    <t>@trauma_StLouis The same circuit attorney clerk Kim Gardner is also a part of the witch hunt now to bring Governor Eric Greitens down. Political much??? 🤬🤬 Too bad their office doesn’t go after the real criminals and be a part of cleaning St.louis up instead of destroying it.</t>
  </si>
  <si>
    <t>RT @trauma_StLouis: 188 killings in 180 days - mostly black lives lost at the hands of other black lives - Do you #Stlprotests even care? #…</t>
  </si>
  <si>
    <t>RT @trauma_StLouis: St. Louis ranked 2nd least safe city in America
And guess what, NOT because the police are killing black thugs - it’s…</t>
  </si>
  <si>
    <t>RT @TheGreatFeather: Study that well... https://t.co/ICJqWPK87t</t>
  </si>
  <si>
    <t>RT @correctthemedia: Lindsey Vonn: "I won't be representing Trump in the Olympics."
*proceeds to fail miserably in the Olympics* https://t…</t>
  </si>
  <si>
    <t>RT @STLCrimeBeat: Cherokee Street shop vandalized for flag supporting police, owner says https://t.co/a4NwWO07qm</t>
  </si>
  <si>
    <t>RT @kwilli1046: There is perhaps no greater truth about the radical Left’s indoctrination of public school students on guns than this Eric…</t>
  </si>
  <si>
    <t>RT @pahubb43: If you had to guess, which politican needed a mental evaluation? Which one do you think needs one??</t>
  </si>
  <si>
    <t>RT @RedNationRising: Democrats will let blacks wither away until next election when they will pander to them again for votes. Until then, t…</t>
  </si>
  <si>
    <t>RT @MSTLGA: Hahaha this kid is afraid to go back to his school
He’d shit himself walking the mean streets of St. Louis 
@ClipTheVideo https…</t>
  </si>
  <si>
    <t>RT @Political_lrony: @RealEagleWings @CaseyCagle Delta made the big boy decision to get political. Maybe next time they won’t listen to a k…</t>
  </si>
  <si>
    <t>RT @RealWolfsPride: @RealEagleWings @CaseyCagle .@RealEagleWings  #BoycottDelta  it’s not right And we’ll not fly on #Delta again https://t…</t>
  </si>
  <si>
    <t>RT @RealEagleWings: “Delta chose to single out the NRA…and law-abiding gun owners and I don’t think it’s right and I have to govern based o…</t>
  </si>
  <si>
    <t>@MarkRuffalo Yeah delta, throw your hat in the political ring like the others who didn’t think it would hurt their careers or business’s.Stick to what you know.</t>
  </si>
  <si>
    <t>The St.louis administration is so corrupt, it needs to be overhauled, starting with Mayor krewson and Kim Gardner first.</t>
  </si>
  <si>
    <t>@LaurenTrager @EricGreitens @stlcao @KMOV Kim Gardner has been on a witch hunt every since she turned the city upside down determined to charge stockley with something. Kim Gardner has no business in that office, her and others are using it for their own personal biases.</t>
  </si>
  <si>
    <t>RT @KMOV: More than 150 arrested in California immigration raids https://t.co/lw3cQOSE42 https://t.co/mNZXYu6RAi</t>
  </si>
  <si>
    <t>@TheWatchDiva @KMOV If St.louis wasn’t throwing so much money away on trying to prove bogus charges and hiring investigation firms for their political gains, the city wouldn’t be so broke.</t>
  </si>
  <si>
    <t>RT @KMOV: Judge sides with Trump on challenge to Mexico border wall https://t.co/6TvRU8fPst https://t.co/ZAKkEZFnse</t>
  </si>
  <si>
    <t>@ChrisNagusKMOV @EricGreitens Kim Gardner from the circuit attorneys office of st. louis was also a part of trying to bring charges against stockley that we’re questionable. I’m seeing a pattern here.</t>
  </si>
  <si>
    <t>RT @ChrisNagusKMOV: From the @EricGreitens defense team regarding discovery turned over by STL Circuit Attorney - “This photo the prosecuti…</t>
  </si>
  <si>
    <t>RT @tkopeceo: @PatriotPete101 Here is the truth, this isn’t really about this school shooting it’s about taking guns away from people who w…</t>
  </si>
  <si>
    <t>RT @Deplorable_NYC: Do you approve of the job / policies put forth by @realDonaldTrump as president of the United States of America 🇺🇸 ?
P…</t>
  </si>
  <si>
    <t>RT @DLoesch: This probably should have been established before he was allowed to twice take the stage, once in a rally speech before the to…</t>
  </si>
  <si>
    <t>St. Louis Circuit Attorney turns over evidence to Greitens defense team. I-Team with latest developments on News 4 at 5:00.
(Via KMOV News) https://t.co/8dYgJV1LJD</t>
  </si>
  <si>
    <t>@FrznShrew @ayotiff @MySoulPanteth @Buddybad143 @TuckerCarlson @FoxNews @jeffsessions Absolutely, these people are either in denial or delusional.</t>
  </si>
  <si>
    <t>RT @FrznShrew: @ayotiff @MySoulPanteth @Buddybad143 @TuckerCarlson @FoxNews @jeffsessions The social security administration freely admits…</t>
  </si>
  <si>
    <t>@noprezzie2012 @ayotiff @MySoulPanteth @Buddybad143 @TuckerCarlson @FoxNews @jeffsessions Right, I think they know too. It’s hard to be that naive,.</t>
  </si>
  <si>
    <t>RT @noprezzie2012: @ayotiff @MySoulPanteth @Buddybad143 @TuckerCarlson @FoxNews @jeffsessions You know SS’s can be bought, right?  Last 4 d…</t>
  </si>
  <si>
    <t>RT @Buddybad143: @progres70795420 @ayotiff @MySoulPanteth @TuckerCarlson @FoxNews @jeffsessions Facts have never mattered to brainwashed li…</t>
  </si>
  <si>
    <t>RT @totylama: @progres70795420 @Buddybad143 @ayotiff @MySoulPanteth @TuckerCarlson @FoxNews @jeffsessions Have you ever watched @FoxNews?…</t>
  </si>
  <si>
    <t>@progres70795420 @Buddybad143 @ayotiff @MySoulPanteth @TuckerCarlson @FoxNews @jeffsessions It is hard to pin these 🐛 worms down and get a straight  answer, but i know who the liar 🤥 was, and it definitely wasn’t Tucker.</t>
  </si>
  <si>
    <t>RT @TuckerCarlson: Chicago has announced that CityKey cards, designed for illegal aliens, can be used for voter registration. In other word…</t>
  </si>
  <si>
    <t>RT @realDonaldTrump: Unemployment claims are at the lowest level since 1973. Much of this has to do with the massive cutting of unnecessary…</t>
  </si>
  <si>
    <t>RT @Education4Libs: Fun fact.
Over 2000 illegal guns are crossing the US/Mexican border daily. And the same people that are calling for gu…</t>
  </si>
  <si>
    <t>RT @realDonaldTrump: MS-13 gang members are being removed by our Great ICE and Border Patrol Agents by the thousands, but these killers com…</t>
  </si>
  <si>
    <t>RT @RealJamesWoods: Fine young man, bravo for declining the manipulation by #CNN...  https://t.co/zfUHGXFAqo</t>
  </si>
  <si>
    <t>RT @TuckerCarlson: Scripted town hall? Check out part of my interview with a student who claims CNN rewrote and scripted his question. CNN…</t>
  </si>
  <si>
    <t>@ksdknews I never realized how intelligent democrats were NOT.</t>
  </si>
  <si>
    <t>@culpepper1942 @ksdknews  https://t.co/nfV7sy4POW</t>
  </si>
  <si>
    <t>@JaceLGalloway @Munyamulenge2 @ksdknews I could give 2 💩’s less what you claim to be. NUFF SAID!!</t>
  </si>
  <si>
    <t>@richdombro @ksdknews @maddow Dream on A ⭕️.</t>
  </si>
  <si>
    <t>@MichaelBoedeker @cturtle31 @librarylady61 @ksdknews @maddow Wrong, Mo doesn’t hate Governor Greitens, LEO love him.</t>
  </si>
  <si>
    <t>@FranklinBluth9 @ksdknews Ask your 1 follower, buh bye https://t.co/6eRonQqFaD</t>
  </si>
  <si>
    <t>@PresVeryStableG @ksdknews @VP Yes he is doing a great job in Missouri right now.</t>
  </si>
  <si>
    <t>RT @PresVeryStableG: @ksdknews @VP what did you know? 
https://t.co/gOqttOr8BQ</t>
  </si>
  <si>
    <t>@Munyamulenge2 @JaceLGalloway @ksdknews Don’t believe everything that’s reported, trust me, there is a political agenda going on here.</t>
  </si>
  <si>
    <t>@ksdknews Governor Eric Greitens has my full support. my ❤️ and 🙏🏻 go out to him and his family for having to endure this unfair political witch hunt.</t>
  </si>
  <si>
    <t>@TeaPainUSA That statement makes no sense 🙄🙄</t>
  </si>
  <si>
    <t>@rxpatrick A political witch hunt!!</t>
  </si>
  <si>
    <t>@mustoholland @PopCrave Yep.</t>
  </si>
  <si>
    <t>@PopCrave 3  🐷’s</t>
  </si>
  <si>
    <t>RT @ElderLansing: Dumbocrats won't stop at so called assault rifles. They fundamentally disagree with the Second Amendment and want it repe…</t>
  </si>
  <si>
    <t>RT @perfectsliders: Do you support the 2nd amendment?</t>
  </si>
  <si>
    <t>RT @CassandraRules: If Trump was just a random guy I was friends with... and he was boning a bunch of slutty pornstars I would high five hi…</t>
  </si>
  <si>
    <t>RT @hotpink100: If you ever read the fake Trump dossier, it's unbelievable and incredulous that the @FBI ever had faith that this garbage c…</t>
  </si>
  <si>
    <t>RT @holly_thor_gaz: The Trump Curse is real!!! Lindsay Vonn fails to medal in the Super-G.
Maybe next time she'll think twice before disre…</t>
  </si>
  <si>
    <t>RT @The_Trump_Train: When free speech is being censored at every corner, it’s important for us conservatives to come together.
1. Share th…</t>
  </si>
  <si>
    <t>RT @cvpayne: Hello @jack a lot of people are asking about #TwitterLockOut could the company please provide the criteria for erasing followe…</t>
  </si>
  <si>
    <t>RT @ScottPresler: 100 people have already replied to this. Everyone, follow each other, and you have an easy 100 new followers. 
Stronger…</t>
  </si>
  <si>
    <t>RT @ScottPresler: If you're angry about the #TwitterLockOut, then 
mark your calendars, RIGHT NOW, for Tuesday, November 6th, 2018. 
Make…</t>
  </si>
  <si>
    <t>RT @Pink_About_it: I'm willing to bet that while Twitter pulled the #TwitterLockOut
Thousands of accounts that have inappropriate content a…</t>
  </si>
  <si>
    <t>RT @SarahPalinUSA: That didn’t take long. https://t.co/OYQLM4Dz4a</t>
  </si>
  <si>
    <t>RT @dbongino: I own some stock in @twitter. I’m selling today. https://t.co/8aFlylWMBf</t>
  </si>
  <si>
    <t>RT @benshapiro: So now the complaint isn't that the White House is ignoring Parkland teenagers, it's that they aren't having the ones the m…</t>
  </si>
  <si>
    <t>RT @realDonaldTrump: “You had Hillary Clinton and the Democratic Party try to hide the fact that they gave money to GPS Fusion to create a…</t>
  </si>
  <si>
    <t>RT @RealJamesWoods: This action by the Obama administration was an abuse of the constitution and an assault on our cherished Republic. He a…</t>
  </si>
  <si>
    <t>RT @Lrihendry: I don’t remember the left screaming for gun control when Kate Steinle was killed by an illegal alien.</t>
  </si>
  <si>
    <t>@janinepasta @KyleRichards Ikr</t>
  </si>
  <si>
    <t>RT @Thomas1774Paine: Florida school shooter ‘sympathized with Syrian terrorists,’ sold knives from lunchbox, friend says https://t.co/SbhAQ…</t>
  </si>
  <si>
    <t>RT @AnnCoulter: I'm beginning to think MSNBC is playing favorites in this gun debate.</t>
  </si>
  <si>
    <t>RT @realamericadrew: Do you approve of the job that @POTUS @realDonaldTrump is doing as President?  Vote and Retweet!!!!</t>
  </si>
  <si>
    <t>RT @Loduv: Nancy Pelosi has the answer to border security. MOW THE LAWN! Seriously? How does the DNC continue to let this lady do interview…</t>
  </si>
  <si>
    <t>RT @GeorgeIrvin: @true_pundit @Thomas1774Paine  https://t.co/Bnn6fnitWs</t>
  </si>
  <si>
    <t>RT @nmb7401: @true_pundit Then why was a mike given to someone to ask Dana Loesch a question before she even arrived on the stage? It was a…</t>
  </si>
  <si>
    <t>RT @TimFinnigan: @true_pundit @TheOneLadyEagle little andy vanderbuilt has all koinds of bizzare fantasies</t>
  </si>
  <si>
    <t>RT @Walshjf3: @true_pundit @Thomas1774Paine  https://t.co/5jWP2oP2Qs</t>
  </si>
  <si>
    <t>RT @SonsMary: @true_pundit CNN is Satan!!!</t>
  </si>
  <si>
    <t>RT @CorinneMichels: @true_pundit When will @CNN pay a price for all of it’s #FakeNews? Oh, I forgot. It has. It’s viewer numbers have plumm…</t>
  </si>
  <si>
    <t>RT @alfree2017: @true_pundit @Thomas1774Paine #CNN is not a news organization, it is another #DemocraticParty propaganda network.</t>
  </si>
  <si>
    <t>RT @okscnctn: @true_pundit #NeverForget @CNN sucks! https://t.co/3zYQLgx3dV</t>
  </si>
  <si>
    <t>RT @avoiceforothers: @true_pundit One of most impacting stories from school attack were from the boys from JROTC. Because they actually DID…</t>
  </si>
  <si>
    <t>RT @ShellyR906: @true_pundit @Thomas1774Paine @CNN #FakeNews Do you really think we believe you?!  We know the games you play.  Shame on yo…</t>
  </si>
  <si>
    <t>RT @true_pundit: CNN ATTACKS High School Shooting Survivor; Calls ROTC Hero Who Shielded Students From Gunfire a LIAR (Video). https://t.co…</t>
  </si>
  <si>
    <t>RT @tyler_wb: @Doodisgirl @CNN The Democrat are taking advantage of the children to push their own agenda by any means possible... Wrong ht…</t>
  </si>
  <si>
    <t>RT @StepanekStepan1: @SheriHerman10 @Doodisgirl @CNN The timing to take the heat off of the memos.</t>
  </si>
  <si>
    <t>RT @jimlibertarian: @Doodisgirl @CNN Twitter considers these kids to be special because Twitter supports the communist manifesto of destruc…</t>
  </si>
  <si>
    <t>RT @Doodisgirl: @khunyarose @StepanekStepan1 @CNN That’s what I’m wondering. Twitter and CNN working together.</t>
  </si>
  <si>
    <t>RT @khunyarose: @Doodisgirl @StepanekStepan1 @CNN Those 100K+ followers were being bought and paid for by CNN, CROOKED NETWORK.</t>
  </si>
  <si>
    <t>RT @Doodisgirl: Funny how we all have had to grow our accounts over years and years.. and thousands of tweets. You know, without cheating.</t>
  </si>
  <si>
    <t>RT @Doodisgirl: Did you know?
The kids that @CNN exploited for #ParklandStudentsSpeak are now all ‘verified’ Twitter users with hundreds o…</t>
  </si>
  <si>
    <t>RT @realDonaldTrump: ....History shows that a school shooting lasts, on average, 3 minutes. It takes police &amp;amp; first responders approximatel…</t>
  </si>
  <si>
    <t>RT @IvankaTrump: Congratulations to @TeamUSA #WomensHockey for an incredible win – the first GOLD in 20 years. This team shows us what we c…</t>
  </si>
  <si>
    <t>RT @hrt6017: Same here, had a gun all the time during hunting season, in the 60’s. No one got shot. My opinion is that there is a differenc…</t>
  </si>
  <si>
    <t>RT @Wildchildwendy: Millions have a close relationship with God. They don't go around saying they hear God literally. Omorosa said that of…</t>
  </si>
  <si>
    <t>RT @nypost: “CNN had originally asked me to write a speech and questions and it ended up being all scripted” https://t.co/Uz9LATRYFO</t>
  </si>
  <si>
    <t>RT @LVNancy: I'm just gonna say it, &amp;amp; I'm sorry it sounds so harsh✌🏻
But #Democrats have a pattern of using kids to further their agenda…</t>
  </si>
  <si>
    <t>RT @ArizonaKayte: According to a new New York Times tax cut poll, a majority of Americans now officially approve of “Armageddon” and apprec…</t>
  </si>
  <si>
    <t>RT @Thomas1774Paine: After Attacking Right-Wing Media for Being Harsh on the Gun Protest Kids, CNN Drops a Hammer on ROTC Hero who shielded…</t>
  </si>
  <si>
    <t>RT @IvankaTrump: You have to be a team player to become a strong leader… “As more girls grow up playing sports, they’ll be given the opport…</t>
  </si>
  <si>
    <t>RT @esaagar: .@NRA President Wayne LaPierre: "The elites don't care not one wit about America's school system or America's children....its…</t>
  </si>
  <si>
    <t>RT @HOCKEYRINK12: @CSims45 @DonaldJTrumpJr @realDonaldTrump @GOP 377 companies announce tax reform bonuses, raises, or 401(k) hikes
Good t…</t>
  </si>
  <si>
    <t>RT @Thomas1774Paine: Kid saved lives and CNN Attacks him ... https://t.co/BYaGHP5oSM</t>
  </si>
  <si>
    <t>RT @Vicky4Trump: THIS GIRL IS A JOKE - Ex-Playboy model's notes on alleged Trump affair written a decade later https://t.co/FiAPxzKWn0</t>
  </si>
  <si>
    <t>RT @RealCandaceO: NEW VIDEO!! EVERY conservative should go see the #BlackPantherMovie because it is Pro-Trump. 
RT to send your condolences…</t>
  </si>
  <si>
    <t>RT @queengost: You got that right! https://t.co/nTfJEKGcCE</t>
  </si>
  <si>
    <t>@o4america @RevRon07 @realDonaldTrump Focus on mental illness awareness, definitely more programs for the mentally ill, and changes in laws to give families and LEO more to tools to get them to the the treatment and care they need .</t>
  </si>
  <si>
    <t>RT @RealJamesWoods: This couldn’t be more simple: if you are interested in repealing the Second Amendment to the Constitution, there is a p…</t>
  </si>
  <si>
    <t>@wearenotpoets  https://t.co/CPYgLGLvRR</t>
  </si>
  <si>
    <t>RT @MelodyDufffield: @goofballgeorge @Pixinamerica1 @proudnana_3 @PlausableDeny @QuincyA17 @raymondr52 @reid_oakley @realBrentMorris @RevRo…</t>
  </si>
  <si>
    <t>RT @RiemDebra: @raymondr52 @Rightwingermike @goofballgeorge @Pixinamerica1 @proudnana_3 @PlausableDeny @QuincyA17 @reid_oakley @realBrentMo…</t>
  </si>
  <si>
    <t>RT @ramage_cj: Is there anything that the left can't spin into a race issue. That skunk sprayed my dog because of the white stripe! Let's g…</t>
  </si>
  <si>
    <t>RT @ramage_cj: @ramburner1 @antoniaiadi Gerrymandering at it's finest. Cheating is ok if it helps destroy our great country. Ask any far le…</t>
  </si>
  <si>
    <t>RT @ramage_cj: San Fransisco, a mess due to liberal policies. Nothing else.</t>
  </si>
  <si>
    <t>RT @ramage_cj: Screw the purge. Following more Trump supporters than ever now.</t>
  </si>
  <si>
    <t>RT @HCDotNet: To all, I just had to re-verify my phone number claiming my account was showing automated behavior.
I do not use bots nor do…</t>
  </si>
  <si>
    <t>RT @Dayleen4Kelowna: You bet your ass it could happen, and it DID! Now we are seeing the biggest cover-up in the history of the United Stat…</t>
  </si>
  <si>
    <t>RT @ICXFX: @GrrrGraphics @workbench59 I m thinking should I boycott twitter like I boycott Facebook!</t>
  </si>
  <si>
    <t>RT @MsSwis: @GrrrGraphics #TwitterLockOut ,#TwitterPurge , #ShadowBanned . . . reasons we need an #InternetBillOfRights as suggested by Q:…</t>
  </si>
  <si>
    <t>RT @Digidiva2017: @GrrrGraphics Stronger Together 😊</t>
  </si>
  <si>
    <t>RT @quail_robert: @GrrrGraphics Thoughts and prayers snowflake.  Twitter is a private company and in a free market they can do whatever the…</t>
  </si>
  <si>
    <t>RT @TRUMPsmash1Hero: @GrrrGraphics @rolaaus What Twitter has Created is " If You Don't Follow Me, I won't Follow You". Twitter is Wanting N…</t>
  </si>
  <si>
    <t>RT @AMM1942: @GrrrGraphics #TwitterLockOut   #TwitterPurge https://t.co/AZ57LSgFv6</t>
  </si>
  <si>
    <t>RT @Mister_Madigan: @GrrrGraphics @thebradfordfile  https://t.co/F8HcV5Fxit</t>
  </si>
  <si>
    <t>@SonofLiberty357 @RubyRockstar333 We need answers and solutions, but taking our guns away isn’t the answer. That’s the liberals go to answer.</t>
  </si>
  <si>
    <t>RT @SonofLiberty357: I’m sorry inept local and federal law enforcement failed the kids in Florida. I’m sorry for the lives lost. I’ll gladl…</t>
  </si>
  <si>
    <t>RT @palmerican: @eileendefreest Just stay in London!</t>
  </si>
  <si>
    <t>RT @tlpeek64: @eileendefreest He won the election because he got more electoral votes than his opponent. That's how that works. He is not t…</t>
  </si>
  <si>
    <t>RT @ryanflesher314: @eileendefreest  https://t.co/2k0qiiqCzC</t>
  </si>
  <si>
    <t>RT @NfZones: @eileendefreest  https://t.co/X1DaOQ2cRP</t>
  </si>
  <si>
    <t>RT @gtobronco: @eileendefreest You lost all your credibility , You voted for most corrupt Regime in US history! https://t.co/vrJcTxw5I1</t>
  </si>
  <si>
    <t>RT @NuLLnVoiD4prez: @eileendefreest - Keeping more of my own money
- ISIS nearly gone
- Booming economy
- Mueller investigation proving HRC…</t>
  </si>
  <si>
    <t>RT @PC_GoneWild: @eileendefreest #ThingsICantAccept #Snotbubblers https://t.co/2tAVS8f9G0</t>
  </si>
  <si>
    <t>@SJHSFZachSuter @eileendefreest Thank you zach, eileen is getting unhinged.</t>
  </si>
  <si>
    <t>@eileendefreest @EverythingGeek_ Eileen honey, you have got some issues, please get help.</t>
  </si>
  <si>
    <t>@Laconic_IF @eileendefreest I agree, it’s pretty disturbing.</t>
  </si>
  <si>
    <t>@Daion2212 @eileendefreest Amazing how obsessed with thinking they’re going to bring down the best POTUS. These ppl are delusional at best.</t>
  </si>
  <si>
    <t>RT @cindylbuckeye: @eileendefreest She lost😄😄best thing to happen ever</t>
  </si>
  <si>
    <t>RT @CarolinaFroggg: @eileendefreest you should probably take up drinking, at least then your insanity might be excused by the alcohol</t>
  </si>
  <si>
    <t>RT @AnnCoulter: My friend dreams of working as a mall cop. Not sure he'd qualify. Might have to settle for a job at the FBI.</t>
  </si>
  <si>
    <t>RT @BillOReilly: The big question is: should the media be promoting opinions by teenagers who are in an emotional state and facing extreme…</t>
  </si>
  <si>
    <t>RT @vespagirl74: @KyleRichards You were totally in the right. What Dorit was doing is called gaslighting.. it’s when someone cannot acknowl…</t>
  </si>
  <si>
    <t>RT @Pamdc822Pam: @RHOBellevue @lisarinna I  think LVP should have chimed in &amp;amp; called Dorit “ a stupid cunt” now that would hav been funny!!…</t>
  </si>
  <si>
    <t>@janinepasta @KyleRichards I wish i had a glam squad.</t>
  </si>
  <si>
    <t>RT @loxi1229: Dorit’s explanation story to LVP had more holes in it than her sweat suit! #RHOBH</t>
  </si>
  <si>
    <t>@SoarMich Pk revealed, 😲 https://t.co/T0B0PmIqqF</t>
  </si>
  <si>
    <t>@wearenotpoets She did her a solid! Wouldn’t you want to know if your puss was out? I would.</t>
  </si>
  <si>
    <t>RT @fitbydina: When they invent silent Doritos, can they also invent a silent and quiet Dorit(o) Kemsley? @doritkemsley1 @RHOBHBravo #RHOBH</t>
  </si>
  <si>
    <t>Doritois a legend in her own mind.#rhobh</t>
  </si>
  <si>
    <t>@marilyngho Dorito has to be first and best everywhere she goes or whoever she’s with.</t>
  </si>
  <si>
    <t>RT @whitetam3452: @TheRealCamilleG came n2 this season with a vengeance! She's taken no shit &amp;amp; names later! Wow! Love seeing her bad girl c…</t>
  </si>
  <si>
    <t>@faithzp1 I am a bethanny fan, and your right, LVP is no match for BF.</t>
  </si>
  <si>
    <t>@real_tea_time Did I hear Kyle right? She said her purse couldn’t get any rain on it, is it a melting purse? 🤷🏻‍♀️</t>
  </si>
  <si>
    <t>@marilyngho LVP has some kind of allegiance with pk the 🐷, which I’m not sure why especially to this degree.</t>
  </si>
  <si>
    <t>RT @toxicberry: #RHOBH I want to rip Doritos wig off!! And Lisa V is a bitch! Kyle is right Lisa treats Kyle differently.</t>
  </si>
  <si>
    <t>RT @eesirenee: I’m working on my Dorit impression. So far it includes never shutting up and ignoring my children. Now all I need is a sweat…</t>
  </si>
  <si>
    <t>@eesirenee A sweaty fat husband!</t>
  </si>
  <si>
    <t>RT @shauntrott88: @TeddiMellencamp brings a fresh honest and loyal feel to #RHOBH. @Andy keep her signed up for more seasons. It’s a must!!…</t>
  </si>
  <si>
    <t>RT @GoldsGossip: I say this eeevvverrryyyweeekkk, but Dorit irks my existence! She's the reason why girls start hating other girls. #RHOBH</t>
  </si>
  <si>
    <t>RT @Mofochronicles: I only watched part of #RHOBH and I do know this.. DORIT CAN GO. #olemessyass https://t.co/8NzkHq0OeA</t>
  </si>
  <si>
    <t>@mamecastle This is what makes me wonder how much of this is staged and planned. Like ok dorit, you will be the center of attention, but you have to be the bad guy. I just can’t see a level headed person being so unaware of how much of a jerk they look like.</t>
  </si>
  <si>
    <t>@RealitySweets  https://t.co/RWotCwL6zk</t>
  </si>
  <si>
    <t>RT @LoAndBeholdMe: WTF is Dorit wearing in the Park? Is that Kanye’s weezy crap?
All she needed was a fifth of gin in a paper bag.
#RHOBH</t>
  </si>
  <si>
    <t>I’m trying to think back to the first time i started watching Real HW’s, it was rhoc, it was more about real women and their real lives. It’s gotten so over blown https://t.co/N7K7IPjy0F wasn’t divas with their own glam squads trying to outdo the others.#rhobh</t>
  </si>
  <si>
    <t>@Travvie_Dearest @mamecastle You would think so, she is a monster in the making, completely full of herself and self absorbed.</t>
  </si>
  <si>
    <t>Dorito can’t stand it if she’s not the center of attention All the time.#rhobh</t>
  </si>
  <si>
    <t>RT @mamecastle: Summary of Dorit's talk with LVP:
Choke
Allude to talking shit
Backtrack
Lie
Lie
Lie
Tell half truth
Lie
Blame Kyle
Big hug…</t>
  </si>
  <si>
    <t>RT @ssb73: @Andy @doritkemsley1 @KatyEMixon Thanks for the heads up so I don't watch #wwhl tonight #too much dorit</t>
  </si>
  <si>
    <t>@burtonkim76133 Yeah, that pig man means something to her. Go figure 🤷🏻‍♀️. https://t.co/R8NV5Vlyks</t>
  </si>
  <si>
    <t>RT @0406Guno: LOL #Periscope: #CloserNation #EggDrp #GoLive  #Trump #MAGA #News  #Olympics #PyeongChang2018 #TwitterLockOut #RHOBH https://…</t>
  </si>
  <si>
    <t>Loved seeing Sam from general hospital on #wwhl last night, took the sting out of andy not calling dorito out on any of her Fake BS.#rhobh</t>
  </si>
  <si>
    <t>@bravoviewer @doritkemsley1 When I think of a queen,  her fake ass is not it.</t>
  </si>
  <si>
    <t>RT @soneil4336: @AmyPhillips_ Will Dorit please stop referring to her “laser focus?” She’s the most scattered person around! #RHOBH</t>
  </si>
  <si>
    <t>RT @doritokemsley1: #RHOBH https://t.co/IqaiKO2O2m</t>
  </si>
  <si>
    <t>RT @HWObsessed: Dorit vs Erika
Dorit vs Lisa Rinna
Dorit vs Eileen
Dorit vs Teddi
Dorit vs Kyle
Dorit vs LVP (behind her back)
-What is the…</t>
  </si>
  <si>
    <t>@doritokemsley1 @ErnieMcGheepers We’ve got your number dorito, your not as smart as you think you are.</t>
  </si>
  <si>
    <t>RT @RothweilerEvent: @doritokemsley1 @ErnieMcGheepers You rolled your eyes so hard it almost fell off? Off what? Do you mean out? And "it"?…</t>
  </si>
  <si>
    <t>@TheRealCamilleG The only thing dorit is good at is spending money, lying 🤥, 💩 stirring, being pretentious, fake and obnoxious, did I say spending  💰?</t>
  </si>
  <si>
    <t>@FitByGayle @TheRealCamilleG Or with LVP</t>
  </si>
  <si>
    <t>@katiegirl29 @TheRealCamilleG Someone needs to call out the worlds most obnoxious housewife, talk about entitlement and fake, she is dripping in it.</t>
  </si>
  <si>
    <t>@declanjjfarrell @TheRealCamilleG The word mistakes is being far too kind for dorito, she’s pretty much a deliberate A ⭕️.</t>
  </si>
  <si>
    <t>RT @FoxNews: "You have a job to do, and that's your job." - Medal of Valor recipient Deputy Shaun Wallen describes the day he went "above a…</t>
  </si>
  <si>
    <t>RT @AMccloggan01: @BlueSea1964 @FCC @FTC @USAGSessions @CommerceGov @AjitPaiFCC @DOJgov I am disgusted and outraged.
@Twitter @TwitterSuppo…</t>
  </si>
  <si>
    <t>RT @DineshDSouza: Adults 1, kids 0 https://t.co/24iqKtnTxy</t>
  </si>
  <si>
    <t>RT @TT45Pac: House Republicans launch ‘Phase 2’ of probe into unverified anti-Trump dossier https://t.co/PtJEfTr001</t>
  </si>
  <si>
    <t>RT @guardian: 'These people forget 48% voted remain': your best comments today https://t.co/ZllCVJFXW4</t>
  </si>
  <si>
    <t>RT @FreeMediaUS: @BlueSea1964 @FCC @FTC @USAGSessions @CommerceGov @AjitPaiFCC @DOJgov I was locked out! I lost 1,000+ followers and appare…</t>
  </si>
  <si>
    <t>RT @PhilMcCrackin44: How is it possible that talentless, Liberal blow hard @JoyVBehar still has a job ?
@ABC will pay dearly by hanging on…</t>
  </si>
  <si>
    <t>RT @Trumpism_45: You realize what just happened is we were all locked out to ensure that every  Trump supporter has a verified American pho…</t>
  </si>
  <si>
    <t>RT @PhilMcCrackin44: As you all know by now, Conservative accounts were ransacked overnight by the Twitter geniuses.
I personally lost ove…</t>
  </si>
  <si>
    <t>RT @Trey_VonDinkis: #TwitterFascists #TwitterLockout 🔐
What's the Takeaway from the Twitter Lockout??
✴️The Left is LOSING. 
They have NO…</t>
  </si>
  <si>
    <t>RT @BlueSea1964: 🚨 Censored, Why?
4K Gone For No Reason!
Just Cause We Are Conservatives Doesn't Make Us  "BOTS" #TwitterLockOut 
Conserva…</t>
  </si>
  <si>
    <t>RT @FiveRights: #TwitterLockOut
I lost over 3,000 followers.
What the hell is going on here?</t>
  </si>
  <si>
    <t>RT @REALtrumpbureau: HI FRIENDS!
WE WILL PREVAIL ! 
WE JUST GOT LOUDER YOU "*%&amp;amp;+ING" #JACKWAGONS! 
#TwitterLockOut #TwitterPurge #TwitterTw…</t>
  </si>
  <si>
    <t>RT @RealSaavedra: BOMBSHELL REPORT: Twitter Employees Admit To Censoring Conservatives, Banning Them For Political Reasons #TwitterLockOut…</t>
  </si>
  <si>
    <t>RT @1776Stonewall: Don't forget 8 Twitter employees were caught on video admitting they shadowbanned conservatives during the election. The…</t>
  </si>
  <si>
    <t>RT @RubyRockstar333: #TwitterLockOut
@TwitterSupport 
2500 followers down overnight &amp;amp; showing I'm following 0️⃣ ???? 
Get it together, Twit…</t>
  </si>
  <si>
    <t>RT @bsgirl2u: Censored now?👇
2.2k GONE #TwitterLockOut
@jack @Twitter @TwitterSupport TWEET DELETED‼️
Conservatives losing followers everyw…</t>
  </si>
  <si>
    <t>RT @DeborahRogan: @w_terrence @TrainmanDave @Twitter I just lost 1,000 followers. Literally. About 20 people followed me, and then BAM! @Tw…</t>
  </si>
  <si>
    <t>RT @SarahSaysS0: “Bring my career into it all you want. I’m not taking new clients.” 
Yaaassss, Teddi! 😂😂😂 #RHOBH https://t.co/r6l1QzDRrE</t>
  </si>
  <si>
    <t>RT @Mickey_Van_D: I am sorry...but Dorit is...
#RHOBH https://t.co/x5zObt1lrr</t>
  </si>
  <si>
    <t>RT @Ramotional: It feels like Dorit has been talking for 4 months straight #rhobh</t>
  </si>
  <si>
    <t>RT @JulieRinozzi: Camille is going after Dorit and I’m loving it. #RHOBH https://t.co/wBcMvRRMw7</t>
  </si>
  <si>
    <t>@phonehawk11 @doritkemsley1 @KyleRichards @LisaVanderpump @TheRealCamilleG @erikajayne If andy’s askingv the questions, don’t hold your breath.</t>
  </si>
  <si>
    <t>@halisam11 @BravoWWHL @KatyEMixon @doritkemsley1 @Andy Narcissistic ppl are mot capable of that.</t>
  </si>
  <si>
    <t>@RichStevie @BravoWWHL @KatyEMixon @doritkemsley1 @Andy Or charity atleast.</t>
  </si>
  <si>
    <t>@BravoWWHL @KatyEMixon @doritkemsley1 @Andy Anytime i ever give Andy a chance to do his job, he fails miserably, he never questions  any of these A ⭕️ HW, he only goes after ppl that are trying to do good on this world.</t>
  </si>
  <si>
    <t>@BravoWWHL @KatyEMixon @doritkemsley1 @Andy Where is she getting all this money to blow on the most obnoxious things? What’s up with the fake accent, hair etc, why doesn’t she take care of her own kids? How often does she take care of her own kids?</t>
  </si>
  <si>
    <t>@Rosejos52141279 Totally kissing her ass, like he does all the other a-⭕️ housewives, he’s not very good at this.</t>
  </si>
  <si>
    <t>@Rosejos52141279 If dorito would just acknowledge and own anything, I might be able to take her serious. Right now she is nothing but a joke.</t>
  </si>
  <si>
    <t>@Rosejos52141279 Watching, we’ll see</t>
  </si>
  <si>
    <t>@MyRealityTyme @LoveAndyC Have you ever asked dorito about her fake accent, I would love to hear her answer.</t>
  </si>
  <si>
    <t>@LoveAndyC Ask this house wife from hell the real questions andy, stop coddling them. You will still get your ratings but you need to start gaining some respect.</t>
  </si>
  <si>
    <t>I just hope Andy doesn’t handle dorito tonight with kid gloves like he does all of the other problem children on housewives.#WWHL</t>
  </si>
  <si>
    <t>@TheRealCamilleG Camille, what is the deal? Dorit is clueless, does she seriously not get what a self absorbed  A ⭕️ she looks like yet?</t>
  </si>
  <si>
    <t>RT @NicoleNesbitt10: Yeah Scheana you love Rob's dick.... surprise,surprise!!! You like everything! Now Shut up!#PumpRules #VanderpumpRules…</t>
  </si>
  <si>
    <t>@badgaliris78 @Bravotv It’s an honest job, not bad money and it’s steady, I don’t call that a loser.</t>
  </si>
  <si>
    <t>@Ebs_in_NY She can do waaaaaaay better than douchey bun man.</t>
  </si>
  <si>
    <t>RT @jacobjacobinn: Scheana you are so delusional... Go home stupid. #VanderpumpRules @Andy @Bravotv</t>
  </si>
  <si>
    <t>RT @SaltyyMarri: Why is Raquel not doing anything? She legit just wants to be on the show that’s why she lets James act however he wants #v…</t>
  </si>
  <si>
    <t>RT @pwilks61: Could someone do me a favor and smack that fake valley girl accent out of Scheana’s mouth?! She is just so extra. And then sh…</t>
  </si>
  <si>
    <t>@sydieee_  https://t.co/i3EKCwU4Zf</t>
  </si>
  <si>
    <t>RT @sydieee_: Scheana is so bothersome. like gets some life goals of your own and stop living vicariously through our married and wealthy “…</t>
  </si>
  <si>
    <t>OMG, how can rob stand scheana? So clingy, so desperate. #vanderpumprules</t>
  </si>
  <si>
    <t>@badgaliris78 Can you blame him?</t>
  </si>
  <si>
    <t>@aalewinebrown @lucky_mom_of2 Interesting point</t>
  </si>
  <si>
    <t>Everything about scheana is really annoying, her fingernails, 😬😬😬. That squeaky valley girl voice....#vanderpumprules https://t.co/G17mA3UmQn</t>
  </si>
  <si>
    <t>RT @mike_Zollo: On this #PresidentsDay2018 we must recognize how truly blessed we are to have Donald Trump as our President. 
God Bless Am…</t>
  </si>
  <si>
    <t>RT @JohnTDolan: Elitist David Letterman conducted an interview with Barack Obama in which Barry said "Anyone who watches FoxNews is from an…</t>
  </si>
  <si>
    <t>RT @mrswineaux61: 💥I wish the FBI was half as good at protecting school kids as they are at protecting Clinton and Obama💥</t>
  </si>
  <si>
    <t>RT @GrizzleMeister: Glad to see you put on your big boy britches .@marcorubio https://t.co/lirFQmePrf</t>
  </si>
  <si>
    <t>RT @RavenHawk4: Whoops! Mueller’s Indictments BACKFIRE, Exposing ANOTHER Massive Obama Failure
 https://t.co/z4zScekBMI</t>
  </si>
  <si>
    <t>RT @Thomas1774Paine: The FBI looks like the Federal Bureau of Incompetence after ignoring warning about Florida gunman. https://t.co/bmz15a…</t>
  </si>
  <si>
    <t>RT @PoliticallyRYT: Watters' Words: Lies and warning signs by @JesseBWatters: 
- 18 school shootings in 2018
- Shooter was member of Whit…</t>
  </si>
  <si>
    <t>@housewivesguy @carlradke @scheana Figures🙄</t>
  </si>
  <si>
    <t>@Travvie_Dearest @amandabatula_ He’s a pig</t>
  </si>
  <si>
    <t>@ashleynwirkus Very immature.</t>
  </si>
  <si>
    <t>@ToryBanknell Danielle is meddling and out of line. It has nothing to di with her.</t>
  </si>
  <si>
    <t>@1ChiefRocka She didn’t,</t>
  </si>
  <si>
    <t>@candygirl1071 @laurenwirkus That’s not what was going on, his ex girlfriend was harassing lauren about her relationship with carl every chance she got. They felt it was more carls place to ask her to mind her own business, I agree.</t>
  </si>
  <si>
    <t>RT @Education4Libs: What’s everyone up to?
I’m watching Netflix, drinking a Bloody Mary, and getting ready for bed soon.
Would anyone I’m…</t>
  </si>
  <si>
    <t>RT @polishprincessh: Their blame is misplaced.
The school knew there was a problem. Police went to shooter house 36 times. FBI knew month i…</t>
  </si>
  <si>
    <t>RT @fnick628: @katzoecat @Alyssa_Milano @jimmykimmel You're out of your mind he doesn't even do his own show he has writers what and people…</t>
  </si>
  <si>
    <t>RT @TuckerCarlson: Every decent person is horrified by what happened yesterday in Parkland. Every thoughtful person knows something horribl…</t>
  </si>
  <si>
    <t>RT @MartyNUNN2: @StarOfDavidArms @kendylei @Blondi1210 And....training camps that no one does anything about and calls us a kook for bringi…</t>
  </si>
  <si>
    <t>@Gee_kmm I could not agree more.</t>
  </si>
  <si>
    <t>RT @Gee_kmm: @kendylei Absolutely. People are apprehensive due to injustices in the past and personal privacy laws, but until we grapple wi…</t>
  </si>
  <si>
    <t>@AFishingGoddess Even if they did, LE’s hands are tied for the most part, laws need to be changed to give LE and the families of mentally ill  more control over their well being.</t>
  </si>
  <si>
    <t>@Gee_kmm That is a serious problem that I wish would be taken a whole lot more serious. There’s not alot of resources or answers for mental illness.</t>
  </si>
  <si>
    <t>RT @WalshFreedom: You want something/someone to blame for the shooting at Stoneman Douglas in Parkland, Florida?
1) Blame Nicolas Cruz, a…</t>
  </si>
  <si>
    <t>@King_Edogaa STFU</t>
  </si>
  <si>
    <t>RT @carabeni: BREAKING=&amp;gt; THE DERANGED INSTAGRAM ACCOUNTS OF FL. SHOOTER NICOLAS CRUZ https://t.co/atEJ8M7Lj8</t>
  </si>
  <si>
    <t>@KamVTV 🙏🏻🙏🏻 for the the victims and their families.</t>
  </si>
  <si>
    <t>RT @PrimoPolls: What is the best way to stop school shootings like the one today in Florida?</t>
  </si>
  <si>
    <t>RT @SBelle1950: "Adam Schiff Confirms Democratic Memo Contains ‘Sources and Methods’"
⚡️"California Democrat Rep. Adam Schiff confirmed tha…</t>
  </si>
  <si>
    <t>RT @StephenMilIer: Elizabeth Warren's connection to Native Americans is as strong as Trump's connection to Russians.</t>
  </si>
  <si>
    <t>@NevadaJack2 😥, keeping his family in my ❤️ and 🙏🏻.</t>
  </si>
  <si>
    <t>RT @joel_capizzi: I DEMAND justice for patriot Michael Flynn.
“Could this provide General Flynn with factual grounds of which he was previ…</t>
  </si>
  <si>
    <t>RT @carrieksada: Cue up drama queen @ShepNewsTeam reading all the high schools where shootings took place. Maybe if some of those teachers…</t>
  </si>
  <si>
    <t>RT @Smartassy4now: BREAKING:  A Judge Just Ordered Bill Clinton Docs Unsealed https://t.co/rHD2X02n68
Pass the popcorn this is going to be…</t>
  </si>
  <si>
    <t>@StarOfDavidArms @MartyNUNN2 @Blondi1210 Your preaching to the choir, my husband is a LEO fighting these threats every day. I get it. I Have faith amd trust for LE and our president, and feel very strongly about taking our country back.</t>
  </si>
  <si>
    <t>RT @rsienkiewicz: Americans outraged with this blatant disregard for the truth. This does not compromise anything other than the Democrats…</t>
  </si>
  <si>
    <t>RT @rsienkiewicz: This should be a mandatory video that every @NFL player has to watch as a condition of employment. Anti-American feckless…</t>
  </si>
  <si>
    <t>RT @rsienkiewicz: Proud American. Proud of my country unapologetically. Proud of my President. Proud to be a deplorable. Proud to take our…</t>
  </si>
  <si>
    <t>@MartyNUNN2 @StarOfDavidArms @Blondi1210 Not disagreeing, you just gotta be a little careful on social media.</t>
  </si>
  <si>
    <t>@nypost Oh honey, put those saggy things away already and stop embarrassing yourself. 🤦🏻‍♀️</t>
  </si>
  <si>
    <t>RT @TomFitton: Obama's Watergate? Obama smack dab in middle of Clinton Dossier scandal. What did he know and direct about the abuses of pow…</t>
  </si>
  <si>
    <t>RT @DrMartyFox: Judge Blocks #PresidentTrump From Rescinding #DACA 
Why Do We Allow Lawless Activist Judges To Force Us To Continue An Oba…</t>
  </si>
  <si>
    <t>RT @Lost_Literati: @StarOfDavidArms @bountytx  https://t.co/6GjvynDRgv</t>
  </si>
  <si>
    <t>@MartyNUNN2 @StarOfDavidArms @Blondi1210 It was an arbitrary poll and question.  A big what if ? No one is threatening any violence with any weapons. Relax people.</t>
  </si>
  <si>
    <t>RT @IllegalTroy: @StarOfDavidArms @twitlofsky The sicko libs are too scary. I heard they're gonna throw poop at every white person. Count m…</t>
  </si>
  <si>
    <t>RT @dls58: @StarOfDavidArms @Navyvet270 UR welcome is saying I welcome anyone legally. If it comes down to a civil war, I am always prepare…</t>
  </si>
  <si>
    <t>RT @dls58: @StarOfDavidArms @Navyvet270 I want a peaceful #USA as I'm sure all American patriots want. The only thing is we want it done le…</t>
  </si>
  <si>
    <t>RT @StarOfDavidArms: This poll has broke 1K votes in 3 days with 3.5 says left let's see if we can break 2K before it ends.</t>
  </si>
  <si>
    <t>RT @StarOfDavidArms: I am very heartened by the amount of votes and Retweets this poll has gotten. I want to thank everyone that has voted,…</t>
  </si>
  <si>
    <t>RT @StarOfDavidArms: Please RT this poll if you voted on it, I really want to get a lot of votes so I can get a clear picture of what the p…</t>
  </si>
  <si>
    <t>RT @StarOfDavidArms: The Democrats have declared civil war against Trump and his followers, if it comes down to a physical battle will you…</t>
  </si>
  <si>
    <t>RT @USAneedsTRUMP: This is exactly why we need more armed security guards in our schools to protect our children. There would never be 20-5…</t>
  </si>
  <si>
    <t>RT @Lrihendry: Democrats first booed God, now they are mocking God! The View’  Joy Behar mocked Mike Pence’s Christian faith saying ‘That’s…</t>
  </si>
  <si>
    <t>RT @watspn1013: Liberal billionaire George Soros, cofounder of the Democracy Alliance, initially cut a $3 million check to the PAC and was…</t>
  </si>
  <si>
    <t>RT @KatTheHammer1: "The paradox of liberal tolerance is that it extends to Marxists, transsexuals, and Islamic radicals, but not to conserv…</t>
  </si>
  <si>
    <t>@Philip_DT @jaketapper @StormyDaniels Your more interested in a story about a hooker that Trump may or may not have banged over a decade ago ?  Really??</t>
  </si>
  <si>
    <t>@mixitwithtom207 @wtighec @jaketapper @StormyDaniels Hopefully they will finally lock her and her cronies up where they belong.</t>
  </si>
  <si>
    <t>@wtighec @jaketapper @StormyDaniels Thank you, I was waiting for a little common sense.</t>
  </si>
  <si>
    <t>RT @wtighec: @jaketapper @StormyDaniels Who cares! This country is floundering in debt and Congress is full of assholes, and you care about…</t>
  </si>
  <si>
    <t>RT @tacman425: @jaketapper @StormyDaniels Oh my!! A married man had an affair in which he had to pay off his mistress. There's always a fir…</t>
  </si>
  <si>
    <t>@dpmorrow @jaketapper @StormyDaniels I’m pretty sure it’s the latter. The left has shown they will pay anyone any amount of money for made up BS stories.</t>
  </si>
  <si>
    <t>RT @ShootItGonchar: @jaketapper @StormyDaniels Is there a word or phrase for simultaneously laughing and vomiting?  Laumiting?  Up chucklin…</t>
  </si>
  <si>
    <t>@KashimTenshi @HoffmanlLisa @lexsion @jaketapper @StormyDaniels @renato_mariotti @chrislhayes @ChrisCuomo @EdKrassen @ProudResister @kylegriffin1 @funder @SethAbramson @JoyAnnReid @TeaPainUSA @RVAwonk @RepAdamSchiff @BanditRandom @washingtonpost @CNN And who cares what some desperate sleezy porn hag is being paid for.</t>
  </si>
  <si>
    <t>RT @PaulMBourdett: @trytotakethem @AMuller65 @jaketapper @StormyDaniels Before I block you for name-calling, let's be clear: I wasn't compa…</t>
  </si>
  <si>
    <t>RT @AMuller65: @jaketapper @StormyDaniels Who the F cares about an affair had with a porn star 12 years ago? He was a private citizen. BJ B…</t>
  </si>
  <si>
    <t>@seravenscroft @K733Boogie @Shandy556 @LnTarmaye @jaketapper @StormyDaniels It’s not a story at all, another ploy by pathetic liberals who have tried EVERYTHING in the book OVER and OVER thinking they are going to destroy our president and get rid of him. It’s their obsession, they don’t give 2 💩’s about what happens in this country.🤬</t>
  </si>
  <si>
    <t>RT @K733Boogie: @Shandy556 @LnTarmaye @jaketapper @StormyDaniels But you are o.k. with Clinton paying off someone he raped.   That is why n…</t>
  </si>
  <si>
    <t>RT @mamadaballs: Should have kept his mouth shut, instead of creating the attention in the 1st plaxe.  Olympic Skater Adam Rippon: 'I Don't…</t>
  </si>
  <si>
    <t>RT @LeslieMaiko: Agreed! #AdamRippon is an embarrassing, pathetic, petulant little child. Save the #VirtueSignaling slobber for your #SafeS…</t>
  </si>
  <si>
    <t>RT @LadyConserv: Bristol Palin slams Adam Rippon for Mike Pence attack
 https://t.co/uU3RmxLiT4</t>
  </si>
  <si>
    <t>RT @cochinalatina: Perhaps Adam Rippon should've focused more on his routine and less on Mike Pence.  #OlympicGames2018 https://t.co/ZBj17V…</t>
  </si>
  <si>
    <t>RT @rsienkiewicz: BACKFIRE: Gay Olympian Adam Rippon @Adaripp Who Insulted Mike Pence Now Regrets His Dumb Decision. Newsflash punk, Americ…</t>
  </si>
  <si>
    <t>@ProudResister @mike_pence @Adaripp 🤢🤮</t>
  </si>
  <si>
    <t>@SafetyPinDaily  https://t.co/E6aND8tfFZ</t>
  </si>
  <si>
    <t>RT @Newsweek: Donald Trump Jr. blasts American Olympian Adam Rippon over Mike Pence Drama https://t.co/RMIoWm2gq9 https://t.co/CCQPDaJ4wN</t>
  </si>
  <si>
    <t>RT @nypost: The president's son slammed the openly gay Olympian for his comments on Mike Pence https://t.co/dEIveQUsBP</t>
  </si>
  <si>
    <t>RT @cbrennansports: VP Mike Pence was so stung by Adam Rippon’s criticism that he tried to set up a conversation with him. Not backing down…</t>
  </si>
  <si>
    <t>RT @Thomas1774Paine: Olympic Skater Adam Rippon: ‘I Don’t Want My Olympic Experience to Be About Mike Pence’ (VIDEO) https://t.co/84l7EshjQG</t>
  </si>
  <si>
    <t>RT @CarmineSabia: Whoopi Goldberg compared Olympian Adam Rippon talking to Vice President Mike Pence to a Jewish person talking to a Nazi.…</t>
  </si>
  <si>
    <t>RT @Education4Libs: Olympian Adam Rippon doesn’t want the Olympics to be about Mike Pence.
He wants it to be about his gayness and his nee…</t>
  </si>
  <si>
    <t>RT @MarkRuffalo: Happy Valentine’s Day, lovers.</t>
  </si>
  <si>
    <t>RT @President1Trump: .@POTUS Military Parade 🇺🇸 could cost anywhere between $10 and $30 million! It’s worth every penny, he has saved our c…</t>
  </si>
  <si>
    <t>RT @WiredSources: BREAKING: President Trump endorses Grassley DACA bill which fully funds the border wall, ends chain migration and visa lo…</t>
  </si>
  <si>
    <t>RT @_ROB_29: Tucker Carlson: Obama viewed Trump  "a traitor a spy" 
Obama wanted to hide Intel from a Democratically elected @POTUS
they…</t>
  </si>
  <si>
    <t>RT @TruthMatters13: Why isn't  Joy Behar making light of the Muslim Religion?  
She sure is brave enough to make fun of our Vice President…</t>
  </si>
  <si>
    <t>RT @benshapiro: Actually, he likes to make fun of you for faking your Native American heritage. Stop using Native Americans as human shield…</t>
  </si>
  <si>
    <t>RT @TuckerCarlson: The Steele dossier is absurd. Take 10 minutes &amp;amp; read it yourself. It's online. Ask yourself as you do: who would believe…</t>
  </si>
  <si>
    <t>RT @DineshDSouza: The Left is furious that @realDonaldTrump wants to limit food stamps to the purchase of food—no more trading them for boo…</t>
  </si>
  <si>
    <t>RT @AllCelebPolls: So @PeggySulahian has officially announced her exit from #RHOC! Are you going to miss Peggy? @Bravotv @Andy @evolutionus…</t>
  </si>
  <si>
    <t>RT @MorvantCheryl: California High School bans “offensive” national anthem https://@NancyPelosi Americans are Tired Of your Crap. Step Down…</t>
  </si>
  <si>
    <t>RT @IamDannyGraves: Omfg yasssss I'm SO happy to hear that Bible basher Lydia quit #RHOC on Friday 😍😍 now that News has defo started my wee…</t>
  </si>
  <si>
    <t>I didn’t think this was a new development with Lydia and Peggy “ leaving “, like they made the decision. I thought bravo had already made that decision months ago.#rhooc</t>
  </si>
  <si>
    <t>@MayraGutiarin Me too, but I’m confused, I thought it was decided months ago by bravo that they wouldn’t be returning.</t>
  </si>
  <si>
    <t>RT @befunky: Happy #ValentinesDay 😍 ❤️ https://t.co/V0eSgJefj7</t>
  </si>
  <si>
    <t>Peggy Sulahian Is Leaving the ‘Real Housewives of Orange County’
https://t.co/AI6b3wvhFY
Shared from my Google feed</t>
  </si>
  <si>
    <t>@lavitaebella853 🤔 interesting.</t>
  </si>
  <si>
    <t>@Meadow99050889 Hopefully they are prescribed to her, I wouldn’t have thought she was adh,but apparently so. Guess her medicine is working.</t>
  </si>
  <si>
    <t>@vanesstvlvr I admire her courage to face her trauma and fears head on .</t>
  </si>
  <si>
    <t>@therealsusanq I can’t wait to show this to my husband, we can’t thank you enough for your support. My name is actually kendy leigh. Thank you again and please stay safe and God Bless. https://t.co/11Nl1KlqVz</t>
  </si>
  <si>
    <t>@Adaripp I just have to say, not that my 2 cents matter, but I’m adding it anyway. I have no problem whatsoever about his sexual preference, it just doesn’t matter to me. What I do have a problem with is when public figures go out of their way to disrespect POTUS or the Vice President.</t>
  </si>
  <si>
    <t>@therealsusanq Thank you for your kind words, God bless you. It’s a crazy world we live in these days, LE has been taking a beating but they have been rising above it and doing the job that needs to be done. Your words brought tears to my eyes. Thank you for your support for LEO❤️</t>
  </si>
  <si>
    <t>https://t.co/OXtHyTpZel</t>
  </si>
  <si>
    <t>RT @boomer78910: @steph93065 @TuckerCarlson DACA ILLEGALS:  33 pounds of fentanyl – enough to wipe out Massachusetts – seized in Boston.  O…</t>
  </si>
  <si>
    <t>RT @MinnPatriot: Besides a meteor nothing #CouldBeatTrumpIn2020
People are so dead set on hating President Trump they refuse to look at ho…</t>
  </si>
  <si>
    <t>RT @Novafan23: @GrobaniteMuppet @MinnPatriot Yes. This Middle Class worker just got 5% extra in her paycheck thanks to lower withholding BE…</t>
  </si>
  <si>
    <t>RT @Education4Libs: Let’s get this straight.
Protests in the streets against Trump.
Fine.
Protests in the streets against abortion.
Fin…</t>
  </si>
  <si>
    <t>RT @Education4Libs: PLEASE HELP.
I started a petition to look into Hillary’s case - deleting 33k emails &amp;amp; lying to the FBI.
150 signature…</t>
  </si>
  <si>
    <t>RT @dbongino: The media are panicking because they’re desperate to cover up their role in the spying scandal. It was timed, strategic, medi…</t>
  </si>
  <si>
    <t>RT @ChrystiTaylor: #ThingsThatPushMyButton Hillary's Russian Collusion. https://t.co/VtcYYCOjpx</t>
  </si>
  <si>
    <t>RT @JackPosobiec: To be clear, the Left is yelling ‘never politicize a Gold Star family!’ as they attack John Kelly today</t>
  </si>
  <si>
    <t>RT @PoliticalShort: Why is North Korean propaganda being pushed by NBC, CNN, &amp;amp; WaPo? https://t.co/YHrzgID7V1</t>
  </si>
  <si>
    <t>RT @Angel77904: Hmmmm. 
So he can commit violence, but takes a knee due to police brutality?
The irony of The whole " Do as I say, not as…</t>
  </si>
  <si>
    <t>RT @mike_Zollo: Wait, let me get this straight. Michael Wolff admits he lied about Donald Trump, made up stories about him, smeared him lik…</t>
  </si>
  <si>
    <t>@neetfour Exactly!!</t>
  </si>
  <si>
    <t>So what is the deal with kenya’s husband, is she really married? The whole situation is so bizarre.#RHOA</t>
  </si>
  <si>
    <t>I think the other ladies instincts are spot on about will. Hopefully cynthia will get rid of him.#RHOA</t>
  </si>
  <si>
    <t>RT @DonaldJTrumpJr: Just when you think the Derangement can’t get any worse... https://t.co/kPwKZj8DEo</t>
  </si>
  <si>
    <t>RT @MAGAGwen: "Record $135 billion a year for illegal immigration, average $8,075 each, $25,000 in NY."~@dcexaminer 
✳️Next week Mitch McC…</t>
  </si>
  <si>
    <t>RT @thebradfordfile: I am officially adding a taco bowl at Trump Tower Grill to my bucket list. 😎 https://t.co/OC3N8gyt9t</t>
  </si>
  <si>
    <t>RT @michaelbeatty3: The faces you make when you're
still waiting on that imminent impeachment thing🤣 https://t.co/sC70LQwrcT</t>
  </si>
  <si>
    <t>RT @clayfeathers: Surprised? Naw....  
#SundayMotivation. #BuildTheWall
👇👇👇👇👇👇
REPORT: DACA 'Dreamer' Wanted for Alleged Murder of Texas St…</t>
  </si>
  <si>
    <t>RT @gaye_gallops: WHO WANTS TO CRY?... TWINS ONE HEALTHY ONE STRUGGLING... SEPARATED THEN PLACED TOGETHER...THE STONG EMBRACED THE WEAK AND…</t>
  </si>
  <si>
    <t>RT @Thomas1774Paine: ‘I’m Going to Kill More Cops Soon’: Undocumented Immigrant Smiled After Guilty Verdict Was Delivered (VIDEO) https://t…</t>
  </si>
  <si>
    <t>RT @FoxNews: .@TomiLahren on the impact of technology on jobs: "What I say to workers is, when you're out there demanding a $15 minimum wag…</t>
  </si>
  <si>
    <t>RT @Thomas1774Paine: Fusion GPS Founders Rat Out John McCain; Admit They Helped Get Bogus Trump Dossier Into McCain’s Hands https://t.co/aF…</t>
  </si>
  <si>
    <t>RT @Thomas1774Paine: WATCH: MSNBC Commentator Accuses Donald Trump of Being the ‘Commander-In-Chief’ of ‘Rape Culture’ https://t.co/ulS37Y1…</t>
  </si>
  <si>
    <t>RT @Education4Libs: Over 5000 signatures in the first 48 hours!!
It is now the highest active petition on the government homepage.
WE CAN…</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</si>
</sst>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3162"/>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HYPERLINK("http://www.twitter.com/NathanBLawrence/status/1001598919330148352", "1001598919330148352")</f>
        <v/>
      </c>
      <c r="B2" s="2" t="n">
        <v>43249.95792824074</v>
      </c>
      <c r="C2" t="n">
        <v>3</v>
      </c>
      <c r="D2" t="n">
        <v>0</v>
      </c>
      <c r="E2" t="s">
        <v>13</v>
      </c>
      <c r="F2" t="s"/>
      <c r="G2" t="s"/>
      <c r="H2" t="s"/>
      <c r="I2" t="s"/>
      <c r="J2" t="n">
        <v>-0.8193</v>
      </c>
      <c r="K2" t="n">
        <v>0.399</v>
      </c>
      <c r="L2" t="n">
        <v>0.542</v>
      </c>
      <c r="M2" t="n">
        <v>0.059</v>
      </c>
    </row>
    <row r="3" spans="1:13">
      <c r="A3" s="1">
        <f>HYPERLINK("http://www.twitter.com/NathanBLawrence/status/1001598492043857920", "1001598492043857920")</f>
        <v/>
      </c>
      <c r="B3" s="2" t="n">
        <v>43249.95674768519</v>
      </c>
      <c r="C3" t="n">
        <v>0</v>
      </c>
      <c r="D3" t="n">
        <v>0</v>
      </c>
      <c r="E3" t="s">
        <v>14</v>
      </c>
      <c r="F3" t="s"/>
      <c r="G3" t="s"/>
      <c r="H3" t="s"/>
      <c r="I3" t="s"/>
      <c r="J3" t="n">
        <v>-0.2732</v>
      </c>
      <c r="K3" t="n">
        <v>0.248</v>
      </c>
      <c r="L3" t="n">
        <v>0.584</v>
      </c>
      <c r="M3" t="n">
        <v>0.168</v>
      </c>
    </row>
    <row r="4" spans="1:13">
      <c r="A4" s="1">
        <f>HYPERLINK("http://www.twitter.com/NathanBLawrence/status/1001598364625010688", "1001598364625010688")</f>
        <v/>
      </c>
      <c r="B4" s="2" t="n">
        <v>43249.95640046296</v>
      </c>
      <c r="C4" t="n">
        <v>0</v>
      </c>
      <c r="D4" t="n">
        <v>1</v>
      </c>
      <c r="E4" t="s">
        <v>15</v>
      </c>
      <c r="F4" t="s"/>
      <c r="G4" t="s"/>
      <c r="H4" t="s"/>
      <c r="I4" t="s"/>
      <c r="J4" t="n">
        <v>-0.5859</v>
      </c>
      <c r="K4" t="n">
        <v>0.432</v>
      </c>
      <c r="L4" t="n">
        <v>0.5679999999999999</v>
      </c>
      <c r="M4" t="n">
        <v>0</v>
      </c>
    </row>
    <row r="5" spans="1:13">
      <c r="A5" s="1">
        <f>HYPERLINK("http://www.twitter.com/NathanBLawrence/status/1001598167752822784", "1001598167752822784")</f>
        <v/>
      </c>
      <c r="B5" s="2" t="n">
        <v>43249.95585648148</v>
      </c>
      <c r="C5" t="n">
        <v>1</v>
      </c>
      <c r="D5" t="n">
        <v>0</v>
      </c>
      <c r="E5" t="s">
        <v>16</v>
      </c>
      <c r="F5" t="s"/>
      <c r="G5" t="s"/>
      <c r="H5" t="s"/>
      <c r="I5" t="s"/>
      <c r="J5" t="n">
        <v>0</v>
      </c>
      <c r="K5" t="n">
        <v>0</v>
      </c>
      <c r="L5" t="n">
        <v>1</v>
      </c>
      <c r="M5" t="n">
        <v>0</v>
      </c>
    </row>
    <row r="6" spans="1:13">
      <c r="A6" s="1">
        <f>HYPERLINK("http://www.twitter.com/NathanBLawrence/status/1001597957156868096", "1001597957156868096")</f>
        <v/>
      </c>
      <c r="B6" s="2" t="n">
        <v>43249.95527777778</v>
      </c>
      <c r="C6" t="n">
        <v>1</v>
      </c>
      <c r="D6" t="n">
        <v>1</v>
      </c>
      <c r="E6" t="s">
        <v>17</v>
      </c>
      <c r="F6" t="s"/>
      <c r="G6" t="s"/>
      <c r="H6" t="s"/>
      <c r="I6" t="s"/>
      <c r="J6" t="n">
        <v>0</v>
      </c>
      <c r="K6" t="n">
        <v>0</v>
      </c>
      <c r="L6" t="n">
        <v>1</v>
      </c>
      <c r="M6" t="n">
        <v>0</v>
      </c>
    </row>
    <row r="7" spans="1:13">
      <c r="A7" s="1">
        <f>HYPERLINK("http://www.twitter.com/NathanBLawrence/status/1001597837535260672", "1001597837535260672")</f>
        <v/>
      </c>
      <c r="B7" s="2" t="n">
        <v>43249.95494212963</v>
      </c>
      <c r="C7" t="n">
        <v>0</v>
      </c>
      <c r="D7" t="n">
        <v>0</v>
      </c>
      <c r="E7" t="s">
        <v>18</v>
      </c>
      <c r="F7" t="s"/>
      <c r="G7" t="s"/>
      <c r="H7" t="s"/>
      <c r="I7" t="s"/>
      <c r="J7" t="n">
        <v>0.7556</v>
      </c>
      <c r="K7" t="n">
        <v>0.1</v>
      </c>
      <c r="L7" t="n">
        <v>0.628</v>
      </c>
      <c r="M7" t="n">
        <v>0.272</v>
      </c>
    </row>
    <row r="8" spans="1:13">
      <c r="A8" s="1">
        <f>HYPERLINK("http://www.twitter.com/NathanBLawrence/status/1001596852276428800", "1001596852276428800")</f>
        <v/>
      </c>
      <c r="B8" s="2" t="n">
        <v>43249.9522337963</v>
      </c>
      <c r="C8" t="n">
        <v>2</v>
      </c>
      <c r="D8" t="n">
        <v>1</v>
      </c>
      <c r="E8" t="s">
        <v>19</v>
      </c>
      <c r="F8" t="s"/>
      <c r="G8" t="s"/>
      <c r="H8" t="s"/>
      <c r="I8" t="s"/>
      <c r="J8" t="n">
        <v>0.3365</v>
      </c>
      <c r="K8" t="n">
        <v>0.068</v>
      </c>
      <c r="L8" t="n">
        <v>0.796</v>
      </c>
      <c r="M8" t="n">
        <v>0.136</v>
      </c>
    </row>
    <row r="9" spans="1:13">
      <c r="A9" s="1">
        <f>HYPERLINK("http://www.twitter.com/NathanBLawrence/status/1001595123141087233", "1001595123141087233")</f>
        <v/>
      </c>
      <c r="B9" s="2" t="n">
        <v>43249.9474537037</v>
      </c>
      <c r="C9" t="n">
        <v>0</v>
      </c>
      <c r="D9" t="n">
        <v>1</v>
      </c>
      <c r="E9" t="s">
        <v>20</v>
      </c>
      <c r="F9">
        <f>HYPERLINK("http://pbs.twimg.com/media/DeVl-JsU8AEyb-6.jpg", "http://pbs.twimg.com/media/DeVl-JsU8AEyb-6.jpg")</f>
        <v/>
      </c>
      <c r="G9" t="s"/>
      <c r="H9" t="s"/>
      <c r="I9" t="s"/>
      <c r="J9" t="n">
        <v>0</v>
      </c>
      <c r="K9" t="n">
        <v>0</v>
      </c>
      <c r="L9" t="n">
        <v>1</v>
      </c>
      <c r="M9" t="n">
        <v>0</v>
      </c>
    </row>
    <row r="10" spans="1:13">
      <c r="A10" s="1">
        <f>HYPERLINK("http://www.twitter.com/NathanBLawrence/status/1001594859701067776", "1001594859701067776")</f>
        <v/>
      </c>
      <c r="B10" s="2" t="n">
        <v>43249.94672453704</v>
      </c>
      <c r="C10" t="n">
        <v>1</v>
      </c>
      <c r="D10" t="n">
        <v>0</v>
      </c>
      <c r="E10" t="s">
        <v>21</v>
      </c>
      <c r="F10" t="s"/>
      <c r="G10" t="s"/>
      <c r="H10" t="s"/>
      <c r="I10" t="s"/>
      <c r="J10" t="n">
        <v>0</v>
      </c>
      <c r="K10" t="n">
        <v>0</v>
      </c>
      <c r="L10" t="n">
        <v>1</v>
      </c>
      <c r="M10" t="n">
        <v>0</v>
      </c>
    </row>
    <row r="11" spans="1:13">
      <c r="A11" s="1">
        <f>HYPERLINK("http://www.twitter.com/NathanBLawrence/status/1001594732416552960", "1001594732416552960")</f>
        <v/>
      </c>
      <c r="B11" s="2" t="n">
        <v>43249.94637731482</v>
      </c>
      <c r="C11" t="n">
        <v>0</v>
      </c>
      <c r="D11" t="n">
        <v>0</v>
      </c>
      <c r="E11" t="s">
        <v>22</v>
      </c>
      <c r="F11" t="s"/>
      <c r="G11" t="s"/>
      <c r="H11" t="s"/>
      <c r="I11" t="s"/>
      <c r="J11" t="n">
        <v>-0.6103</v>
      </c>
      <c r="K11" t="n">
        <v>0.499</v>
      </c>
      <c r="L11" t="n">
        <v>0.501</v>
      </c>
      <c r="M11" t="n">
        <v>0</v>
      </c>
    </row>
    <row r="12" spans="1:13">
      <c r="A12" s="1">
        <f>HYPERLINK("http://www.twitter.com/NathanBLawrence/status/1001594605824028677", "1001594605824028677")</f>
        <v/>
      </c>
      <c r="B12" s="2" t="n">
        <v>43249.94603009259</v>
      </c>
      <c r="C12" t="n">
        <v>0</v>
      </c>
      <c r="D12" t="n">
        <v>422</v>
      </c>
      <c r="E12" t="s">
        <v>23</v>
      </c>
      <c r="F12">
        <f>HYPERLINK("http://pbs.twimg.com/media/DeZJjMxV4AEwQXF.jpg", "http://pbs.twimg.com/media/DeZJjMxV4AEwQXF.jpg")</f>
        <v/>
      </c>
      <c r="G12" t="s"/>
      <c r="H12" t="s"/>
      <c r="I12" t="s"/>
      <c r="J12" t="n">
        <v>-0.4767</v>
      </c>
      <c r="K12" t="n">
        <v>0.134</v>
      </c>
      <c r="L12" t="n">
        <v>0.866</v>
      </c>
      <c r="M12" t="n">
        <v>0</v>
      </c>
    </row>
    <row r="13" spans="1:13">
      <c r="A13" s="1">
        <f>HYPERLINK("http://www.twitter.com/NathanBLawrence/status/1001594490258370565", "1001594490258370565")</f>
        <v/>
      </c>
      <c r="B13" s="2" t="n">
        <v>43249.94570601852</v>
      </c>
      <c r="C13" t="n">
        <v>0</v>
      </c>
      <c r="D13" t="n">
        <v>5</v>
      </c>
      <c r="E13" t="s">
        <v>24</v>
      </c>
      <c r="F13" t="s"/>
      <c r="G13" t="s"/>
      <c r="H13" t="s"/>
      <c r="I13" t="s"/>
      <c r="J13" t="n">
        <v>-0.6486</v>
      </c>
      <c r="K13" t="n">
        <v>0.206</v>
      </c>
      <c r="L13" t="n">
        <v>0.749</v>
      </c>
      <c r="M13" t="n">
        <v>0.045</v>
      </c>
    </row>
    <row r="14" spans="1:13">
      <c r="A14" s="1">
        <f>HYPERLINK("http://www.twitter.com/NathanBLawrence/status/1001594270409740288", "1001594270409740288")</f>
        <v/>
      </c>
      <c r="B14" s="2" t="n">
        <v>43249.94510416667</v>
      </c>
      <c r="C14" t="n">
        <v>1</v>
      </c>
      <c r="D14" t="n">
        <v>1</v>
      </c>
      <c r="E14" t="s">
        <v>25</v>
      </c>
      <c r="F14" t="s"/>
      <c r="G14" t="s"/>
      <c r="H14" t="s"/>
      <c r="I14" t="s"/>
      <c r="J14" t="n">
        <v>-0.1027</v>
      </c>
      <c r="K14" t="n">
        <v>0.194</v>
      </c>
      <c r="L14" t="n">
        <v>0.648</v>
      </c>
      <c r="M14" t="n">
        <v>0.157</v>
      </c>
    </row>
    <row r="15" spans="1:13">
      <c r="A15" s="1">
        <f>HYPERLINK("http://www.twitter.com/NathanBLawrence/status/1001238804311797760", "1001238804311797760")</f>
        <v/>
      </c>
      <c r="B15" s="2" t="n">
        <v>43248.96420138889</v>
      </c>
      <c r="C15" t="n">
        <v>0</v>
      </c>
      <c r="D15" t="n">
        <v>2</v>
      </c>
      <c r="E15" t="s">
        <v>26</v>
      </c>
      <c r="F15" t="s"/>
      <c r="G15" t="s"/>
      <c r="H15" t="s"/>
      <c r="I15" t="s"/>
      <c r="J15" t="n">
        <v>-0.1386</v>
      </c>
      <c r="K15" t="n">
        <v>0.121</v>
      </c>
      <c r="L15" t="n">
        <v>0.781</v>
      </c>
      <c r="M15" t="n">
        <v>0.098</v>
      </c>
    </row>
    <row r="16" spans="1:13">
      <c r="A16" s="1">
        <f>HYPERLINK("http://www.twitter.com/NathanBLawrence/status/1001238764499369984", "1001238764499369984")</f>
        <v/>
      </c>
      <c r="B16" s="2" t="n">
        <v>43248.96409722222</v>
      </c>
      <c r="C16" t="n">
        <v>0</v>
      </c>
      <c r="D16" t="n">
        <v>2</v>
      </c>
      <c r="E16" t="s">
        <v>27</v>
      </c>
      <c r="F16" t="s"/>
      <c r="G16" t="s"/>
      <c r="H16" t="s"/>
      <c r="I16" t="s"/>
      <c r="J16" t="n">
        <v>0.9039</v>
      </c>
      <c r="K16" t="n">
        <v>0</v>
      </c>
      <c r="L16" t="n">
        <v>0.451</v>
      </c>
      <c r="M16" t="n">
        <v>0.549</v>
      </c>
    </row>
    <row r="17" spans="1:13">
      <c r="A17" s="1">
        <f>HYPERLINK("http://www.twitter.com/NathanBLawrence/status/1001238714750849030", "1001238714750849030")</f>
        <v/>
      </c>
      <c r="B17" s="2" t="n">
        <v>43248.96395833333</v>
      </c>
      <c r="C17" t="n">
        <v>0</v>
      </c>
      <c r="D17" t="n">
        <v>2</v>
      </c>
      <c r="E17" t="s">
        <v>28</v>
      </c>
      <c r="F17" t="s"/>
      <c r="G17" t="s"/>
      <c r="H17" t="s"/>
      <c r="I17" t="s"/>
      <c r="J17" t="n">
        <v>0.4738</v>
      </c>
      <c r="K17" t="n">
        <v>0</v>
      </c>
      <c r="L17" t="n">
        <v>0.694</v>
      </c>
      <c r="M17" t="n">
        <v>0.306</v>
      </c>
    </row>
    <row r="18" spans="1:13">
      <c r="A18" s="1">
        <f>HYPERLINK("http://www.twitter.com/NathanBLawrence/status/1001238702931181568", "1001238702931181568")</f>
        <v/>
      </c>
      <c r="B18" s="2" t="n">
        <v>43248.96392361111</v>
      </c>
      <c r="C18" t="n">
        <v>0</v>
      </c>
      <c r="D18" t="n">
        <v>4</v>
      </c>
      <c r="E18" t="s">
        <v>29</v>
      </c>
      <c r="F18" t="s"/>
      <c r="G18" t="s"/>
      <c r="H18" t="s"/>
      <c r="I18" t="s"/>
      <c r="J18" t="n">
        <v>0.8519</v>
      </c>
      <c r="K18" t="n">
        <v>0</v>
      </c>
      <c r="L18" t="n">
        <v>0.458</v>
      </c>
      <c r="M18" t="n">
        <v>0.542</v>
      </c>
    </row>
    <row r="19" spans="1:13">
      <c r="A19" s="1">
        <f>HYPERLINK("http://www.twitter.com/NathanBLawrence/status/1001238350311936000", "1001238350311936000")</f>
        <v/>
      </c>
      <c r="B19" s="2" t="n">
        <v>43248.96295138889</v>
      </c>
      <c r="C19" t="n">
        <v>0</v>
      </c>
      <c r="D19" t="n">
        <v>2</v>
      </c>
      <c r="E19" t="s">
        <v>30</v>
      </c>
      <c r="F19">
        <f>HYPERLINK("http://pbs.twimg.com/media/DeSwWsbV4AAOu-i.jpg", "http://pbs.twimg.com/media/DeSwWsbV4AAOu-i.jpg")</f>
        <v/>
      </c>
      <c r="G19" t="s"/>
      <c r="H19" t="s"/>
      <c r="I19" t="s"/>
      <c r="J19" t="n">
        <v>0</v>
      </c>
      <c r="K19" t="n">
        <v>0</v>
      </c>
      <c r="L19" t="n">
        <v>1</v>
      </c>
      <c r="M19" t="n">
        <v>0</v>
      </c>
    </row>
    <row r="20" spans="1:13">
      <c r="A20" s="1">
        <f>HYPERLINK("http://www.twitter.com/NathanBLawrence/status/1001237264779939841", "1001237264779939841")</f>
        <v/>
      </c>
      <c r="B20" s="2" t="n">
        <v>43248.95995370371</v>
      </c>
      <c r="C20" t="n">
        <v>0</v>
      </c>
      <c r="D20" t="n">
        <v>1</v>
      </c>
      <c r="E20" t="s">
        <v>31</v>
      </c>
      <c r="F20" t="s"/>
      <c r="G20" t="s"/>
      <c r="H20" t="s"/>
      <c r="I20" t="s"/>
      <c r="J20" t="n">
        <v>0.4215</v>
      </c>
      <c r="K20" t="n">
        <v>0</v>
      </c>
      <c r="L20" t="n">
        <v>0.714</v>
      </c>
      <c r="M20" t="n">
        <v>0.286</v>
      </c>
    </row>
    <row r="21" spans="1:13">
      <c r="A21" s="1">
        <f>HYPERLINK("http://www.twitter.com/NathanBLawrence/status/1001236980397740032", "1001236980397740032")</f>
        <v/>
      </c>
      <c r="B21" s="2" t="n">
        <v>43248.95916666667</v>
      </c>
      <c r="C21" t="n">
        <v>0</v>
      </c>
      <c r="D21" t="n">
        <v>0</v>
      </c>
      <c r="E21" t="s">
        <v>32</v>
      </c>
      <c r="F21" t="s"/>
      <c r="G21" t="s"/>
      <c r="H21" t="s"/>
      <c r="I21" t="s"/>
      <c r="J21" t="n">
        <v>-0.9507</v>
      </c>
      <c r="K21" t="n">
        <v>0.381</v>
      </c>
      <c r="L21" t="n">
        <v>0.619</v>
      </c>
      <c r="M21" t="n">
        <v>0</v>
      </c>
    </row>
    <row r="22" spans="1:13">
      <c r="A22" s="1">
        <f>HYPERLINK("http://www.twitter.com/NathanBLawrence/status/1001236302090637312", "1001236302090637312")</f>
        <v/>
      </c>
      <c r="B22" s="2" t="n">
        <v>43248.95730324074</v>
      </c>
      <c r="C22" t="n">
        <v>0</v>
      </c>
      <c r="D22" t="n">
        <v>0</v>
      </c>
      <c r="E22" t="s">
        <v>33</v>
      </c>
      <c r="F22" t="s"/>
      <c r="G22" t="s"/>
      <c r="H22" t="s"/>
      <c r="I22" t="s"/>
      <c r="J22" t="n">
        <v>-0.5574</v>
      </c>
      <c r="K22" t="n">
        <v>0.474</v>
      </c>
      <c r="L22" t="n">
        <v>0.526</v>
      </c>
      <c r="M22" t="n">
        <v>0</v>
      </c>
    </row>
    <row r="23" spans="1:13">
      <c r="A23" s="1">
        <f>HYPERLINK("http://www.twitter.com/NathanBLawrence/status/1001234998488436736", "1001234998488436736")</f>
        <v/>
      </c>
      <c r="B23" s="2" t="n">
        <v>43248.9537037037</v>
      </c>
      <c r="C23" t="n">
        <v>0</v>
      </c>
      <c r="D23" t="n">
        <v>16</v>
      </c>
      <c r="E23" t="s">
        <v>34</v>
      </c>
      <c r="F23" t="s"/>
      <c r="G23" t="s"/>
      <c r="H23" t="s"/>
      <c r="I23" t="s"/>
      <c r="J23" t="n">
        <v>0</v>
      </c>
      <c r="K23" t="n">
        <v>0</v>
      </c>
      <c r="L23" t="n">
        <v>1</v>
      </c>
      <c r="M23" t="n">
        <v>0</v>
      </c>
    </row>
    <row r="24" spans="1:13">
      <c r="A24" s="1">
        <f>HYPERLINK("http://www.twitter.com/NathanBLawrence/status/1001234726231986176", "1001234726231986176")</f>
        <v/>
      </c>
      <c r="B24" s="2" t="n">
        <v>43248.95295138889</v>
      </c>
      <c r="C24" t="n">
        <v>0</v>
      </c>
      <c r="D24" t="n">
        <v>0</v>
      </c>
      <c r="E24" t="s">
        <v>35</v>
      </c>
      <c r="F24" t="s"/>
      <c r="G24" t="s"/>
      <c r="H24" t="s"/>
      <c r="I24" t="s"/>
      <c r="J24" t="n">
        <v>-0.5106000000000001</v>
      </c>
      <c r="K24" t="n">
        <v>0.355</v>
      </c>
      <c r="L24" t="n">
        <v>0.645</v>
      </c>
      <c r="M24" t="n">
        <v>0</v>
      </c>
    </row>
    <row r="25" spans="1:13">
      <c r="A25" s="1">
        <f>HYPERLINK("http://www.twitter.com/NathanBLawrence/status/1001234473613185025", "1001234473613185025")</f>
        <v/>
      </c>
      <c r="B25" s="2" t="n">
        <v>43248.95225694445</v>
      </c>
      <c r="C25" t="n">
        <v>0</v>
      </c>
      <c r="D25" t="n">
        <v>0</v>
      </c>
      <c r="E25" t="s">
        <v>36</v>
      </c>
      <c r="F25" t="s"/>
      <c r="G25" t="s"/>
      <c r="H25" t="s"/>
      <c r="I25" t="s"/>
      <c r="J25" t="n">
        <v>-0.6289</v>
      </c>
      <c r="K25" t="n">
        <v>0.453</v>
      </c>
      <c r="L25" t="n">
        <v>0.547</v>
      </c>
      <c r="M25" t="n">
        <v>0</v>
      </c>
    </row>
    <row r="26" spans="1:13">
      <c r="A26" s="1">
        <f>HYPERLINK("http://www.twitter.com/NathanBLawrence/status/1001234080241979394", "1001234080241979394")</f>
        <v/>
      </c>
      <c r="B26" s="2" t="n">
        <v>43248.95116898148</v>
      </c>
      <c r="C26" t="n">
        <v>0</v>
      </c>
      <c r="D26" t="n">
        <v>18083</v>
      </c>
      <c r="E26" t="s">
        <v>37</v>
      </c>
      <c r="F26">
        <f>HYPERLINK("https://video.twimg.com/ext_tw_video/1001055798867378176/pu/vid/1280x720/JVDtswkk6r4jmHXn.mp4?tag=3", "https://video.twimg.com/ext_tw_video/1001055798867378176/pu/vid/1280x720/JVDtswkk6r4jmHXn.mp4?tag=3")</f>
        <v/>
      </c>
      <c r="G26" t="s"/>
      <c r="H26" t="s"/>
      <c r="I26" t="s"/>
      <c r="J26" t="n">
        <v>0</v>
      </c>
      <c r="K26" t="n">
        <v>0</v>
      </c>
      <c r="L26" t="n">
        <v>1</v>
      </c>
      <c r="M26" t="n">
        <v>0</v>
      </c>
    </row>
    <row r="27" spans="1:13">
      <c r="A27" s="1">
        <f>HYPERLINK("http://www.twitter.com/NathanBLawrence/status/1001233667887333377", "1001233667887333377")</f>
        <v/>
      </c>
      <c r="B27" s="2" t="n">
        <v>43248.95003472222</v>
      </c>
      <c r="C27" t="n">
        <v>0</v>
      </c>
      <c r="D27" t="n">
        <v>777</v>
      </c>
      <c r="E27" t="s">
        <v>38</v>
      </c>
      <c r="F27">
        <f>HYPERLINK("http://pbs.twimg.com/media/DeCwTwOWsAEMAVZ.jpg", "http://pbs.twimg.com/media/DeCwTwOWsAEMAVZ.jpg")</f>
        <v/>
      </c>
      <c r="G27" t="s"/>
      <c r="H27" t="s"/>
      <c r="I27" t="s"/>
      <c r="J27" t="n">
        <v>-0.25</v>
      </c>
      <c r="K27" t="n">
        <v>0.08699999999999999</v>
      </c>
      <c r="L27" t="n">
        <v>0.913</v>
      </c>
      <c r="M27" t="n">
        <v>0</v>
      </c>
    </row>
    <row r="28" spans="1:13">
      <c r="A28" s="1">
        <f>HYPERLINK("http://www.twitter.com/NathanBLawrence/status/1001233141015695361", "1001233141015695361")</f>
        <v/>
      </c>
      <c r="B28" s="2" t="n">
        <v>43248.94857638889</v>
      </c>
      <c r="C28" t="n">
        <v>0</v>
      </c>
      <c r="D28" t="n">
        <v>0</v>
      </c>
      <c r="E28" t="s">
        <v>39</v>
      </c>
      <c r="F28" t="s"/>
      <c r="G28" t="s"/>
      <c r="H28" t="s"/>
      <c r="I28" t="s"/>
      <c r="J28" t="n">
        <v>0</v>
      </c>
      <c r="K28" t="n">
        <v>0</v>
      </c>
      <c r="L28" t="n">
        <v>1</v>
      </c>
      <c r="M28" t="n">
        <v>0</v>
      </c>
    </row>
    <row r="29" spans="1:13">
      <c r="A29" s="1">
        <f>HYPERLINK("http://www.twitter.com/NathanBLawrence/status/1001232624201986049", "1001232624201986049")</f>
        <v/>
      </c>
      <c r="B29" s="2" t="n">
        <v>43248.94715277778</v>
      </c>
      <c r="C29" t="n">
        <v>0</v>
      </c>
      <c r="D29" t="n">
        <v>33</v>
      </c>
      <c r="E29" t="s">
        <v>40</v>
      </c>
      <c r="F29" t="s"/>
      <c r="G29" t="s"/>
      <c r="H29" t="s"/>
      <c r="I29" t="s"/>
      <c r="J29" t="n">
        <v>0</v>
      </c>
      <c r="K29" t="n">
        <v>0</v>
      </c>
      <c r="L29" t="n">
        <v>1</v>
      </c>
      <c r="M29" t="n">
        <v>0</v>
      </c>
    </row>
    <row r="30" spans="1:13">
      <c r="A30" s="1">
        <f>HYPERLINK("http://www.twitter.com/NathanBLawrence/status/1001231187346681863", "1001231187346681863")</f>
        <v/>
      </c>
      <c r="B30" s="2" t="n">
        <v>43248.94318287037</v>
      </c>
      <c r="C30" t="n">
        <v>0</v>
      </c>
      <c r="D30" t="n">
        <v>56</v>
      </c>
      <c r="E30" t="s">
        <v>41</v>
      </c>
      <c r="F30" t="s"/>
      <c r="G30" t="s"/>
      <c r="H30" t="s"/>
      <c r="I30" t="s"/>
      <c r="J30" t="n">
        <v>0</v>
      </c>
      <c r="K30" t="n">
        <v>0</v>
      </c>
      <c r="L30" t="n">
        <v>1</v>
      </c>
      <c r="M30" t="n">
        <v>0</v>
      </c>
    </row>
    <row r="31" spans="1:13">
      <c r="A31" s="1">
        <f>HYPERLINK("http://www.twitter.com/NathanBLawrence/status/1001230328726421507", "1001230328726421507")</f>
        <v/>
      </c>
      <c r="B31" s="2" t="n">
        <v>43248.94081018519</v>
      </c>
      <c r="C31" t="n">
        <v>0</v>
      </c>
      <c r="D31" t="n">
        <v>10</v>
      </c>
      <c r="E31" t="s">
        <v>42</v>
      </c>
      <c r="F31" t="s"/>
      <c r="G31" t="s"/>
      <c r="H31" t="s"/>
      <c r="I31" t="s"/>
      <c r="J31" t="n">
        <v>0</v>
      </c>
      <c r="K31" t="n">
        <v>0</v>
      </c>
      <c r="L31" t="n">
        <v>1</v>
      </c>
      <c r="M31" t="n">
        <v>0</v>
      </c>
    </row>
    <row r="32" spans="1:13">
      <c r="A32" s="1">
        <f>HYPERLINK("http://www.twitter.com/NathanBLawrence/status/1001230224141504514", "1001230224141504514")</f>
        <v/>
      </c>
      <c r="B32" s="2" t="n">
        <v>43248.94053240741</v>
      </c>
      <c r="C32" t="n">
        <v>6</v>
      </c>
      <c r="D32" t="n">
        <v>0</v>
      </c>
      <c r="E32" t="s">
        <v>43</v>
      </c>
      <c r="F32" t="s"/>
      <c r="G32" t="s"/>
      <c r="H32" t="s"/>
      <c r="I32" t="s"/>
      <c r="J32" t="n">
        <v>-0.6655</v>
      </c>
      <c r="K32" t="n">
        <v>0.358</v>
      </c>
      <c r="L32" t="n">
        <v>0.642</v>
      </c>
      <c r="M32" t="n">
        <v>0</v>
      </c>
    </row>
    <row r="33" spans="1:13">
      <c r="A33" s="1">
        <f>HYPERLINK("http://www.twitter.com/NathanBLawrence/status/1001230015311343617", "1001230015311343617")</f>
        <v/>
      </c>
      <c r="B33" s="2" t="n">
        <v>43248.9399537037</v>
      </c>
      <c r="C33" t="n">
        <v>0</v>
      </c>
      <c r="D33" t="n">
        <v>123</v>
      </c>
      <c r="E33" t="s">
        <v>44</v>
      </c>
      <c r="F33" t="s"/>
      <c r="G33" t="s"/>
      <c r="H33" t="s"/>
      <c r="I33" t="s"/>
      <c r="J33" t="n">
        <v>0</v>
      </c>
      <c r="K33" t="n">
        <v>0</v>
      </c>
      <c r="L33" t="n">
        <v>1</v>
      </c>
      <c r="M33" t="n">
        <v>0</v>
      </c>
    </row>
    <row r="34" spans="1:13">
      <c r="A34" s="1">
        <f>HYPERLINK("http://www.twitter.com/NathanBLawrence/status/1000928427044753409", "1000928427044753409")</f>
        <v/>
      </c>
      <c r="B34" s="2" t="n">
        <v>43248.10773148148</v>
      </c>
      <c r="C34" t="n">
        <v>0</v>
      </c>
      <c r="D34" t="n">
        <v>3</v>
      </c>
      <c r="E34" t="s">
        <v>45</v>
      </c>
      <c r="F34" t="s"/>
      <c r="G34" t="s"/>
      <c r="H34" t="s"/>
      <c r="I34" t="s"/>
      <c r="J34" t="n">
        <v>0</v>
      </c>
      <c r="K34" t="n">
        <v>0</v>
      </c>
      <c r="L34" t="n">
        <v>1</v>
      </c>
      <c r="M34" t="n">
        <v>0</v>
      </c>
    </row>
    <row r="35" spans="1:13">
      <c r="A35" s="1">
        <f>HYPERLINK("http://www.twitter.com/NathanBLawrence/status/1000928197826043904", "1000928197826043904")</f>
        <v/>
      </c>
      <c r="B35" s="2" t="n">
        <v>43248.10709490741</v>
      </c>
      <c r="C35" t="n">
        <v>0</v>
      </c>
      <c r="D35" t="n">
        <v>1</v>
      </c>
      <c r="E35" t="s">
        <v>46</v>
      </c>
      <c r="F35" t="s"/>
      <c r="G35" t="s"/>
      <c r="H35" t="s"/>
      <c r="I35" t="s"/>
      <c r="J35" t="n">
        <v>0.4201</v>
      </c>
      <c r="K35" t="n">
        <v>0</v>
      </c>
      <c r="L35" t="n">
        <v>0.859</v>
      </c>
      <c r="M35" t="n">
        <v>0.141</v>
      </c>
    </row>
    <row r="36" spans="1:13">
      <c r="A36" s="1">
        <f>HYPERLINK("http://www.twitter.com/NathanBLawrence/status/1000926783347228672", "1000926783347228672")</f>
        <v/>
      </c>
      <c r="B36" s="2" t="n">
        <v>43248.10319444445</v>
      </c>
      <c r="C36" t="n">
        <v>0</v>
      </c>
      <c r="D36" t="n">
        <v>1</v>
      </c>
      <c r="E36" t="s">
        <v>47</v>
      </c>
      <c r="F36" t="s"/>
      <c r="G36" t="s"/>
      <c r="H36" t="s"/>
      <c r="I36" t="s"/>
      <c r="J36" t="n">
        <v>0</v>
      </c>
      <c r="K36" t="n">
        <v>0</v>
      </c>
      <c r="L36" t="n">
        <v>1</v>
      </c>
      <c r="M36" t="n">
        <v>0</v>
      </c>
    </row>
    <row r="37" spans="1:13">
      <c r="A37" s="1">
        <f>HYPERLINK("http://www.twitter.com/NathanBLawrence/status/1000925859744747521", "1000925859744747521")</f>
        <v/>
      </c>
      <c r="B37" s="2" t="n">
        <v>43248.10063657408</v>
      </c>
      <c r="C37" t="n">
        <v>0</v>
      </c>
      <c r="D37" t="n">
        <v>0</v>
      </c>
      <c r="E37" t="s">
        <v>48</v>
      </c>
      <c r="F37" t="s"/>
      <c r="G37" t="s"/>
      <c r="H37" t="s"/>
      <c r="I37" t="s"/>
      <c r="J37" t="n">
        <v>0</v>
      </c>
      <c r="K37" t="n">
        <v>0</v>
      </c>
      <c r="L37" t="n">
        <v>1</v>
      </c>
      <c r="M37" t="n">
        <v>0</v>
      </c>
    </row>
    <row r="38" spans="1:13">
      <c r="A38" s="1">
        <f>HYPERLINK("http://www.twitter.com/NathanBLawrence/status/1000924955381518338", "1000924955381518338")</f>
        <v/>
      </c>
      <c r="B38" s="2" t="n">
        <v>43248.09814814815</v>
      </c>
      <c r="C38" t="n">
        <v>0</v>
      </c>
      <c r="D38" t="n">
        <v>0</v>
      </c>
      <c r="E38" t="s">
        <v>49</v>
      </c>
      <c r="F38" t="s"/>
      <c r="G38" t="s"/>
      <c r="H38" t="s"/>
      <c r="I38" t="s"/>
      <c r="J38" t="n">
        <v>0</v>
      </c>
      <c r="K38" t="n">
        <v>0</v>
      </c>
      <c r="L38" t="n">
        <v>1</v>
      </c>
      <c r="M38" t="n">
        <v>0</v>
      </c>
    </row>
    <row r="39" spans="1:13">
      <c r="A39" s="1">
        <f>HYPERLINK("http://www.twitter.com/NathanBLawrence/status/1000907417692114947", "1000907417692114947")</f>
        <v/>
      </c>
      <c r="B39" s="2" t="n">
        <v>43248.04974537037</v>
      </c>
      <c r="C39" t="n">
        <v>0</v>
      </c>
      <c r="D39" t="n">
        <v>3</v>
      </c>
      <c r="E39" t="s">
        <v>50</v>
      </c>
      <c r="F39" t="s"/>
      <c r="G39" t="s"/>
      <c r="H39" t="s"/>
      <c r="I39" t="s"/>
      <c r="J39" t="n">
        <v>-0.4767</v>
      </c>
      <c r="K39" t="n">
        <v>0.129</v>
      </c>
      <c r="L39" t="n">
        <v>0.871</v>
      </c>
      <c r="M39" t="n">
        <v>0</v>
      </c>
    </row>
    <row r="40" spans="1:13">
      <c r="A40" s="1">
        <f>HYPERLINK("http://www.twitter.com/NathanBLawrence/status/1000906977483116550", "1000906977483116550")</f>
        <v/>
      </c>
      <c r="B40" s="2" t="n">
        <v>43248.04854166666</v>
      </c>
      <c r="C40" t="n">
        <v>0</v>
      </c>
      <c r="D40" t="n">
        <v>30</v>
      </c>
      <c r="E40" t="s">
        <v>51</v>
      </c>
      <c r="F40" t="s"/>
      <c r="G40" t="s"/>
      <c r="H40" t="s"/>
      <c r="I40" t="s"/>
      <c r="J40" t="n">
        <v>0.4303</v>
      </c>
      <c r="K40" t="n">
        <v>0</v>
      </c>
      <c r="L40" t="n">
        <v>0.881</v>
      </c>
      <c r="M40" t="n">
        <v>0.119</v>
      </c>
    </row>
    <row r="41" spans="1:13">
      <c r="A41" s="1">
        <f>HYPERLINK("http://www.twitter.com/NathanBLawrence/status/1000901409460703242", "1000901409460703242")</f>
        <v/>
      </c>
      <c r="B41" s="2" t="n">
        <v>43248.03317129629</v>
      </c>
      <c r="C41" t="n">
        <v>0</v>
      </c>
      <c r="D41" t="n">
        <v>1</v>
      </c>
      <c r="E41" t="s">
        <v>52</v>
      </c>
      <c r="F41" t="s"/>
      <c r="G41" t="s"/>
      <c r="H41" t="s"/>
      <c r="I41" t="s"/>
      <c r="J41" t="n">
        <v>-0.0772</v>
      </c>
      <c r="K41" t="n">
        <v>0.142</v>
      </c>
      <c r="L41" t="n">
        <v>0.766</v>
      </c>
      <c r="M41" t="n">
        <v>0.092</v>
      </c>
    </row>
    <row r="42" spans="1:13">
      <c r="A42" s="1">
        <f>HYPERLINK("http://www.twitter.com/NathanBLawrence/status/1000901150491791360", "1000901150491791360")</f>
        <v/>
      </c>
      <c r="B42" s="2" t="n">
        <v>43248.0324537037</v>
      </c>
      <c r="C42" t="n">
        <v>0</v>
      </c>
      <c r="D42" t="n">
        <v>1</v>
      </c>
      <c r="E42" t="s">
        <v>53</v>
      </c>
      <c r="F42" t="s"/>
      <c r="G42" t="s"/>
      <c r="H42" t="s"/>
      <c r="I42" t="s"/>
      <c r="J42" t="n">
        <v>0.7906</v>
      </c>
      <c r="K42" t="n">
        <v>0.052</v>
      </c>
      <c r="L42" t="n">
        <v>0.634</v>
      </c>
      <c r="M42" t="n">
        <v>0.313</v>
      </c>
    </row>
    <row r="43" spans="1:13">
      <c r="A43" s="1">
        <f>HYPERLINK("http://www.twitter.com/NathanBLawrence/status/1000900579655409664", "1000900579655409664")</f>
        <v/>
      </c>
      <c r="B43" s="2" t="n">
        <v>43248.03087962963</v>
      </c>
      <c r="C43" t="n">
        <v>2</v>
      </c>
      <c r="D43" t="n">
        <v>0</v>
      </c>
      <c r="E43" t="s">
        <v>54</v>
      </c>
      <c r="F43" t="s"/>
      <c r="G43" t="s"/>
      <c r="H43" t="s"/>
      <c r="I43" t="s"/>
      <c r="J43" t="n">
        <v>-0.7713</v>
      </c>
      <c r="K43" t="n">
        <v>0.362</v>
      </c>
      <c r="L43" t="n">
        <v>0.57</v>
      </c>
      <c r="M43" t="n">
        <v>0.067</v>
      </c>
    </row>
    <row r="44" spans="1:13">
      <c r="A44" s="1">
        <f>HYPERLINK("http://www.twitter.com/NathanBLawrence/status/1000898376186191872", "1000898376186191872")</f>
        <v/>
      </c>
      <c r="B44" s="2" t="n">
        <v>43248.02480324074</v>
      </c>
      <c r="C44" t="n">
        <v>0</v>
      </c>
      <c r="D44" t="n">
        <v>0</v>
      </c>
      <c r="E44" t="s">
        <v>55</v>
      </c>
      <c r="F44" t="s"/>
      <c r="G44" t="s"/>
      <c r="H44" t="s"/>
      <c r="I44" t="s"/>
      <c r="J44" t="n">
        <v>0.6808</v>
      </c>
      <c r="K44" t="n">
        <v>0</v>
      </c>
      <c r="L44" t="n">
        <v>0.588</v>
      </c>
      <c r="M44" t="n">
        <v>0.412</v>
      </c>
    </row>
    <row r="45" spans="1:13">
      <c r="A45" s="1">
        <f>HYPERLINK("http://www.twitter.com/NathanBLawrence/status/1000896453068361729", "1000896453068361729")</f>
        <v/>
      </c>
      <c r="B45" s="2" t="n">
        <v>43248.01949074074</v>
      </c>
      <c r="C45" t="n">
        <v>3</v>
      </c>
      <c r="D45" t="n">
        <v>0</v>
      </c>
      <c r="E45" t="s">
        <v>56</v>
      </c>
      <c r="F45" t="s"/>
      <c r="G45" t="s"/>
      <c r="H45" t="s"/>
      <c r="I45" t="s"/>
      <c r="J45" t="n">
        <v>0</v>
      </c>
      <c r="K45" t="n">
        <v>0</v>
      </c>
      <c r="L45" t="n">
        <v>1</v>
      </c>
      <c r="M45" t="n">
        <v>0</v>
      </c>
    </row>
    <row r="46" spans="1:13">
      <c r="A46" s="1">
        <f>HYPERLINK("http://www.twitter.com/NathanBLawrence/status/1000892608191877121", "1000892608191877121")</f>
        <v/>
      </c>
      <c r="B46" s="2" t="n">
        <v>43248.00888888889</v>
      </c>
      <c r="C46" t="n">
        <v>0</v>
      </c>
      <c r="D46" t="n">
        <v>1</v>
      </c>
      <c r="E46" t="s">
        <v>57</v>
      </c>
      <c r="F46" t="s"/>
      <c r="G46" t="s"/>
      <c r="H46" t="s"/>
      <c r="I46" t="s"/>
      <c r="J46" t="n">
        <v>0</v>
      </c>
      <c r="K46" t="n">
        <v>0</v>
      </c>
      <c r="L46" t="n">
        <v>1</v>
      </c>
      <c r="M46" t="n">
        <v>0</v>
      </c>
    </row>
    <row r="47" spans="1:13">
      <c r="A47" s="1">
        <f>HYPERLINK("http://www.twitter.com/NathanBLawrence/status/1000883400012640256", "1000883400012640256")</f>
        <v/>
      </c>
      <c r="B47" s="2" t="n">
        <v>43247.98347222222</v>
      </c>
      <c r="C47" t="n">
        <v>1</v>
      </c>
      <c r="D47" t="n">
        <v>0</v>
      </c>
      <c r="E47" t="s">
        <v>58</v>
      </c>
      <c r="F47" t="s"/>
      <c r="G47" t="s"/>
      <c r="H47" t="s"/>
      <c r="I47" t="s"/>
      <c r="J47" t="n">
        <v>-0.9042</v>
      </c>
      <c r="K47" t="n">
        <v>0.265</v>
      </c>
      <c r="L47" t="n">
        <v>0.735</v>
      </c>
      <c r="M47" t="n">
        <v>0</v>
      </c>
    </row>
    <row r="48" spans="1:13">
      <c r="A48" s="1">
        <f>HYPERLINK("http://www.twitter.com/NathanBLawrence/status/1000880586444165120", "1000880586444165120")</f>
        <v/>
      </c>
      <c r="B48" s="2" t="n">
        <v>43247.97570601852</v>
      </c>
      <c r="C48" t="n">
        <v>0</v>
      </c>
      <c r="D48" t="n">
        <v>1</v>
      </c>
      <c r="E48" t="s">
        <v>59</v>
      </c>
      <c r="F48" t="s"/>
      <c r="G48" t="s"/>
      <c r="H48" t="s"/>
      <c r="I48" t="s"/>
      <c r="J48" t="n">
        <v>-0.5449000000000001</v>
      </c>
      <c r="K48" t="n">
        <v>0.286</v>
      </c>
      <c r="L48" t="n">
        <v>0.5600000000000001</v>
      </c>
      <c r="M48" t="n">
        <v>0.154</v>
      </c>
    </row>
    <row r="49" spans="1:13">
      <c r="A49" s="1">
        <f>HYPERLINK("http://www.twitter.com/NathanBLawrence/status/1000851899120324609", "1000851899120324609")</f>
        <v/>
      </c>
      <c r="B49" s="2" t="n">
        <v>43247.89655092593</v>
      </c>
      <c r="C49" t="n">
        <v>1</v>
      </c>
      <c r="D49" t="n">
        <v>0</v>
      </c>
      <c r="E49" t="s">
        <v>60</v>
      </c>
      <c r="F49" t="s"/>
      <c r="G49" t="s"/>
      <c r="H49" t="s"/>
      <c r="I49" t="s"/>
      <c r="J49" t="n">
        <v>-0.7579</v>
      </c>
      <c r="K49" t="n">
        <v>0.765</v>
      </c>
      <c r="L49" t="n">
        <v>0.235</v>
      </c>
      <c r="M49" t="n">
        <v>0</v>
      </c>
    </row>
    <row r="50" spans="1:13">
      <c r="A50" s="1">
        <f>HYPERLINK("http://www.twitter.com/NathanBLawrence/status/1000836381655134208", "1000836381655134208")</f>
        <v/>
      </c>
      <c r="B50" s="2" t="n">
        <v>43247.85372685185</v>
      </c>
      <c r="C50" t="n">
        <v>0</v>
      </c>
      <c r="D50" t="n">
        <v>284</v>
      </c>
      <c r="E50" t="s">
        <v>61</v>
      </c>
      <c r="F50" t="s"/>
      <c r="G50" t="s"/>
      <c r="H50" t="s"/>
      <c r="I50" t="s"/>
      <c r="J50" t="n">
        <v>0</v>
      </c>
      <c r="K50" t="n">
        <v>0</v>
      </c>
      <c r="L50" t="n">
        <v>1</v>
      </c>
      <c r="M50" t="n">
        <v>0</v>
      </c>
    </row>
    <row r="51" spans="1:13">
      <c r="A51" s="1">
        <f>HYPERLINK("http://www.twitter.com/NathanBLawrence/status/1000828003390287877", "1000828003390287877")</f>
        <v/>
      </c>
      <c r="B51" s="2" t="n">
        <v>43247.83061342593</v>
      </c>
      <c r="C51" t="n">
        <v>0</v>
      </c>
      <c r="D51" t="n">
        <v>192</v>
      </c>
      <c r="E51" t="s">
        <v>62</v>
      </c>
      <c r="F51">
        <f>HYPERLINK("http://pbs.twimg.com/media/DeM69jEXUAA0Kks.jpg", "http://pbs.twimg.com/media/DeM69jEXUAA0Kks.jpg")</f>
        <v/>
      </c>
      <c r="G51" t="s"/>
      <c r="H51" t="s"/>
      <c r="I51" t="s"/>
      <c r="J51" t="n">
        <v>0.4926</v>
      </c>
      <c r="K51" t="n">
        <v>0</v>
      </c>
      <c r="L51" t="n">
        <v>0.775</v>
      </c>
      <c r="M51" t="n">
        <v>0.225</v>
      </c>
    </row>
    <row r="52" spans="1:13">
      <c r="A52" s="1">
        <f>HYPERLINK("http://www.twitter.com/NathanBLawrence/status/1000827962185408513", "1000827962185408513")</f>
        <v/>
      </c>
      <c r="B52" s="2" t="n">
        <v>43247.83049768519</v>
      </c>
      <c r="C52" t="n">
        <v>0</v>
      </c>
      <c r="D52" t="n">
        <v>5</v>
      </c>
      <c r="E52" t="s">
        <v>63</v>
      </c>
      <c r="F52" t="s"/>
      <c r="G52" t="s"/>
      <c r="H52" t="s"/>
      <c r="I52" t="s"/>
      <c r="J52" t="n">
        <v>-0.228</v>
      </c>
      <c r="K52" t="n">
        <v>0.112</v>
      </c>
      <c r="L52" t="n">
        <v>0.8159999999999999</v>
      </c>
      <c r="M52" t="n">
        <v>0.073</v>
      </c>
    </row>
    <row r="53" spans="1:13">
      <c r="A53" s="1">
        <f>HYPERLINK("http://www.twitter.com/NathanBLawrence/status/1000827881944178688", "1000827881944178688")</f>
        <v/>
      </c>
      <c r="B53" s="2" t="n">
        <v>43247.83027777778</v>
      </c>
      <c r="C53" t="n">
        <v>0</v>
      </c>
      <c r="D53" t="n">
        <v>6413</v>
      </c>
      <c r="E53" t="s">
        <v>64</v>
      </c>
      <c r="F53" t="s"/>
      <c r="G53" t="s"/>
      <c r="H53" t="s"/>
      <c r="I53" t="s"/>
      <c r="J53" t="n">
        <v>0.7717000000000001</v>
      </c>
      <c r="K53" t="n">
        <v>0</v>
      </c>
      <c r="L53" t="n">
        <v>0.673</v>
      </c>
      <c r="M53" t="n">
        <v>0.327</v>
      </c>
    </row>
    <row r="54" spans="1:13">
      <c r="A54" s="1">
        <f>HYPERLINK("http://www.twitter.com/NathanBLawrence/status/1000827793385672706", "1000827793385672706")</f>
        <v/>
      </c>
      <c r="B54" s="2" t="n">
        <v>43247.83003472222</v>
      </c>
      <c r="C54" t="n">
        <v>0</v>
      </c>
      <c r="D54" t="n">
        <v>4734</v>
      </c>
      <c r="E54" t="s">
        <v>65</v>
      </c>
      <c r="F54">
        <f>HYPERLINK("http://pbs.twimg.com/media/DeL0VERVMAI8fSx.jpg", "http://pbs.twimg.com/media/DeL0VERVMAI8fSx.jpg")</f>
        <v/>
      </c>
      <c r="G54" t="s"/>
      <c r="H54" t="s"/>
      <c r="I54" t="s"/>
      <c r="J54" t="n">
        <v>-0.5266999999999999</v>
      </c>
      <c r="K54" t="n">
        <v>0.139</v>
      </c>
      <c r="L54" t="n">
        <v>0.861</v>
      </c>
      <c r="M54" t="n">
        <v>0</v>
      </c>
    </row>
    <row r="55" spans="1:13">
      <c r="A55" s="1">
        <f>HYPERLINK("http://www.twitter.com/NathanBLawrence/status/1000827226693226501", "1000827226693226501")</f>
        <v/>
      </c>
      <c r="B55" s="2" t="n">
        <v>43247.82846064815</v>
      </c>
      <c r="C55" t="n">
        <v>1</v>
      </c>
      <c r="D55" t="n">
        <v>1</v>
      </c>
      <c r="E55" t="s">
        <v>66</v>
      </c>
      <c r="F55" t="s"/>
      <c r="G55" t="s"/>
      <c r="H55" t="s"/>
      <c r="I55" t="s"/>
      <c r="J55" t="n">
        <v>-0.296</v>
      </c>
      <c r="K55" t="n">
        <v>0.121</v>
      </c>
      <c r="L55" t="n">
        <v>0.879</v>
      </c>
      <c r="M55" t="n">
        <v>0</v>
      </c>
    </row>
    <row r="56" spans="1:13">
      <c r="A56" s="1">
        <f>HYPERLINK("http://www.twitter.com/NathanBLawrence/status/1000824960212979714", "1000824960212979714")</f>
        <v/>
      </c>
      <c r="B56" s="2" t="n">
        <v>43247.82221064815</v>
      </c>
      <c r="C56" t="n">
        <v>1</v>
      </c>
      <c r="D56" t="n">
        <v>0</v>
      </c>
      <c r="E56" t="s">
        <v>67</v>
      </c>
      <c r="F56" t="s"/>
      <c r="G56" t="s"/>
      <c r="H56" t="s"/>
      <c r="I56" t="s"/>
      <c r="J56" t="n">
        <v>-0.9468</v>
      </c>
      <c r="K56" t="n">
        <v>0.392</v>
      </c>
      <c r="L56" t="n">
        <v>0.583</v>
      </c>
      <c r="M56" t="n">
        <v>0.025</v>
      </c>
    </row>
    <row r="57" spans="1:13">
      <c r="A57" s="1">
        <f>HYPERLINK("http://www.twitter.com/NathanBLawrence/status/1000823892536160258", "1000823892536160258")</f>
        <v/>
      </c>
      <c r="B57" s="2" t="n">
        <v>43247.81927083333</v>
      </c>
      <c r="C57" t="n">
        <v>0</v>
      </c>
      <c r="D57" t="n">
        <v>2</v>
      </c>
      <c r="E57" t="s">
        <v>68</v>
      </c>
      <c r="F57" t="s"/>
      <c r="G57" t="s"/>
      <c r="H57" t="s"/>
      <c r="I57" t="s"/>
      <c r="J57" t="n">
        <v>0</v>
      </c>
      <c r="K57" t="n">
        <v>0</v>
      </c>
      <c r="L57" t="n">
        <v>1</v>
      </c>
      <c r="M57" t="n">
        <v>0</v>
      </c>
    </row>
    <row r="58" spans="1:13">
      <c r="A58" s="1">
        <f>HYPERLINK("http://www.twitter.com/NathanBLawrence/status/1000823529963769856", "1000823529963769856")</f>
        <v/>
      </c>
      <c r="B58" s="2" t="n">
        <v>43247.81826388889</v>
      </c>
      <c r="C58" t="n">
        <v>0</v>
      </c>
      <c r="D58" t="n">
        <v>1</v>
      </c>
      <c r="E58" t="s">
        <v>69</v>
      </c>
      <c r="F58" t="s"/>
      <c r="G58" t="s"/>
      <c r="H58" t="s"/>
      <c r="I58" t="s"/>
      <c r="J58" t="n">
        <v>-0.6705</v>
      </c>
      <c r="K58" t="n">
        <v>0.256</v>
      </c>
      <c r="L58" t="n">
        <v>0.744</v>
      </c>
      <c r="M58" t="n">
        <v>0</v>
      </c>
    </row>
    <row r="59" spans="1:13">
      <c r="A59" s="1">
        <f>HYPERLINK("http://www.twitter.com/NathanBLawrence/status/1000823329262104577", "1000823329262104577")</f>
        <v/>
      </c>
      <c r="B59" s="2" t="n">
        <v>43247.81770833334</v>
      </c>
      <c r="C59" t="n">
        <v>0</v>
      </c>
      <c r="D59" t="n">
        <v>1</v>
      </c>
      <c r="E59" t="s">
        <v>70</v>
      </c>
      <c r="F59" t="s"/>
      <c r="G59" t="s"/>
      <c r="H59" t="s"/>
      <c r="I59" t="s"/>
      <c r="J59" t="n">
        <v>-0.8602</v>
      </c>
      <c r="K59" t="n">
        <v>0.416</v>
      </c>
      <c r="L59" t="n">
        <v>0.584</v>
      </c>
      <c r="M59" t="n">
        <v>0</v>
      </c>
    </row>
    <row r="60" spans="1:13">
      <c r="A60" s="1">
        <f>HYPERLINK("http://www.twitter.com/NathanBLawrence/status/1000823231882907648", "1000823231882907648")</f>
        <v/>
      </c>
      <c r="B60" s="2" t="n">
        <v>43247.81744212963</v>
      </c>
      <c r="C60" t="n">
        <v>0</v>
      </c>
      <c r="D60" t="n">
        <v>3</v>
      </c>
      <c r="E60" t="s">
        <v>71</v>
      </c>
      <c r="F60" t="s"/>
      <c r="G60" t="s"/>
      <c r="H60" t="s"/>
      <c r="I60" t="s"/>
      <c r="J60" t="n">
        <v>-0.6124000000000001</v>
      </c>
      <c r="K60" t="n">
        <v>0.444</v>
      </c>
      <c r="L60" t="n">
        <v>0.556</v>
      </c>
      <c r="M60" t="n">
        <v>0</v>
      </c>
    </row>
    <row r="61" spans="1:13">
      <c r="A61" s="1">
        <f>HYPERLINK("http://www.twitter.com/NathanBLawrence/status/1000822651143802880", "1000822651143802880")</f>
        <v/>
      </c>
      <c r="B61" s="2" t="n">
        <v>43247.81584490741</v>
      </c>
      <c r="C61" t="n">
        <v>2</v>
      </c>
      <c r="D61" t="n">
        <v>0</v>
      </c>
      <c r="E61" t="s">
        <v>72</v>
      </c>
      <c r="F61" t="s"/>
      <c r="G61" t="s"/>
      <c r="H61" t="s"/>
      <c r="I61" t="s"/>
      <c r="J61" t="n">
        <v>0.8781</v>
      </c>
      <c r="K61" t="n">
        <v>0</v>
      </c>
      <c r="L61" t="n">
        <v>0.627</v>
      </c>
      <c r="M61" t="n">
        <v>0.373</v>
      </c>
    </row>
    <row r="62" spans="1:13">
      <c r="A62" s="1">
        <f>HYPERLINK("http://www.twitter.com/NathanBLawrence/status/1000822312852250626", "1000822312852250626")</f>
        <v/>
      </c>
      <c r="B62" s="2" t="n">
        <v>43247.81490740741</v>
      </c>
      <c r="C62" t="n">
        <v>0</v>
      </c>
      <c r="D62" t="n">
        <v>1</v>
      </c>
      <c r="E62" t="s">
        <v>73</v>
      </c>
      <c r="F62" t="s"/>
      <c r="G62" t="s"/>
      <c r="H62" t="s"/>
      <c r="I62" t="s"/>
      <c r="J62" t="n">
        <v>0.3182</v>
      </c>
      <c r="K62" t="n">
        <v>0</v>
      </c>
      <c r="L62" t="n">
        <v>0.901</v>
      </c>
      <c r="M62" t="n">
        <v>0.099</v>
      </c>
    </row>
    <row r="63" spans="1:13">
      <c r="A63" s="1">
        <f>HYPERLINK("http://www.twitter.com/NathanBLawrence/status/1000822162406731777", "1000822162406731777")</f>
        <v/>
      </c>
      <c r="B63" s="2" t="n">
        <v>43247.81449074074</v>
      </c>
      <c r="C63" t="n">
        <v>0</v>
      </c>
      <c r="D63" t="n">
        <v>0</v>
      </c>
      <c r="E63" t="s">
        <v>74</v>
      </c>
      <c r="F63" t="s"/>
      <c r="G63" t="s"/>
      <c r="H63" t="s"/>
      <c r="I63" t="s"/>
      <c r="J63" t="n">
        <v>-0.8213</v>
      </c>
      <c r="K63" t="n">
        <v>0.221</v>
      </c>
      <c r="L63" t="n">
        <v>0.706</v>
      </c>
      <c r="M63" t="n">
        <v>0.073</v>
      </c>
    </row>
    <row r="64" spans="1:13">
      <c r="A64" s="1">
        <f>HYPERLINK("http://www.twitter.com/NathanBLawrence/status/1000820273719992321", "1000820273719992321")</f>
        <v/>
      </c>
      <c r="B64" s="2" t="n">
        <v>43247.8092824074</v>
      </c>
      <c r="C64" t="n">
        <v>0</v>
      </c>
      <c r="D64" t="n">
        <v>2</v>
      </c>
      <c r="E64" t="s">
        <v>75</v>
      </c>
      <c r="F64" t="s"/>
      <c r="G64" t="s"/>
      <c r="H64" t="s"/>
      <c r="I64" t="s"/>
      <c r="J64" t="n">
        <v>0.0772</v>
      </c>
      <c r="K64" t="n">
        <v>0</v>
      </c>
      <c r="L64" t="n">
        <v>0.9330000000000001</v>
      </c>
      <c r="M64" t="n">
        <v>0.067</v>
      </c>
    </row>
    <row r="65" spans="1:13">
      <c r="A65" s="1">
        <f>HYPERLINK("http://www.twitter.com/NathanBLawrence/status/1000820147886657536", "1000820147886657536")</f>
        <v/>
      </c>
      <c r="B65" s="2" t="n">
        <v>43247.80893518519</v>
      </c>
      <c r="C65" t="n">
        <v>0</v>
      </c>
      <c r="D65" t="n">
        <v>1</v>
      </c>
      <c r="E65" t="s">
        <v>76</v>
      </c>
      <c r="F65" t="s"/>
      <c r="G65" t="s"/>
      <c r="H65" t="s"/>
      <c r="I65" t="s"/>
      <c r="J65" t="n">
        <v>-0.4404</v>
      </c>
      <c r="K65" t="n">
        <v>0.17</v>
      </c>
      <c r="L65" t="n">
        <v>0.83</v>
      </c>
      <c r="M65" t="n">
        <v>0</v>
      </c>
    </row>
    <row r="66" spans="1:13">
      <c r="A66" s="1">
        <f>HYPERLINK("http://www.twitter.com/NathanBLawrence/status/1000819955510775810", "1000819955510775810")</f>
        <v/>
      </c>
      <c r="B66" s="2" t="n">
        <v>43247.80840277778</v>
      </c>
      <c r="C66" t="n">
        <v>0</v>
      </c>
      <c r="D66" t="n">
        <v>1</v>
      </c>
      <c r="E66" t="s">
        <v>77</v>
      </c>
      <c r="F66" t="s"/>
      <c r="G66" t="s"/>
      <c r="H66" t="s"/>
      <c r="I66" t="s"/>
      <c r="J66" t="n">
        <v>0.4939</v>
      </c>
      <c r="K66" t="n">
        <v>0</v>
      </c>
      <c r="L66" t="n">
        <v>0.862</v>
      </c>
      <c r="M66" t="n">
        <v>0.138</v>
      </c>
    </row>
    <row r="67" spans="1:13">
      <c r="A67" s="1">
        <f>HYPERLINK("http://www.twitter.com/NathanBLawrence/status/1000819878062800896", "1000819878062800896")</f>
        <v/>
      </c>
      <c r="B67" s="2" t="n">
        <v>43247.80818287037</v>
      </c>
      <c r="C67" t="n">
        <v>0</v>
      </c>
      <c r="D67" t="n">
        <v>0</v>
      </c>
      <c r="E67" t="s">
        <v>78</v>
      </c>
      <c r="F67" t="s"/>
      <c r="G67" t="s"/>
      <c r="H67" t="s"/>
      <c r="I67" t="s"/>
      <c r="J67" t="n">
        <v>0</v>
      </c>
      <c r="K67" t="n">
        <v>0</v>
      </c>
      <c r="L67" t="n">
        <v>1</v>
      </c>
      <c r="M67" t="n">
        <v>0</v>
      </c>
    </row>
    <row r="68" spans="1:13">
      <c r="A68" s="1">
        <f>HYPERLINK("http://www.twitter.com/NathanBLawrence/status/1000819809154715649", "1000819809154715649")</f>
        <v/>
      </c>
      <c r="B68" s="2" t="n">
        <v>43247.80799768519</v>
      </c>
      <c r="C68" t="n">
        <v>0</v>
      </c>
      <c r="D68" t="n">
        <v>1</v>
      </c>
      <c r="E68" t="s">
        <v>79</v>
      </c>
      <c r="F68" t="s"/>
      <c r="G68" t="s"/>
      <c r="H68" t="s"/>
      <c r="I68" t="s"/>
      <c r="J68" t="n">
        <v>0.6239</v>
      </c>
      <c r="K68" t="n">
        <v>0</v>
      </c>
      <c r="L68" t="n">
        <v>0.747</v>
      </c>
      <c r="M68" t="n">
        <v>0.253</v>
      </c>
    </row>
    <row r="69" spans="1:13">
      <c r="A69" s="1">
        <f>HYPERLINK("http://www.twitter.com/NathanBLawrence/status/1000819734458306560", "1000819734458306560")</f>
        <v/>
      </c>
      <c r="B69" s="2" t="n">
        <v>43247.80778935185</v>
      </c>
      <c r="C69" t="n">
        <v>0</v>
      </c>
      <c r="D69" t="n">
        <v>1</v>
      </c>
      <c r="E69" t="s">
        <v>80</v>
      </c>
      <c r="F69" t="s"/>
      <c r="G69" t="s"/>
      <c r="H69" t="s"/>
      <c r="I69" t="s"/>
      <c r="J69" t="n">
        <v>-0.5848</v>
      </c>
      <c r="K69" t="n">
        <v>0.147</v>
      </c>
      <c r="L69" t="n">
        <v>0.853</v>
      </c>
      <c r="M69" t="n">
        <v>0</v>
      </c>
    </row>
    <row r="70" spans="1:13">
      <c r="A70" s="1">
        <f>HYPERLINK("http://www.twitter.com/NathanBLawrence/status/1000819585594126336", "1000819585594126336")</f>
        <v/>
      </c>
      <c r="B70" s="2" t="n">
        <v>43247.80738425926</v>
      </c>
      <c r="C70" t="n">
        <v>0</v>
      </c>
      <c r="D70" t="n">
        <v>0</v>
      </c>
      <c r="E70" t="s">
        <v>81</v>
      </c>
      <c r="F70" t="s"/>
      <c r="G70" t="s"/>
      <c r="H70" t="s"/>
      <c r="I70" t="s"/>
      <c r="J70" t="n">
        <v>0.1116</v>
      </c>
      <c r="K70" t="n">
        <v>0.051</v>
      </c>
      <c r="L70" t="n">
        <v>0.872</v>
      </c>
      <c r="M70" t="n">
        <v>0.078</v>
      </c>
    </row>
    <row r="71" spans="1:13">
      <c r="A71" s="1">
        <f>HYPERLINK("http://www.twitter.com/NathanBLawrence/status/1000818146742325248", "1000818146742325248")</f>
        <v/>
      </c>
      <c r="B71" s="2" t="n">
        <v>43247.80341435185</v>
      </c>
      <c r="C71" t="n">
        <v>0</v>
      </c>
      <c r="D71" t="n">
        <v>43</v>
      </c>
      <c r="E71" t="s">
        <v>82</v>
      </c>
      <c r="F71" t="s"/>
      <c r="G71" t="s"/>
      <c r="H71" t="s"/>
      <c r="I71" t="s"/>
      <c r="J71" t="n">
        <v>-0.2716</v>
      </c>
      <c r="K71" t="n">
        <v>0.095</v>
      </c>
      <c r="L71" t="n">
        <v>0.905</v>
      </c>
      <c r="M71" t="n">
        <v>0</v>
      </c>
    </row>
    <row r="72" spans="1:13">
      <c r="A72" s="1">
        <f>HYPERLINK("http://www.twitter.com/NathanBLawrence/status/1000818082389135360", "1000818082389135360")</f>
        <v/>
      </c>
      <c r="B72" s="2" t="n">
        <v>43247.80322916667</v>
      </c>
      <c r="C72" t="n">
        <v>0</v>
      </c>
      <c r="D72" t="n">
        <v>31</v>
      </c>
      <c r="E72" t="s">
        <v>83</v>
      </c>
      <c r="F72" t="s"/>
      <c r="G72" t="s"/>
      <c r="H72" t="s"/>
      <c r="I72" t="s"/>
      <c r="J72" t="n">
        <v>-0.1027</v>
      </c>
      <c r="K72" t="n">
        <v>0.065</v>
      </c>
      <c r="L72" t="n">
        <v>0.9350000000000001</v>
      </c>
      <c r="M72" t="n">
        <v>0</v>
      </c>
    </row>
    <row r="73" spans="1:13">
      <c r="A73" s="1">
        <f>HYPERLINK("http://www.twitter.com/NathanBLawrence/status/1000818019730427906", "1000818019730427906")</f>
        <v/>
      </c>
      <c r="B73" s="2" t="n">
        <v>43247.80305555555</v>
      </c>
      <c r="C73" t="n">
        <v>0</v>
      </c>
      <c r="D73" t="n">
        <v>0</v>
      </c>
      <c r="E73" t="s">
        <v>84</v>
      </c>
      <c r="F73" t="s"/>
      <c r="G73" t="s"/>
      <c r="H73" t="s"/>
      <c r="I73" t="s"/>
      <c r="J73" t="n">
        <v>0.296</v>
      </c>
      <c r="K73" t="n">
        <v>0</v>
      </c>
      <c r="L73" t="n">
        <v>0.864</v>
      </c>
      <c r="M73" t="n">
        <v>0.136</v>
      </c>
    </row>
    <row r="74" spans="1:13">
      <c r="A74" s="1">
        <f>HYPERLINK("http://www.twitter.com/NathanBLawrence/status/1000817636433940482", "1000817636433940482")</f>
        <v/>
      </c>
      <c r="B74" s="2" t="n">
        <v>43247.80200231481</v>
      </c>
      <c r="C74" t="n">
        <v>0</v>
      </c>
      <c r="D74" t="n">
        <v>75</v>
      </c>
      <c r="E74" t="s">
        <v>85</v>
      </c>
      <c r="F74" t="s"/>
      <c r="G74" t="s"/>
      <c r="H74" t="s"/>
      <c r="I74" t="s"/>
      <c r="J74" t="n">
        <v>0</v>
      </c>
      <c r="K74" t="n">
        <v>0</v>
      </c>
      <c r="L74" t="n">
        <v>1</v>
      </c>
      <c r="M74" t="n">
        <v>0</v>
      </c>
    </row>
    <row r="75" spans="1:13">
      <c r="A75" s="1">
        <f>HYPERLINK("http://www.twitter.com/NathanBLawrence/status/1000817550798802944", "1000817550798802944")</f>
        <v/>
      </c>
      <c r="B75" s="2" t="n">
        <v>43247.80177083334</v>
      </c>
      <c r="C75" t="n">
        <v>0</v>
      </c>
      <c r="D75" t="n">
        <v>0</v>
      </c>
      <c r="E75" t="s">
        <v>86</v>
      </c>
      <c r="F75" t="s"/>
      <c r="G75" t="s"/>
      <c r="H75" t="s"/>
      <c r="I75" t="s"/>
      <c r="J75" t="n">
        <v>-0.7845</v>
      </c>
      <c r="K75" t="n">
        <v>0.273</v>
      </c>
      <c r="L75" t="n">
        <v>0.727</v>
      </c>
      <c r="M75" t="n">
        <v>0</v>
      </c>
    </row>
    <row r="76" spans="1:13">
      <c r="A76" s="1">
        <f>HYPERLINK("http://www.twitter.com/NathanBLawrence/status/1000816923939090442", "1000816923939090442")</f>
        <v/>
      </c>
      <c r="B76" s="2" t="n">
        <v>43247.80003472222</v>
      </c>
      <c r="C76" t="n">
        <v>0</v>
      </c>
      <c r="D76" t="n">
        <v>100</v>
      </c>
      <c r="E76" t="s">
        <v>87</v>
      </c>
      <c r="F76" t="s"/>
      <c r="G76" t="s"/>
      <c r="H76" t="s"/>
      <c r="I76" t="s"/>
      <c r="J76" t="n">
        <v>-0.25</v>
      </c>
      <c r="K76" t="n">
        <v>0.111</v>
      </c>
      <c r="L76" t="n">
        <v>0.889</v>
      </c>
      <c r="M76" t="n">
        <v>0</v>
      </c>
    </row>
    <row r="77" spans="1:13">
      <c r="A77" s="1">
        <f>HYPERLINK("http://www.twitter.com/NathanBLawrence/status/1000816809887588353", "1000816809887588353")</f>
        <v/>
      </c>
      <c r="B77" s="2" t="n">
        <v>43247.79972222223</v>
      </c>
      <c r="C77" t="n">
        <v>0</v>
      </c>
      <c r="D77" t="n">
        <v>25613</v>
      </c>
      <c r="E77" t="s">
        <v>88</v>
      </c>
      <c r="F77" t="s"/>
      <c r="G77" t="s"/>
      <c r="H77" t="s"/>
      <c r="I77" t="s"/>
      <c r="J77" t="n">
        <v>-0.1531</v>
      </c>
      <c r="K77" t="n">
        <v>0.08500000000000001</v>
      </c>
      <c r="L77" t="n">
        <v>0.855</v>
      </c>
      <c r="M77" t="n">
        <v>0.06</v>
      </c>
    </row>
    <row r="78" spans="1:13">
      <c r="A78" s="1">
        <f>HYPERLINK("http://www.twitter.com/NathanBLawrence/status/1000816717222895624", "1000816717222895624")</f>
        <v/>
      </c>
      <c r="B78" s="2" t="n">
        <v>43247.79946759259</v>
      </c>
      <c r="C78" t="n">
        <v>0</v>
      </c>
      <c r="D78" t="n">
        <v>1</v>
      </c>
      <c r="E78" t="s">
        <v>89</v>
      </c>
      <c r="F78" t="s"/>
      <c r="G78" t="s"/>
      <c r="H78" t="s"/>
      <c r="I78" t="s"/>
      <c r="J78" t="n">
        <v>0.34</v>
      </c>
      <c r="K78" t="n">
        <v>0.091</v>
      </c>
      <c r="L78" t="n">
        <v>0.772</v>
      </c>
      <c r="M78" t="n">
        <v>0.138</v>
      </c>
    </row>
    <row r="79" spans="1:13">
      <c r="A79" s="1">
        <f>HYPERLINK("http://www.twitter.com/NathanBLawrence/status/1000816640790024192", "1000816640790024192")</f>
        <v/>
      </c>
      <c r="B79" s="2" t="n">
        <v>43247.79925925926</v>
      </c>
      <c r="C79" t="n">
        <v>0</v>
      </c>
      <c r="D79" t="n">
        <v>1</v>
      </c>
      <c r="E79" t="s">
        <v>90</v>
      </c>
      <c r="F79" t="s"/>
      <c r="G79" t="s"/>
      <c r="H79" t="s"/>
      <c r="I79" t="s"/>
      <c r="J79" t="n">
        <v>-0.8519</v>
      </c>
      <c r="K79" t="n">
        <v>0.354</v>
      </c>
      <c r="L79" t="n">
        <v>0.646</v>
      </c>
      <c r="M79" t="n">
        <v>0</v>
      </c>
    </row>
    <row r="80" spans="1:13">
      <c r="A80" s="1">
        <f>HYPERLINK("http://www.twitter.com/NathanBLawrence/status/1000816171892006912", "1000816171892006912")</f>
        <v/>
      </c>
      <c r="B80" s="2" t="n">
        <v>43247.79796296296</v>
      </c>
      <c r="C80" t="n">
        <v>0</v>
      </c>
      <c r="D80" t="n">
        <v>1</v>
      </c>
      <c r="E80" t="s">
        <v>91</v>
      </c>
      <c r="F80" t="s"/>
      <c r="G80" t="s"/>
      <c r="H80" t="s"/>
      <c r="I80" t="s"/>
      <c r="J80" t="n">
        <v>-0.2481</v>
      </c>
      <c r="K80" t="n">
        <v>0.171</v>
      </c>
      <c r="L80" t="n">
        <v>0.702</v>
      </c>
      <c r="M80" t="n">
        <v>0.127</v>
      </c>
    </row>
    <row r="81" spans="1:13">
      <c r="A81" s="1">
        <f>HYPERLINK("http://www.twitter.com/NathanBLawrence/status/1000815766244118528", "1000815766244118528")</f>
        <v/>
      </c>
      <c r="B81" s="2" t="n">
        <v>43247.79684027778</v>
      </c>
      <c r="C81" t="n">
        <v>0</v>
      </c>
      <c r="D81" t="n">
        <v>1</v>
      </c>
      <c r="E81" t="s">
        <v>92</v>
      </c>
      <c r="F81" t="s"/>
      <c r="G81" t="s"/>
      <c r="H81" t="s"/>
      <c r="I81" t="s"/>
      <c r="J81" t="n">
        <v>0.3612</v>
      </c>
      <c r="K81" t="n">
        <v>0</v>
      </c>
      <c r="L81" t="n">
        <v>0.884</v>
      </c>
      <c r="M81" t="n">
        <v>0.116</v>
      </c>
    </row>
    <row r="82" spans="1:13">
      <c r="A82" s="1">
        <f>HYPERLINK("http://www.twitter.com/NathanBLawrence/status/1000815453848121345", "1000815453848121345")</f>
        <v/>
      </c>
      <c r="B82" s="2" t="n">
        <v>43247.7959837963</v>
      </c>
      <c r="C82" t="n">
        <v>0</v>
      </c>
      <c r="D82" t="n">
        <v>4</v>
      </c>
      <c r="E82" t="s">
        <v>93</v>
      </c>
      <c r="F82" t="s"/>
      <c r="G82" t="s"/>
      <c r="H82" t="s"/>
      <c r="I82" t="s"/>
      <c r="J82" t="n">
        <v>-0.0258</v>
      </c>
      <c r="K82" t="n">
        <v>0.132</v>
      </c>
      <c r="L82" t="n">
        <v>0.741</v>
      </c>
      <c r="M82" t="n">
        <v>0.128</v>
      </c>
    </row>
    <row r="83" spans="1:13">
      <c r="A83" s="1">
        <f>HYPERLINK("http://www.twitter.com/NathanBLawrence/status/1000815295068590080", "1000815295068590080")</f>
        <v/>
      </c>
      <c r="B83" s="2" t="n">
        <v>43247.79554398148</v>
      </c>
      <c r="C83" t="n">
        <v>0</v>
      </c>
      <c r="D83" t="n">
        <v>0</v>
      </c>
      <c r="E83" t="s">
        <v>94</v>
      </c>
      <c r="F83" t="s"/>
      <c r="G83" t="s"/>
      <c r="H83" t="s"/>
      <c r="I83" t="s"/>
      <c r="J83" t="n">
        <v>0.6798999999999999</v>
      </c>
      <c r="K83" t="n">
        <v>0.061</v>
      </c>
      <c r="L83" t="n">
        <v>0.715</v>
      </c>
      <c r="M83" t="n">
        <v>0.225</v>
      </c>
    </row>
    <row r="84" spans="1:13">
      <c r="A84" s="1">
        <f>HYPERLINK("http://www.twitter.com/NathanBLawrence/status/1000814525388591104", "1000814525388591104")</f>
        <v/>
      </c>
      <c r="B84" s="2" t="n">
        <v>43247.79341435185</v>
      </c>
      <c r="C84" t="n">
        <v>2</v>
      </c>
      <c r="D84" t="n">
        <v>0</v>
      </c>
      <c r="E84" t="s">
        <v>95</v>
      </c>
      <c r="F84" t="s"/>
      <c r="G84" t="s"/>
      <c r="H84" t="s"/>
      <c r="I84" t="s"/>
      <c r="J84" t="n">
        <v>0.296</v>
      </c>
      <c r="K84" t="n">
        <v>0</v>
      </c>
      <c r="L84" t="n">
        <v>0.476</v>
      </c>
      <c r="M84" t="n">
        <v>0.524</v>
      </c>
    </row>
    <row r="85" spans="1:13">
      <c r="A85" s="1">
        <f>HYPERLINK("http://www.twitter.com/NathanBLawrence/status/1000814447823409152", "1000814447823409152")</f>
        <v/>
      </c>
      <c r="B85" s="2" t="n">
        <v>43247.79320601852</v>
      </c>
      <c r="C85" t="n">
        <v>0</v>
      </c>
      <c r="D85" t="n">
        <v>0</v>
      </c>
      <c r="E85" t="s">
        <v>96</v>
      </c>
      <c r="F85" t="s"/>
      <c r="G85" t="s"/>
      <c r="H85" t="s"/>
      <c r="I85" t="s"/>
      <c r="J85" t="n">
        <v>0</v>
      </c>
      <c r="K85" t="n">
        <v>0</v>
      </c>
      <c r="L85" t="n">
        <v>1</v>
      </c>
      <c r="M85" t="n">
        <v>0</v>
      </c>
    </row>
    <row r="86" spans="1:13">
      <c r="A86" s="1">
        <f>HYPERLINK("http://www.twitter.com/NathanBLawrence/status/1000814141580480512", "1000814141580480512")</f>
        <v/>
      </c>
      <c r="B86" s="2" t="n">
        <v>43247.79236111111</v>
      </c>
      <c r="C86" t="n">
        <v>0</v>
      </c>
      <c r="D86" t="n">
        <v>68</v>
      </c>
      <c r="E86" t="s">
        <v>97</v>
      </c>
      <c r="F86" t="s"/>
      <c r="G86" t="s"/>
      <c r="H86" t="s"/>
      <c r="I86" t="s"/>
      <c r="J86" t="n">
        <v>0.5719</v>
      </c>
      <c r="K86" t="n">
        <v>0</v>
      </c>
      <c r="L86" t="n">
        <v>0.8169999999999999</v>
      </c>
      <c r="M86" t="n">
        <v>0.183</v>
      </c>
    </row>
    <row r="87" spans="1:13">
      <c r="A87" s="1">
        <f>HYPERLINK("http://www.twitter.com/NathanBLawrence/status/1000814068305932289", "1000814068305932289")</f>
        <v/>
      </c>
      <c r="B87" s="2" t="n">
        <v>43247.79215277778</v>
      </c>
      <c r="C87" t="n">
        <v>0</v>
      </c>
      <c r="D87" t="n">
        <v>0</v>
      </c>
      <c r="E87" t="s">
        <v>98</v>
      </c>
      <c r="F87" t="s"/>
      <c r="G87" t="s"/>
      <c r="H87" t="s"/>
      <c r="I87" t="s"/>
      <c r="J87" t="n">
        <v>0</v>
      </c>
      <c r="K87" t="n">
        <v>0.156</v>
      </c>
      <c r="L87" t="n">
        <v>0.6879999999999999</v>
      </c>
      <c r="M87" t="n">
        <v>0.156</v>
      </c>
    </row>
    <row r="88" spans="1:13">
      <c r="A88" s="1">
        <f>HYPERLINK("http://www.twitter.com/NathanBLawrence/status/1000813817645993985", "1000813817645993985")</f>
        <v/>
      </c>
      <c r="B88" s="2" t="n">
        <v>43247.79146990741</v>
      </c>
      <c r="C88" t="n">
        <v>0</v>
      </c>
      <c r="D88" t="n">
        <v>48</v>
      </c>
      <c r="E88" t="s">
        <v>99</v>
      </c>
      <c r="F88" t="s"/>
      <c r="G88" t="s"/>
      <c r="H88" t="s"/>
      <c r="I88" t="s"/>
      <c r="J88" t="n">
        <v>-0.0276</v>
      </c>
      <c r="K88" t="n">
        <v>0.125</v>
      </c>
      <c r="L88" t="n">
        <v>0.755</v>
      </c>
      <c r="M88" t="n">
        <v>0.121</v>
      </c>
    </row>
    <row r="89" spans="1:13">
      <c r="A89" s="1">
        <f>HYPERLINK("http://www.twitter.com/NathanBLawrence/status/1000813759588454400", "1000813759588454400")</f>
        <v/>
      </c>
      <c r="B89" s="2" t="n">
        <v>43247.79130787037</v>
      </c>
      <c r="C89" t="n">
        <v>0</v>
      </c>
      <c r="D89" t="n">
        <v>10</v>
      </c>
      <c r="E89" t="s">
        <v>100</v>
      </c>
      <c r="F89" t="s"/>
      <c r="G89" t="s"/>
      <c r="H89" t="s"/>
      <c r="I89" t="s"/>
      <c r="J89" t="n">
        <v>-0.8225</v>
      </c>
      <c r="K89" t="n">
        <v>0.301</v>
      </c>
      <c r="L89" t="n">
        <v>0.625</v>
      </c>
      <c r="M89" t="n">
        <v>0.074</v>
      </c>
    </row>
    <row r="90" spans="1:13">
      <c r="A90" s="1">
        <f>HYPERLINK("http://www.twitter.com/NathanBLawrence/status/1000813656559570945", "1000813656559570945")</f>
        <v/>
      </c>
      <c r="B90" s="2" t="n">
        <v>43247.79101851852</v>
      </c>
      <c r="C90" t="n">
        <v>0</v>
      </c>
      <c r="D90" t="n">
        <v>20</v>
      </c>
      <c r="E90" t="s">
        <v>101</v>
      </c>
      <c r="F90" t="s"/>
      <c r="G90" t="s"/>
      <c r="H90" t="s"/>
      <c r="I90" t="s"/>
      <c r="J90" t="n">
        <v>-0.5859</v>
      </c>
      <c r="K90" t="n">
        <v>0.297</v>
      </c>
      <c r="L90" t="n">
        <v>0.703</v>
      </c>
      <c r="M90" t="n">
        <v>0</v>
      </c>
    </row>
    <row r="91" spans="1:13">
      <c r="A91" s="1">
        <f>HYPERLINK("http://www.twitter.com/NathanBLawrence/status/1000813605238067201", "1000813605238067201")</f>
        <v/>
      </c>
      <c r="B91" s="2" t="n">
        <v>43247.79087962963</v>
      </c>
      <c r="C91" t="n">
        <v>0</v>
      </c>
      <c r="D91" t="n">
        <v>0</v>
      </c>
      <c r="E91" t="s">
        <v>102</v>
      </c>
      <c r="F91" t="s"/>
      <c r="G91" t="s"/>
      <c r="H91" t="s"/>
      <c r="I91" t="s"/>
      <c r="J91" t="n">
        <v>0</v>
      </c>
      <c r="K91" t="n">
        <v>0</v>
      </c>
      <c r="L91" t="n">
        <v>1</v>
      </c>
      <c r="M91" t="n">
        <v>0</v>
      </c>
    </row>
    <row r="92" spans="1:13">
      <c r="A92" s="1">
        <f>HYPERLINK("http://www.twitter.com/NathanBLawrence/status/1000813419216465920", "1000813419216465920")</f>
        <v/>
      </c>
      <c r="B92" s="2" t="n">
        <v>43247.79037037037</v>
      </c>
      <c r="C92" t="n">
        <v>0</v>
      </c>
      <c r="D92" t="n">
        <v>19</v>
      </c>
      <c r="E92" t="s">
        <v>103</v>
      </c>
      <c r="F92" t="s"/>
      <c r="G92" t="s"/>
      <c r="H92" t="s"/>
      <c r="I92" t="s"/>
      <c r="J92" t="n">
        <v>-0.6705</v>
      </c>
      <c r="K92" t="n">
        <v>0.282</v>
      </c>
      <c r="L92" t="n">
        <v>0.615</v>
      </c>
      <c r="M92" t="n">
        <v>0.104</v>
      </c>
    </row>
    <row r="93" spans="1:13">
      <c r="A93" s="1">
        <f>HYPERLINK("http://www.twitter.com/NathanBLawrence/status/1000812703403986948", "1000812703403986948")</f>
        <v/>
      </c>
      <c r="B93" s="2" t="n">
        <v>43247.78839120371</v>
      </c>
      <c r="C93" t="n">
        <v>3</v>
      </c>
      <c r="D93" t="n">
        <v>0</v>
      </c>
      <c r="E93" t="s">
        <v>104</v>
      </c>
      <c r="F93" t="s"/>
      <c r="G93" t="s"/>
      <c r="H93" t="s"/>
      <c r="I93" t="s"/>
      <c r="J93" t="n">
        <v>0.4374</v>
      </c>
      <c r="K93" t="n">
        <v>0</v>
      </c>
      <c r="L93" t="n">
        <v>0.581</v>
      </c>
      <c r="M93" t="n">
        <v>0.419</v>
      </c>
    </row>
    <row r="94" spans="1:13">
      <c r="A94" s="1">
        <f>HYPERLINK("http://www.twitter.com/NathanBLawrence/status/1000811814035345411", "1000811814035345411")</f>
        <v/>
      </c>
      <c r="B94" s="2" t="n">
        <v>43247.7859375</v>
      </c>
      <c r="C94" t="n">
        <v>0</v>
      </c>
      <c r="D94" t="n">
        <v>19</v>
      </c>
      <c r="E94" t="s">
        <v>105</v>
      </c>
      <c r="F94" t="s"/>
      <c r="G94" t="s"/>
      <c r="H94" t="s"/>
      <c r="I94" t="s"/>
      <c r="J94" t="n">
        <v>0.6433</v>
      </c>
      <c r="K94" t="n">
        <v>0</v>
      </c>
      <c r="L94" t="n">
        <v>0.792</v>
      </c>
      <c r="M94" t="n">
        <v>0.208</v>
      </c>
    </row>
    <row r="95" spans="1:13">
      <c r="A95" s="1">
        <f>HYPERLINK("http://www.twitter.com/NathanBLawrence/status/1000811669004701702", "1000811669004701702")</f>
        <v/>
      </c>
      <c r="B95" s="2" t="n">
        <v>43247.7855324074</v>
      </c>
      <c r="C95" t="n">
        <v>0</v>
      </c>
      <c r="D95" t="n">
        <v>39</v>
      </c>
      <c r="E95" t="s">
        <v>106</v>
      </c>
      <c r="F95" t="s"/>
      <c r="G95" t="s"/>
      <c r="H95" t="s"/>
      <c r="I95" t="s"/>
      <c r="J95" t="n">
        <v>0.1761</v>
      </c>
      <c r="K95" t="n">
        <v>0.109</v>
      </c>
      <c r="L95" t="n">
        <v>0.753</v>
      </c>
      <c r="M95" t="n">
        <v>0.138</v>
      </c>
    </row>
    <row r="96" spans="1:13">
      <c r="A96" s="1">
        <f>HYPERLINK("http://www.twitter.com/NathanBLawrence/status/1000811103562162176", "1000811103562162176")</f>
        <v/>
      </c>
      <c r="B96" s="2" t="n">
        <v>43247.78396990741</v>
      </c>
      <c r="C96" t="n">
        <v>0</v>
      </c>
      <c r="D96" t="n">
        <v>205</v>
      </c>
      <c r="E96" t="s">
        <v>107</v>
      </c>
      <c r="F96" t="s"/>
      <c r="G96" t="s"/>
      <c r="H96" t="s"/>
      <c r="I96" t="s"/>
      <c r="J96" t="n">
        <v>-0.2023</v>
      </c>
      <c r="K96" t="n">
        <v>0.168</v>
      </c>
      <c r="L96" t="n">
        <v>0.738</v>
      </c>
      <c r="M96" t="n">
        <v>0.094</v>
      </c>
    </row>
    <row r="97" spans="1:13">
      <c r="A97" s="1">
        <f>HYPERLINK("http://www.twitter.com/NathanBLawrence/status/1000810986868273152", "1000810986868273152")</f>
        <v/>
      </c>
      <c r="B97" s="2" t="n">
        <v>43247.78365740741</v>
      </c>
      <c r="C97" t="n">
        <v>0</v>
      </c>
      <c r="D97" t="n">
        <v>7817</v>
      </c>
      <c r="E97" t="s">
        <v>108</v>
      </c>
      <c r="F97" t="s"/>
      <c r="G97" t="s"/>
      <c r="H97" t="s"/>
      <c r="I97" t="s"/>
      <c r="J97" t="n">
        <v>-0.25</v>
      </c>
      <c r="K97" t="n">
        <v>0.08</v>
      </c>
      <c r="L97" t="n">
        <v>0.92</v>
      </c>
      <c r="M97" t="n">
        <v>0</v>
      </c>
    </row>
    <row r="98" spans="1:13">
      <c r="A98" s="1">
        <f>HYPERLINK("http://www.twitter.com/NathanBLawrence/status/1000810333617971201", "1000810333617971201")</f>
        <v/>
      </c>
      <c r="B98" s="2" t="n">
        <v>43247.78185185185</v>
      </c>
      <c r="C98" t="n">
        <v>0</v>
      </c>
      <c r="D98" t="n">
        <v>0</v>
      </c>
      <c r="E98" t="s">
        <v>109</v>
      </c>
      <c r="F98" t="s"/>
      <c r="G98" t="s"/>
      <c r="H98" t="s"/>
      <c r="I98" t="s"/>
      <c r="J98" t="n">
        <v>-0.7845</v>
      </c>
      <c r="K98" t="n">
        <v>0.305</v>
      </c>
      <c r="L98" t="n">
        <v>0.695</v>
      </c>
      <c r="M98" t="n">
        <v>0</v>
      </c>
    </row>
    <row r="99" spans="1:13">
      <c r="A99" s="1">
        <f>HYPERLINK("http://www.twitter.com/NathanBLawrence/status/1000807715478917120", "1000807715478917120")</f>
        <v/>
      </c>
      <c r="B99" s="2" t="n">
        <v>43247.77462962963</v>
      </c>
      <c r="C99" t="n">
        <v>0</v>
      </c>
      <c r="D99" t="n">
        <v>5</v>
      </c>
      <c r="E99" t="s">
        <v>110</v>
      </c>
      <c r="F99" t="s"/>
      <c r="G99" t="s"/>
      <c r="H99" t="s"/>
      <c r="I99" t="s"/>
      <c r="J99" t="n">
        <v>0.5719</v>
      </c>
      <c r="K99" t="n">
        <v>0</v>
      </c>
      <c r="L99" t="n">
        <v>0.778</v>
      </c>
      <c r="M99" t="n">
        <v>0.222</v>
      </c>
    </row>
    <row r="100" spans="1:13">
      <c r="A100" s="1">
        <f>HYPERLINK("http://www.twitter.com/NathanBLawrence/status/1000807235184939008", "1000807235184939008")</f>
        <v/>
      </c>
      <c r="B100" s="2" t="n">
        <v>43247.77329861111</v>
      </c>
      <c r="C100" t="n">
        <v>0</v>
      </c>
      <c r="D100" t="n">
        <v>0</v>
      </c>
      <c r="E100" t="s">
        <v>111</v>
      </c>
      <c r="F100" t="s"/>
      <c r="G100" t="s"/>
      <c r="H100" t="s"/>
      <c r="I100" t="s"/>
      <c r="J100" t="n">
        <v>0</v>
      </c>
      <c r="K100" t="n">
        <v>0</v>
      </c>
      <c r="L100" t="n">
        <v>1</v>
      </c>
      <c r="M100" t="n">
        <v>0</v>
      </c>
    </row>
    <row r="101" spans="1:13">
      <c r="A101" s="1">
        <f>HYPERLINK("http://www.twitter.com/NathanBLawrence/status/1000807210807648256", "1000807210807648256")</f>
        <v/>
      </c>
      <c r="B101" s="2" t="n">
        <v>43247.77322916667</v>
      </c>
      <c r="C101" t="n">
        <v>0</v>
      </c>
      <c r="D101" t="n">
        <v>533</v>
      </c>
      <c r="E101" t="s">
        <v>112</v>
      </c>
      <c r="F101" t="s"/>
      <c r="G101" t="s"/>
      <c r="H101" t="s"/>
      <c r="I101" t="s"/>
      <c r="J101" t="n">
        <v>0.4939</v>
      </c>
      <c r="K101" t="n">
        <v>0</v>
      </c>
      <c r="L101" t="n">
        <v>0.824</v>
      </c>
      <c r="M101" t="n">
        <v>0.176</v>
      </c>
    </row>
    <row r="102" spans="1:13">
      <c r="A102" s="1">
        <f>HYPERLINK("http://www.twitter.com/NathanBLawrence/status/1000807139772911618", "1000807139772911618")</f>
        <v/>
      </c>
      <c r="B102" s="2" t="n">
        <v>43247.77303240741</v>
      </c>
      <c r="C102" t="n">
        <v>4</v>
      </c>
      <c r="D102" t="n">
        <v>0</v>
      </c>
      <c r="E102" t="s">
        <v>113</v>
      </c>
      <c r="F102" t="s"/>
      <c r="G102" t="s"/>
      <c r="H102" t="s"/>
      <c r="I102" t="s"/>
      <c r="J102" t="n">
        <v>0.7906</v>
      </c>
      <c r="K102" t="n">
        <v>0</v>
      </c>
      <c r="L102" t="n">
        <v>0.556</v>
      </c>
      <c r="M102" t="n">
        <v>0.444</v>
      </c>
    </row>
    <row r="103" spans="1:13">
      <c r="A103" s="1">
        <f>HYPERLINK("http://www.twitter.com/NathanBLawrence/status/1000806760310067200", "1000806760310067200")</f>
        <v/>
      </c>
      <c r="B103" s="2" t="n">
        <v>43247.77199074074</v>
      </c>
      <c r="C103" t="n">
        <v>0</v>
      </c>
      <c r="D103" t="n">
        <v>532</v>
      </c>
      <c r="E103" t="s">
        <v>114</v>
      </c>
      <c r="F103" t="s"/>
      <c r="G103" t="s"/>
      <c r="H103" t="s"/>
      <c r="I103" t="s"/>
      <c r="J103" t="n">
        <v>0.34</v>
      </c>
      <c r="K103" t="n">
        <v>0.105</v>
      </c>
      <c r="L103" t="n">
        <v>0.709</v>
      </c>
      <c r="M103" t="n">
        <v>0.186</v>
      </c>
    </row>
    <row r="104" spans="1:13">
      <c r="A104" s="1">
        <f>HYPERLINK("http://www.twitter.com/NathanBLawrence/status/1000806667536228354", "1000806667536228354")</f>
        <v/>
      </c>
      <c r="B104" s="2" t="n">
        <v>43247.77173611111</v>
      </c>
      <c r="C104" t="n">
        <v>1</v>
      </c>
      <c r="D104" t="n">
        <v>0</v>
      </c>
      <c r="E104" t="s">
        <v>115</v>
      </c>
      <c r="F104" t="s"/>
      <c r="G104" t="s"/>
      <c r="H104" t="s"/>
      <c r="I104" t="s"/>
      <c r="J104" t="n">
        <v>0.25</v>
      </c>
      <c r="K104" t="n">
        <v>0</v>
      </c>
      <c r="L104" t="n">
        <v>0.867</v>
      </c>
      <c r="M104" t="n">
        <v>0.133</v>
      </c>
    </row>
    <row r="105" spans="1:13">
      <c r="A105" s="1">
        <f>HYPERLINK("http://www.twitter.com/NathanBLawrence/status/1000806193248587776", "1000806193248587776")</f>
        <v/>
      </c>
      <c r="B105" s="2" t="n">
        <v>43247.77042824074</v>
      </c>
      <c r="C105" t="n">
        <v>0</v>
      </c>
      <c r="D105" t="n">
        <v>0</v>
      </c>
      <c r="E105" t="s">
        <v>116</v>
      </c>
      <c r="F105" t="s"/>
      <c r="G105" t="s"/>
      <c r="H105" t="s"/>
      <c r="I105" t="s"/>
      <c r="J105" t="n">
        <v>0</v>
      </c>
      <c r="K105" t="n">
        <v>0</v>
      </c>
      <c r="L105" t="n">
        <v>1</v>
      </c>
      <c r="M105" t="n">
        <v>0</v>
      </c>
    </row>
    <row r="106" spans="1:13">
      <c r="A106" s="1">
        <f>HYPERLINK("http://www.twitter.com/NathanBLawrence/status/1000805678079008768", "1000805678079008768")</f>
        <v/>
      </c>
      <c r="B106" s="2" t="n">
        <v>43247.76900462963</v>
      </c>
      <c r="C106" t="n">
        <v>0</v>
      </c>
      <c r="D106" t="n">
        <v>371</v>
      </c>
      <c r="E106" t="s">
        <v>117</v>
      </c>
      <c r="F106" t="s"/>
      <c r="G106" t="s"/>
      <c r="H106" t="s"/>
      <c r="I106" t="s"/>
      <c r="J106" t="n">
        <v>-0.2481</v>
      </c>
      <c r="K106" t="n">
        <v>0.201</v>
      </c>
      <c r="L106" t="n">
        <v>0.6840000000000001</v>
      </c>
      <c r="M106" t="n">
        <v>0.115</v>
      </c>
    </row>
    <row r="107" spans="1:13">
      <c r="A107" s="1">
        <f>HYPERLINK("http://www.twitter.com/NathanBLawrence/status/1000805625226547200", "1000805625226547200")</f>
        <v/>
      </c>
      <c r="B107" s="2" t="n">
        <v>43247.76885416666</v>
      </c>
      <c r="C107" t="n">
        <v>1</v>
      </c>
      <c r="D107" t="n">
        <v>1</v>
      </c>
      <c r="E107" t="s">
        <v>118</v>
      </c>
      <c r="F107" t="s"/>
      <c r="G107" t="s"/>
      <c r="H107" t="s"/>
      <c r="I107" t="s"/>
      <c r="J107" t="n">
        <v>-0.4939</v>
      </c>
      <c r="K107" t="n">
        <v>0.286</v>
      </c>
      <c r="L107" t="n">
        <v>0.714</v>
      </c>
      <c r="M107" t="n">
        <v>0</v>
      </c>
    </row>
    <row r="108" spans="1:13">
      <c r="A108" s="1">
        <f>HYPERLINK("http://www.twitter.com/NathanBLawrence/status/1000805264549908480", "1000805264549908480")</f>
        <v/>
      </c>
      <c r="B108" s="2" t="n">
        <v>43247.76785879629</v>
      </c>
      <c r="C108" t="n">
        <v>0</v>
      </c>
      <c r="D108" t="n">
        <v>905</v>
      </c>
      <c r="E108" t="s">
        <v>119</v>
      </c>
      <c r="F108" t="s"/>
      <c r="G108" t="s"/>
      <c r="H108" t="s"/>
      <c r="I108" t="s"/>
      <c r="J108" t="n">
        <v>-0.5362</v>
      </c>
      <c r="K108" t="n">
        <v>0.154</v>
      </c>
      <c r="L108" t="n">
        <v>0.846</v>
      </c>
      <c r="M108" t="n">
        <v>0</v>
      </c>
    </row>
    <row r="109" spans="1:13">
      <c r="A109" s="1">
        <f>HYPERLINK("http://www.twitter.com/NathanBLawrence/status/1000805092981960706", "1000805092981960706")</f>
        <v/>
      </c>
      <c r="B109" s="2" t="n">
        <v>43247.76738425926</v>
      </c>
      <c r="C109" t="n">
        <v>0</v>
      </c>
      <c r="D109" t="n">
        <v>10</v>
      </c>
      <c r="E109" t="s">
        <v>120</v>
      </c>
      <c r="F109" t="s"/>
      <c r="G109" t="s"/>
      <c r="H109" t="s"/>
      <c r="I109" t="s"/>
      <c r="J109" t="n">
        <v>0</v>
      </c>
      <c r="K109" t="n">
        <v>0</v>
      </c>
      <c r="L109" t="n">
        <v>1</v>
      </c>
      <c r="M109" t="n">
        <v>0</v>
      </c>
    </row>
    <row r="110" spans="1:13">
      <c r="A110" s="1">
        <f>HYPERLINK("http://www.twitter.com/NathanBLawrence/status/1000804990489972736", "1000804990489972736")</f>
        <v/>
      </c>
      <c r="B110" s="2" t="n">
        <v>43247.76710648148</v>
      </c>
      <c r="C110" t="n">
        <v>0</v>
      </c>
      <c r="D110" t="n">
        <v>2</v>
      </c>
      <c r="E110" t="s">
        <v>121</v>
      </c>
      <c r="F110" t="s"/>
      <c r="G110" t="s"/>
      <c r="H110" t="s"/>
      <c r="I110" t="s"/>
      <c r="J110" t="n">
        <v>-0.6908</v>
      </c>
      <c r="K110" t="n">
        <v>0.176</v>
      </c>
      <c r="L110" t="n">
        <v>0.824</v>
      </c>
      <c r="M110" t="n">
        <v>0</v>
      </c>
    </row>
    <row r="111" spans="1:13">
      <c r="A111" s="1">
        <f>HYPERLINK("http://www.twitter.com/NathanBLawrence/status/1000804950098792448", "1000804950098792448")</f>
        <v/>
      </c>
      <c r="B111" s="2" t="n">
        <v>43247.76699074074</v>
      </c>
      <c r="C111" t="n">
        <v>0</v>
      </c>
      <c r="D111" t="n">
        <v>31</v>
      </c>
      <c r="E111" t="s">
        <v>122</v>
      </c>
      <c r="F111" t="s"/>
      <c r="G111" t="s"/>
      <c r="H111" t="s"/>
      <c r="I111" t="s"/>
      <c r="J111" t="n">
        <v>-0.1027</v>
      </c>
      <c r="K111" t="n">
        <v>0.291</v>
      </c>
      <c r="L111" t="n">
        <v>0.435</v>
      </c>
      <c r="M111" t="n">
        <v>0.274</v>
      </c>
    </row>
    <row r="112" spans="1:13">
      <c r="A112" s="1">
        <f>HYPERLINK("http://www.twitter.com/NathanBLawrence/status/1000803954010345472", "1000803954010345472")</f>
        <v/>
      </c>
      <c r="B112" s="2" t="n">
        <v>43247.76424768518</v>
      </c>
      <c r="C112" t="n">
        <v>0</v>
      </c>
      <c r="D112" t="n">
        <v>4</v>
      </c>
      <c r="E112" t="s">
        <v>123</v>
      </c>
      <c r="F112" t="s"/>
      <c r="G112" t="s"/>
      <c r="H112" t="s"/>
      <c r="I112" t="s"/>
      <c r="J112" t="n">
        <v>0</v>
      </c>
      <c r="K112" t="n">
        <v>0</v>
      </c>
      <c r="L112" t="n">
        <v>1</v>
      </c>
      <c r="M112" t="n">
        <v>0</v>
      </c>
    </row>
    <row r="113" spans="1:13">
      <c r="A113" s="1">
        <f>HYPERLINK("http://www.twitter.com/NathanBLawrence/status/1000803461326426112", "1000803461326426112")</f>
        <v/>
      </c>
      <c r="B113" s="2" t="n">
        <v>43247.76288194444</v>
      </c>
      <c r="C113" t="n">
        <v>0</v>
      </c>
      <c r="D113" t="n">
        <v>20</v>
      </c>
      <c r="E113" t="s">
        <v>124</v>
      </c>
      <c r="F113" t="s"/>
      <c r="G113" t="s"/>
      <c r="H113" t="s"/>
      <c r="I113" t="s"/>
      <c r="J113" t="n">
        <v>0.6597</v>
      </c>
      <c r="K113" t="n">
        <v>0</v>
      </c>
      <c r="L113" t="n">
        <v>0.779</v>
      </c>
      <c r="M113" t="n">
        <v>0.221</v>
      </c>
    </row>
    <row r="114" spans="1:13">
      <c r="A114" s="1">
        <f>HYPERLINK("http://www.twitter.com/NathanBLawrence/status/1000803294481207297", "1000803294481207297")</f>
        <v/>
      </c>
      <c r="B114" s="2" t="n">
        <v>43247.76243055556</v>
      </c>
      <c r="C114" t="n">
        <v>0</v>
      </c>
      <c r="D114" t="n">
        <v>0</v>
      </c>
      <c r="E114" t="s">
        <v>125</v>
      </c>
      <c r="F114" t="s"/>
      <c r="G114" t="s"/>
      <c r="H114" t="s"/>
      <c r="I114" t="s"/>
      <c r="J114" t="n">
        <v>0</v>
      </c>
      <c r="K114" t="n">
        <v>0</v>
      </c>
      <c r="L114" t="n">
        <v>1</v>
      </c>
      <c r="M114" t="n">
        <v>0</v>
      </c>
    </row>
    <row r="115" spans="1:13">
      <c r="A115" s="1">
        <f>HYPERLINK("http://www.twitter.com/NathanBLawrence/status/1000803088066863104", "1000803088066863104")</f>
        <v/>
      </c>
      <c r="B115" s="2" t="n">
        <v>43247.76185185185</v>
      </c>
      <c r="C115" t="n">
        <v>0</v>
      </c>
      <c r="D115" t="n">
        <v>0</v>
      </c>
      <c r="E115" t="s">
        <v>126</v>
      </c>
      <c r="F115" t="s"/>
      <c r="G115" t="s"/>
      <c r="H115" t="s"/>
      <c r="I115" t="s"/>
      <c r="J115" t="n">
        <v>0</v>
      </c>
      <c r="K115" t="n">
        <v>0</v>
      </c>
      <c r="L115" t="n">
        <v>1</v>
      </c>
      <c r="M115" t="n">
        <v>0</v>
      </c>
    </row>
    <row r="116" spans="1:13">
      <c r="A116" s="1">
        <f>HYPERLINK("http://www.twitter.com/NathanBLawrence/status/1000802856172212224", "1000802856172212224")</f>
        <v/>
      </c>
      <c r="B116" s="2" t="n">
        <v>43247.76121527778</v>
      </c>
      <c r="C116" t="n">
        <v>0</v>
      </c>
      <c r="D116" t="n">
        <v>1122</v>
      </c>
      <c r="E116" t="s">
        <v>127</v>
      </c>
      <c r="F116" t="s"/>
      <c r="G116" t="s"/>
      <c r="H116" t="s"/>
      <c r="I116" t="s"/>
      <c r="J116" t="n">
        <v>-0.296</v>
      </c>
      <c r="K116" t="n">
        <v>0.078</v>
      </c>
      <c r="L116" t="n">
        <v>0.922</v>
      </c>
      <c r="M116" t="n">
        <v>0</v>
      </c>
    </row>
    <row r="117" spans="1:13">
      <c r="A117" s="1">
        <f>HYPERLINK("http://www.twitter.com/NathanBLawrence/status/1000802742837923841", "1000802742837923841")</f>
        <v/>
      </c>
      <c r="B117" s="2" t="n">
        <v>43247.76090277778</v>
      </c>
      <c r="C117" t="n">
        <v>0</v>
      </c>
      <c r="D117" t="n">
        <v>6</v>
      </c>
      <c r="E117" t="s">
        <v>128</v>
      </c>
      <c r="F117">
        <f>HYPERLINK("http://pbs.twimg.com/media/DeLa1oRV0AAxJxV.jpg", "http://pbs.twimg.com/media/DeLa1oRV0AAxJxV.jpg")</f>
        <v/>
      </c>
      <c r="G117" t="s"/>
      <c r="H117" t="s"/>
      <c r="I117" t="s"/>
      <c r="J117" t="n">
        <v>0</v>
      </c>
      <c r="K117" t="n">
        <v>0</v>
      </c>
      <c r="L117" t="n">
        <v>1</v>
      </c>
      <c r="M117" t="n">
        <v>0</v>
      </c>
    </row>
    <row r="118" spans="1:13">
      <c r="A118" s="1">
        <f>HYPERLINK("http://www.twitter.com/NathanBLawrence/status/1000802726882742272", "1000802726882742272")</f>
        <v/>
      </c>
      <c r="B118" s="2" t="n">
        <v>43247.76085648148</v>
      </c>
      <c r="C118" t="n">
        <v>0</v>
      </c>
      <c r="D118" t="n">
        <v>3</v>
      </c>
      <c r="E118" t="s">
        <v>129</v>
      </c>
      <c r="F118" t="s"/>
      <c r="G118" t="s"/>
      <c r="H118" t="s"/>
      <c r="I118" t="s"/>
      <c r="J118" t="n">
        <v>-0.25</v>
      </c>
      <c r="K118" t="n">
        <v>0.286</v>
      </c>
      <c r="L118" t="n">
        <v>0.714</v>
      </c>
      <c r="M118" t="n">
        <v>0</v>
      </c>
    </row>
    <row r="119" spans="1:13">
      <c r="A119" s="1">
        <f>HYPERLINK("http://www.twitter.com/NathanBLawrence/status/1000802672105140225", "1000802672105140225")</f>
        <v/>
      </c>
      <c r="B119" s="2" t="n">
        <v>43247.76070601852</v>
      </c>
      <c r="C119" t="n">
        <v>0</v>
      </c>
      <c r="D119" t="n">
        <v>5</v>
      </c>
      <c r="E119" t="s">
        <v>130</v>
      </c>
      <c r="F119" t="s"/>
      <c r="G119" t="s"/>
      <c r="H119" t="s"/>
      <c r="I119" t="s"/>
      <c r="J119" t="n">
        <v>0</v>
      </c>
      <c r="K119" t="n">
        <v>0</v>
      </c>
      <c r="L119" t="n">
        <v>1</v>
      </c>
      <c r="M119" t="n">
        <v>0</v>
      </c>
    </row>
    <row r="120" spans="1:13">
      <c r="A120" s="1">
        <f>HYPERLINK("http://www.twitter.com/NathanBLawrence/status/1000802599371726849", "1000802599371726849")</f>
        <v/>
      </c>
      <c r="B120" s="2" t="n">
        <v>43247.76050925926</v>
      </c>
      <c r="C120" t="n">
        <v>0</v>
      </c>
      <c r="D120" t="n">
        <v>7</v>
      </c>
      <c r="E120" t="s">
        <v>131</v>
      </c>
      <c r="F120" t="s"/>
      <c r="G120" t="s"/>
      <c r="H120" t="s"/>
      <c r="I120" t="s"/>
      <c r="J120" t="n">
        <v>0</v>
      </c>
      <c r="K120" t="n">
        <v>0</v>
      </c>
      <c r="L120" t="n">
        <v>1</v>
      </c>
      <c r="M120" t="n">
        <v>0</v>
      </c>
    </row>
    <row r="121" spans="1:13">
      <c r="A121" s="1">
        <f>HYPERLINK("http://www.twitter.com/NathanBLawrence/status/1000802572976971776", "1000802572976971776")</f>
        <v/>
      </c>
      <c r="B121" s="2" t="n">
        <v>43247.76043981482</v>
      </c>
      <c r="C121" t="n">
        <v>0</v>
      </c>
      <c r="D121" t="n">
        <v>10</v>
      </c>
      <c r="E121" t="s">
        <v>132</v>
      </c>
      <c r="F121" t="s"/>
      <c r="G121" t="s"/>
      <c r="H121" t="s"/>
      <c r="I121" t="s"/>
      <c r="J121" t="n">
        <v>-0.5</v>
      </c>
      <c r="K121" t="n">
        <v>0.208</v>
      </c>
      <c r="L121" t="n">
        <v>0.733</v>
      </c>
      <c r="M121" t="n">
        <v>0.06</v>
      </c>
    </row>
    <row r="122" spans="1:13">
      <c r="A122" s="1">
        <f>HYPERLINK("http://www.twitter.com/NathanBLawrence/status/1000802502529441800", "1000802502529441800")</f>
        <v/>
      </c>
      <c r="B122" s="2" t="n">
        <v>43247.76024305556</v>
      </c>
      <c r="C122" t="n">
        <v>0</v>
      </c>
      <c r="D122" t="n">
        <v>5</v>
      </c>
      <c r="E122" t="s">
        <v>133</v>
      </c>
      <c r="F122" t="s"/>
      <c r="G122" t="s"/>
      <c r="H122" t="s"/>
      <c r="I122" t="s"/>
      <c r="J122" t="n">
        <v>-0.25</v>
      </c>
      <c r="K122" t="n">
        <v>0.25</v>
      </c>
      <c r="L122" t="n">
        <v>0.75</v>
      </c>
      <c r="M122" t="n">
        <v>0</v>
      </c>
    </row>
    <row r="123" spans="1:13">
      <c r="A123" s="1">
        <f>HYPERLINK("http://www.twitter.com/NathanBLawrence/status/1000802356265717761", "1000802356265717761")</f>
        <v/>
      </c>
      <c r="B123" s="2" t="n">
        <v>43247.75983796296</v>
      </c>
      <c r="C123" t="n">
        <v>0</v>
      </c>
      <c r="D123" t="n">
        <v>0</v>
      </c>
      <c r="E123" t="s">
        <v>134</v>
      </c>
      <c r="F123" t="s"/>
      <c r="G123" t="s"/>
      <c r="H123" t="s"/>
      <c r="I123" t="s"/>
      <c r="J123" t="n">
        <v>0</v>
      </c>
      <c r="K123" t="n">
        <v>0</v>
      </c>
      <c r="L123" t="n">
        <v>1</v>
      </c>
      <c r="M123" t="n">
        <v>0</v>
      </c>
    </row>
    <row r="124" spans="1:13">
      <c r="A124" s="1">
        <f>HYPERLINK("http://www.twitter.com/NathanBLawrence/status/1000801837245714438", "1000801837245714438")</f>
        <v/>
      </c>
      <c r="B124" s="2" t="n">
        <v>43247.75840277778</v>
      </c>
      <c r="C124" t="n">
        <v>0</v>
      </c>
      <c r="D124" t="n">
        <v>7</v>
      </c>
      <c r="E124" t="s">
        <v>135</v>
      </c>
      <c r="F124">
        <f>HYPERLINK("http://pbs.twimg.com/media/DeKwGhXWkAEY8VU.jpg", "http://pbs.twimg.com/media/DeKwGhXWkAEY8VU.jpg")</f>
        <v/>
      </c>
      <c r="G124" t="s"/>
      <c r="H124" t="s"/>
      <c r="I124" t="s"/>
      <c r="J124" t="n">
        <v>0.0772</v>
      </c>
      <c r="K124" t="n">
        <v>0.14</v>
      </c>
      <c r="L124" t="n">
        <v>0.701</v>
      </c>
      <c r="M124" t="n">
        <v>0.159</v>
      </c>
    </row>
    <row r="125" spans="1:13">
      <c r="A125" s="1">
        <f>HYPERLINK("http://www.twitter.com/NathanBLawrence/status/1000801702063362049", "1000801702063362049")</f>
        <v/>
      </c>
      <c r="B125" s="2" t="n">
        <v>43247.75803240741</v>
      </c>
      <c r="C125" t="n">
        <v>0</v>
      </c>
      <c r="D125" t="n">
        <v>12573</v>
      </c>
      <c r="E125" t="s">
        <v>136</v>
      </c>
      <c r="F125" t="s"/>
      <c r="G125" t="s"/>
      <c r="H125" t="s"/>
      <c r="I125" t="s"/>
      <c r="J125" t="n">
        <v>0</v>
      </c>
      <c r="K125" t="n">
        <v>0</v>
      </c>
      <c r="L125" t="n">
        <v>1</v>
      </c>
      <c r="M125" t="n">
        <v>0</v>
      </c>
    </row>
    <row r="126" spans="1:13">
      <c r="A126" s="1">
        <f>HYPERLINK("http://www.twitter.com/NathanBLawrence/status/1000801655523332096", "1000801655523332096")</f>
        <v/>
      </c>
      <c r="B126" s="2" t="n">
        <v>43247.75790509259</v>
      </c>
      <c r="C126" t="n">
        <v>0</v>
      </c>
      <c r="D126" t="n">
        <v>2</v>
      </c>
      <c r="E126" t="s">
        <v>137</v>
      </c>
      <c r="F126" t="s"/>
      <c r="G126" t="s"/>
      <c r="H126" t="s"/>
      <c r="I126" t="s"/>
      <c r="J126" t="n">
        <v>0.7689</v>
      </c>
      <c r="K126" t="n">
        <v>0</v>
      </c>
      <c r="L126" t="n">
        <v>0.702</v>
      </c>
      <c r="M126" t="n">
        <v>0.298</v>
      </c>
    </row>
    <row r="127" spans="1:13">
      <c r="A127" s="1">
        <f>HYPERLINK("http://www.twitter.com/NathanBLawrence/status/1000801535016783872", "1000801535016783872")</f>
        <v/>
      </c>
      <c r="B127" s="2" t="n">
        <v>43247.75756944445</v>
      </c>
      <c r="C127" t="n">
        <v>0</v>
      </c>
      <c r="D127" t="n">
        <v>549</v>
      </c>
      <c r="E127" t="s">
        <v>138</v>
      </c>
      <c r="F127">
        <f>HYPERLINK("http://pbs.twimg.com/media/DeD5VGyVQAE6uPI.jpg", "http://pbs.twimg.com/media/DeD5VGyVQAE6uPI.jpg")</f>
        <v/>
      </c>
      <c r="G127" t="s"/>
      <c r="H127" t="s"/>
      <c r="I127" t="s"/>
      <c r="J127" t="n">
        <v>0.9246</v>
      </c>
      <c r="K127" t="n">
        <v>0</v>
      </c>
      <c r="L127" t="n">
        <v>0.586</v>
      </c>
      <c r="M127" t="n">
        <v>0.414</v>
      </c>
    </row>
    <row r="128" spans="1:13">
      <c r="A128" s="1">
        <f>HYPERLINK("http://www.twitter.com/NathanBLawrence/status/1000801139925938176", "1000801139925938176")</f>
        <v/>
      </c>
      <c r="B128" s="2" t="n">
        <v>43247.75648148148</v>
      </c>
      <c r="C128" t="n">
        <v>0</v>
      </c>
      <c r="D128" t="n">
        <v>53</v>
      </c>
      <c r="E128" t="s">
        <v>139</v>
      </c>
      <c r="F128" t="s"/>
      <c r="G128" t="s"/>
      <c r="H128" t="s"/>
      <c r="I128" t="s"/>
      <c r="J128" t="n">
        <v>-0.8687</v>
      </c>
      <c r="K128" t="n">
        <v>0.305</v>
      </c>
      <c r="L128" t="n">
        <v>0.695</v>
      </c>
      <c r="M128" t="n">
        <v>0</v>
      </c>
    </row>
    <row r="129" spans="1:13">
      <c r="A129" s="1">
        <f>HYPERLINK("http://www.twitter.com/NathanBLawrence/status/1000799986785845249", "1000799986785845249")</f>
        <v/>
      </c>
      <c r="B129" s="2" t="n">
        <v>43247.75329861111</v>
      </c>
      <c r="C129" t="n">
        <v>0</v>
      </c>
      <c r="D129" t="n">
        <v>1413</v>
      </c>
      <c r="E129" t="s">
        <v>140</v>
      </c>
      <c r="F129" t="s"/>
      <c r="G129" t="s"/>
      <c r="H129" t="s"/>
      <c r="I129" t="s"/>
      <c r="J129" t="n">
        <v>0</v>
      </c>
      <c r="K129" t="n">
        <v>0</v>
      </c>
      <c r="L129" t="n">
        <v>1</v>
      </c>
      <c r="M129" t="n">
        <v>0</v>
      </c>
    </row>
    <row r="130" spans="1:13">
      <c r="A130" s="1">
        <f>HYPERLINK("http://www.twitter.com/NathanBLawrence/status/1000799866086461440", "1000799866086461440")</f>
        <v/>
      </c>
      <c r="B130" s="2" t="n">
        <v>43247.75296296296</v>
      </c>
      <c r="C130" t="n">
        <v>0</v>
      </c>
      <c r="D130" t="n">
        <v>477</v>
      </c>
      <c r="E130" t="s">
        <v>141</v>
      </c>
      <c r="F130">
        <f>HYPERLINK("http://pbs.twimg.com/media/DeJo0k0UQAA6i46.jpg", "http://pbs.twimg.com/media/DeJo0k0UQAA6i46.jpg")</f>
        <v/>
      </c>
      <c r="G130" t="s"/>
      <c r="H130" t="s"/>
      <c r="I130" t="s"/>
      <c r="J130" t="n">
        <v>-0.6696</v>
      </c>
      <c r="K130" t="n">
        <v>0.31</v>
      </c>
      <c r="L130" t="n">
        <v>0.5610000000000001</v>
      </c>
      <c r="M130" t="n">
        <v>0.129</v>
      </c>
    </row>
    <row r="131" spans="1:13">
      <c r="A131" s="1">
        <f>HYPERLINK("http://www.twitter.com/NathanBLawrence/status/1000799063309193216", "1000799063309193216")</f>
        <v/>
      </c>
      <c r="B131" s="2" t="n">
        <v>43247.75075231482</v>
      </c>
      <c r="C131" t="n">
        <v>0</v>
      </c>
      <c r="D131" t="n">
        <v>30</v>
      </c>
      <c r="E131" t="s">
        <v>142</v>
      </c>
      <c r="F131" t="s"/>
      <c r="G131" t="s"/>
      <c r="H131" t="s"/>
      <c r="I131" t="s"/>
      <c r="J131" t="n">
        <v>0.4588</v>
      </c>
      <c r="K131" t="n">
        <v>0.089</v>
      </c>
      <c r="L131" t="n">
        <v>0.719</v>
      </c>
      <c r="M131" t="n">
        <v>0.192</v>
      </c>
    </row>
    <row r="132" spans="1:13">
      <c r="A132" s="1">
        <f>HYPERLINK("http://www.twitter.com/NathanBLawrence/status/1000798626489257985", "1000798626489257985")</f>
        <v/>
      </c>
      <c r="B132" s="2" t="n">
        <v>43247.74954861111</v>
      </c>
      <c r="C132" t="n">
        <v>0</v>
      </c>
      <c r="D132" t="n">
        <v>919</v>
      </c>
      <c r="E132" t="s">
        <v>143</v>
      </c>
      <c r="F132" t="s"/>
      <c r="G132" t="s"/>
      <c r="H132" t="s"/>
      <c r="I132" t="s"/>
      <c r="J132" t="n">
        <v>0</v>
      </c>
      <c r="K132" t="n">
        <v>0</v>
      </c>
      <c r="L132" t="n">
        <v>1</v>
      </c>
      <c r="M132" t="n">
        <v>0</v>
      </c>
    </row>
    <row r="133" spans="1:13">
      <c r="A133" s="1">
        <f>HYPERLINK("http://www.twitter.com/NathanBLawrence/status/1000795817530314753", "1000795817530314753")</f>
        <v/>
      </c>
      <c r="B133" s="2" t="n">
        <v>43247.74179398148</v>
      </c>
      <c r="C133" t="n">
        <v>1</v>
      </c>
      <c r="D133" t="n">
        <v>0</v>
      </c>
      <c r="E133" t="s">
        <v>144</v>
      </c>
      <c r="F133" t="s"/>
      <c r="G133" t="s"/>
      <c r="H133" t="s"/>
      <c r="I133" t="s"/>
      <c r="J133" t="n">
        <v>0</v>
      </c>
      <c r="K133" t="n">
        <v>0</v>
      </c>
      <c r="L133" t="n">
        <v>1</v>
      </c>
      <c r="M133" t="n">
        <v>0</v>
      </c>
    </row>
    <row r="134" spans="1:13">
      <c r="A134" s="1">
        <f>HYPERLINK("http://www.twitter.com/NathanBLawrence/status/1000795784160403456", "1000795784160403456")</f>
        <v/>
      </c>
      <c r="B134" s="2" t="n">
        <v>43247.74170138889</v>
      </c>
      <c r="C134" t="n">
        <v>0</v>
      </c>
      <c r="D134" t="n">
        <v>1426</v>
      </c>
      <c r="E134" t="s">
        <v>145</v>
      </c>
      <c r="F134">
        <f>HYPERLINK("http://pbs.twimg.com/media/DeN8xKoV4AA7tKg.jpg", "http://pbs.twimg.com/media/DeN8xKoV4AA7tKg.jpg")</f>
        <v/>
      </c>
      <c r="G134" t="s"/>
      <c r="H134" t="s"/>
      <c r="I134" t="s"/>
      <c r="J134" t="n">
        <v>-0.8270999999999999</v>
      </c>
      <c r="K134" t="n">
        <v>0.35</v>
      </c>
      <c r="L134" t="n">
        <v>0.583</v>
      </c>
      <c r="M134" t="n">
        <v>0.068</v>
      </c>
    </row>
    <row r="135" spans="1:13">
      <c r="A135" s="1">
        <f>HYPERLINK("http://www.twitter.com/NathanBLawrence/status/1000795344068907009", "1000795344068907009")</f>
        <v/>
      </c>
      <c r="B135" s="2" t="n">
        <v>43247.74048611111</v>
      </c>
      <c r="C135" t="n">
        <v>0</v>
      </c>
      <c r="D135" t="n">
        <v>848</v>
      </c>
      <c r="E135" t="s">
        <v>146</v>
      </c>
      <c r="F135">
        <f>HYPERLINK("https://video.twimg.com/amplify_video/1000545034708701184/vid/654x360/_38aEozStSixYEWc.mp4?tag=2", "https://video.twimg.com/amplify_video/1000545034708701184/vid/654x360/_38aEozStSixYEWc.mp4?tag=2")</f>
        <v/>
      </c>
      <c r="G135" t="s"/>
      <c r="H135" t="s"/>
      <c r="I135" t="s"/>
      <c r="J135" t="n">
        <v>-0.1027</v>
      </c>
      <c r="K135" t="n">
        <v>0.06</v>
      </c>
      <c r="L135" t="n">
        <v>0.9399999999999999</v>
      </c>
      <c r="M135" t="n">
        <v>0</v>
      </c>
    </row>
    <row r="136" spans="1:13">
      <c r="A136" s="1">
        <f>HYPERLINK("http://www.twitter.com/NathanBLawrence/status/1000795196232265729", "1000795196232265729")</f>
        <v/>
      </c>
      <c r="B136" s="2" t="n">
        <v>43247.74008101852</v>
      </c>
      <c r="C136" t="n">
        <v>0</v>
      </c>
      <c r="D136" t="n">
        <v>478</v>
      </c>
      <c r="E136" t="s">
        <v>147</v>
      </c>
      <c r="F136">
        <f>HYPERLINK("http://pbs.twimg.com/media/DeN_KJNUwAANZaX.jpg", "http://pbs.twimg.com/media/DeN_KJNUwAANZaX.jpg")</f>
        <v/>
      </c>
      <c r="G136" t="s"/>
      <c r="H136" t="s"/>
      <c r="I136" t="s"/>
      <c r="J136" t="n">
        <v>0.6705</v>
      </c>
      <c r="K136" t="n">
        <v>0</v>
      </c>
      <c r="L136" t="n">
        <v>0.784</v>
      </c>
      <c r="M136" t="n">
        <v>0.216</v>
      </c>
    </row>
    <row r="137" spans="1:13">
      <c r="A137" s="1">
        <f>HYPERLINK("http://www.twitter.com/NathanBLawrence/status/1000795050044018689", "1000795050044018689")</f>
        <v/>
      </c>
      <c r="B137" s="2" t="n">
        <v>43247.73967592593</v>
      </c>
      <c r="C137" t="n">
        <v>9</v>
      </c>
      <c r="D137" t="n">
        <v>4</v>
      </c>
      <c r="E137" t="s">
        <v>148</v>
      </c>
      <c r="F137" t="s"/>
      <c r="G137" t="s"/>
      <c r="H137" t="s"/>
      <c r="I137" t="s"/>
      <c r="J137" t="n">
        <v>0.4939</v>
      </c>
      <c r="K137" t="n">
        <v>0.114</v>
      </c>
      <c r="L137" t="n">
        <v>0.652</v>
      </c>
      <c r="M137" t="n">
        <v>0.234</v>
      </c>
    </row>
    <row r="138" spans="1:13">
      <c r="A138" s="1">
        <f>HYPERLINK("http://www.twitter.com/NathanBLawrence/status/1000794718115164160", "1000794718115164160")</f>
        <v/>
      </c>
      <c r="B138" s="2" t="n">
        <v>43247.73876157407</v>
      </c>
      <c r="C138" t="n">
        <v>0</v>
      </c>
      <c r="D138" t="n">
        <v>258</v>
      </c>
      <c r="E138" t="s">
        <v>149</v>
      </c>
      <c r="F138">
        <f>HYPERLINK("http://pbs.twimg.com/media/DeNxig3WAAAqu3i.jpg", "http://pbs.twimg.com/media/DeNxig3WAAAqu3i.jpg")</f>
        <v/>
      </c>
      <c r="G138" t="s"/>
      <c r="H138" t="s"/>
      <c r="I138" t="s"/>
      <c r="J138" t="n">
        <v>0</v>
      </c>
      <c r="K138" t="n">
        <v>0</v>
      </c>
      <c r="L138" t="n">
        <v>1</v>
      </c>
      <c r="M138" t="n">
        <v>0</v>
      </c>
    </row>
    <row r="139" spans="1:13">
      <c r="A139" s="1">
        <f>HYPERLINK("http://www.twitter.com/NathanBLawrence/status/1000794225263480833", "1000794225263480833")</f>
        <v/>
      </c>
      <c r="B139" s="2" t="n">
        <v>43247.73739583333</v>
      </c>
      <c r="C139" t="n">
        <v>0</v>
      </c>
      <c r="D139" t="n">
        <v>83</v>
      </c>
      <c r="E139" t="s">
        <v>150</v>
      </c>
      <c r="F139" t="s"/>
      <c r="G139" t="s"/>
      <c r="H139" t="s"/>
      <c r="I139" t="s"/>
      <c r="J139" t="n">
        <v>0.504</v>
      </c>
      <c r="K139" t="n">
        <v>0</v>
      </c>
      <c r="L139" t="n">
        <v>0.771</v>
      </c>
      <c r="M139" t="n">
        <v>0.229</v>
      </c>
    </row>
    <row r="140" spans="1:13">
      <c r="A140" s="1">
        <f>HYPERLINK("http://www.twitter.com/NathanBLawrence/status/1000794134813212672", "1000794134813212672")</f>
        <v/>
      </c>
      <c r="B140" s="2" t="n">
        <v>43247.73715277778</v>
      </c>
      <c r="C140" t="n">
        <v>0</v>
      </c>
      <c r="D140" t="n">
        <v>2709</v>
      </c>
      <c r="E140" t="s">
        <v>151</v>
      </c>
      <c r="F140" t="s"/>
      <c r="G140" t="s"/>
      <c r="H140" t="s"/>
      <c r="I140" t="s"/>
      <c r="J140" t="n">
        <v>-0.93</v>
      </c>
      <c r="K140" t="n">
        <v>0.416</v>
      </c>
      <c r="L140" t="n">
        <v>0.584</v>
      </c>
      <c r="M140" t="n">
        <v>0</v>
      </c>
    </row>
    <row r="141" spans="1:13">
      <c r="A141" s="1">
        <f>HYPERLINK("http://www.twitter.com/NathanBLawrence/status/1000794078630633472", "1000794078630633472")</f>
        <v/>
      </c>
      <c r="B141" s="2" t="n">
        <v>43247.73699074074</v>
      </c>
      <c r="C141" t="n">
        <v>0</v>
      </c>
      <c r="D141" t="n">
        <v>11</v>
      </c>
      <c r="E141" t="s">
        <v>152</v>
      </c>
      <c r="F141">
        <f>HYPERLINK("http://pbs.twimg.com/media/DeNR8SIVMAEgDaK.jpg", "http://pbs.twimg.com/media/DeNR8SIVMAEgDaK.jpg")</f>
        <v/>
      </c>
      <c r="G141">
        <f>HYPERLINK("http://pbs.twimg.com/media/DeNR8SIV4AQmxtc.jpg", "http://pbs.twimg.com/media/DeNR8SIV4AQmxtc.jpg")</f>
        <v/>
      </c>
      <c r="H141" t="s"/>
      <c r="I141" t="s"/>
      <c r="J141" t="n">
        <v>0</v>
      </c>
      <c r="K141" t="n">
        <v>0</v>
      </c>
      <c r="L141" t="n">
        <v>1</v>
      </c>
      <c r="M141" t="n">
        <v>0</v>
      </c>
    </row>
    <row r="142" spans="1:13">
      <c r="A142" s="1">
        <f>HYPERLINK("http://www.twitter.com/NathanBLawrence/status/1000793905871368192", "1000793905871368192")</f>
        <v/>
      </c>
      <c r="B142" s="2" t="n">
        <v>43247.7365162037</v>
      </c>
      <c r="C142" t="n">
        <v>0</v>
      </c>
      <c r="D142" t="n">
        <v>1</v>
      </c>
      <c r="E142" t="s">
        <v>153</v>
      </c>
      <c r="F142" t="s"/>
      <c r="G142" t="s"/>
      <c r="H142" t="s"/>
      <c r="I142" t="s"/>
      <c r="J142" t="n">
        <v>-0.2263</v>
      </c>
      <c r="K142" t="n">
        <v>0.183</v>
      </c>
      <c r="L142" t="n">
        <v>0.681</v>
      </c>
      <c r="M142" t="n">
        <v>0.136</v>
      </c>
    </row>
    <row r="143" spans="1:13">
      <c r="A143" s="1">
        <f>HYPERLINK("http://www.twitter.com/NathanBLawrence/status/1000793843615268865", "1000793843615268865")</f>
        <v/>
      </c>
      <c r="B143" s="2" t="n">
        <v>43247.73634259259</v>
      </c>
      <c r="C143" t="n">
        <v>0</v>
      </c>
      <c r="D143" t="n">
        <v>7</v>
      </c>
      <c r="E143" t="s">
        <v>154</v>
      </c>
      <c r="F143" t="s"/>
      <c r="G143" t="s"/>
      <c r="H143" t="s"/>
      <c r="I143" t="s"/>
      <c r="J143" t="n">
        <v>0</v>
      </c>
      <c r="K143" t="n">
        <v>0</v>
      </c>
      <c r="L143" t="n">
        <v>1</v>
      </c>
      <c r="M143" t="n">
        <v>0</v>
      </c>
    </row>
    <row r="144" spans="1:13">
      <c r="A144" s="1">
        <f>HYPERLINK("http://www.twitter.com/NathanBLawrence/status/1000793680280784896", "1000793680280784896")</f>
        <v/>
      </c>
      <c r="B144" s="2" t="n">
        <v>43247.7358912037</v>
      </c>
      <c r="C144" t="n">
        <v>0</v>
      </c>
      <c r="D144" t="n">
        <v>2</v>
      </c>
      <c r="E144" t="s">
        <v>155</v>
      </c>
      <c r="F144" t="s"/>
      <c r="G144" t="s"/>
      <c r="H144" t="s"/>
      <c r="I144" t="s"/>
      <c r="J144" t="n">
        <v>0.3612</v>
      </c>
      <c r="K144" t="n">
        <v>0</v>
      </c>
      <c r="L144" t="n">
        <v>0.8</v>
      </c>
      <c r="M144" t="n">
        <v>0.2</v>
      </c>
    </row>
    <row r="145" spans="1:13">
      <c r="A145" s="1">
        <f>HYPERLINK("http://www.twitter.com/NathanBLawrence/status/1000793663197335552", "1000793663197335552")</f>
        <v/>
      </c>
      <c r="B145" s="2" t="n">
        <v>43247.73584490741</v>
      </c>
      <c r="C145" t="n">
        <v>0</v>
      </c>
      <c r="D145" t="n">
        <v>5</v>
      </c>
      <c r="E145" t="s">
        <v>156</v>
      </c>
      <c r="F145" t="s"/>
      <c r="G145" t="s"/>
      <c r="H145" t="s"/>
      <c r="I145" t="s"/>
      <c r="J145" t="n">
        <v>-0.7778</v>
      </c>
      <c r="K145" t="n">
        <v>0.328</v>
      </c>
      <c r="L145" t="n">
        <v>0.672</v>
      </c>
      <c r="M145" t="n">
        <v>0</v>
      </c>
    </row>
    <row r="146" spans="1:13">
      <c r="A146" s="1">
        <f>HYPERLINK("http://www.twitter.com/NathanBLawrence/status/1000793581752373248", "1000793581752373248")</f>
        <v/>
      </c>
      <c r="B146" s="2" t="n">
        <v>43247.735625</v>
      </c>
      <c r="C146" t="n">
        <v>0</v>
      </c>
      <c r="D146" t="n">
        <v>3</v>
      </c>
      <c r="E146" t="s">
        <v>157</v>
      </c>
      <c r="F146" t="s"/>
      <c r="G146" t="s"/>
      <c r="H146" t="s"/>
      <c r="I146" t="s"/>
      <c r="J146" t="n">
        <v>-0.4215</v>
      </c>
      <c r="K146" t="n">
        <v>0.203</v>
      </c>
      <c r="L146" t="n">
        <v>0.797</v>
      </c>
      <c r="M146" t="n">
        <v>0</v>
      </c>
    </row>
    <row r="147" spans="1:13">
      <c r="A147" s="1">
        <f>HYPERLINK("http://www.twitter.com/NathanBLawrence/status/1000793394350821376", "1000793394350821376")</f>
        <v/>
      </c>
      <c r="B147" s="2" t="n">
        <v>43247.73510416667</v>
      </c>
      <c r="C147" t="n">
        <v>0</v>
      </c>
      <c r="D147" t="n">
        <v>14</v>
      </c>
      <c r="E147" t="s">
        <v>158</v>
      </c>
      <c r="F147">
        <f>HYPERLINK("http://pbs.twimg.com/media/DeOBhH0VAAENjbL.jpg", "http://pbs.twimg.com/media/DeOBhH0VAAENjbL.jpg")</f>
        <v/>
      </c>
      <c r="G147" t="s"/>
      <c r="H147" t="s"/>
      <c r="I147" t="s"/>
      <c r="J147" t="n">
        <v>0</v>
      </c>
      <c r="K147" t="n">
        <v>0</v>
      </c>
      <c r="L147" t="n">
        <v>1</v>
      </c>
      <c r="M147" t="n">
        <v>0</v>
      </c>
    </row>
    <row r="148" spans="1:13">
      <c r="A148" s="1">
        <f>HYPERLINK("http://www.twitter.com/NathanBLawrence/status/1000793328655523840", "1000793328655523840")</f>
        <v/>
      </c>
      <c r="B148" s="2" t="n">
        <v>43247.73493055555</v>
      </c>
      <c r="C148" t="n">
        <v>0</v>
      </c>
      <c r="D148" t="n">
        <v>26</v>
      </c>
      <c r="E148" t="s">
        <v>159</v>
      </c>
      <c r="F148" t="s"/>
      <c r="G148" t="s"/>
      <c r="H148" t="s"/>
      <c r="I148" t="s"/>
      <c r="J148" t="n">
        <v>0.6124000000000001</v>
      </c>
      <c r="K148" t="n">
        <v>0</v>
      </c>
      <c r="L148" t="n">
        <v>0.783</v>
      </c>
      <c r="M148" t="n">
        <v>0.217</v>
      </c>
    </row>
    <row r="149" spans="1:13">
      <c r="A149" s="1">
        <f>HYPERLINK("http://www.twitter.com/NathanBLawrence/status/1000793286733385728", "1000793286733385728")</f>
        <v/>
      </c>
      <c r="B149" s="2" t="n">
        <v>43247.73481481482</v>
      </c>
      <c r="C149" t="n">
        <v>0</v>
      </c>
      <c r="D149" t="n">
        <v>22</v>
      </c>
      <c r="E149" t="s">
        <v>160</v>
      </c>
      <c r="F149" t="s"/>
      <c r="G149" t="s"/>
      <c r="H149" t="s"/>
      <c r="I149" t="s"/>
      <c r="J149" t="n">
        <v>-0.7506</v>
      </c>
      <c r="K149" t="n">
        <v>0.236</v>
      </c>
      <c r="L149" t="n">
        <v>0.764</v>
      </c>
      <c r="M149" t="n">
        <v>0</v>
      </c>
    </row>
    <row r="150" spans="1:13">
      <c r="A150" s="1">
        <f>HYPERLINK("http://www.twitter.com/NathanBLawrence/status/1000793234438852608", "1000793234438852608")</f>
        <v/>
      </c>
      <c r="B150" s="2" t="n">
        <v>43247.73466435185</v>
      </c>
      <c r="C150" t="n">
        <v>0</v>
      </c>
      <c r="D150" t="n">
        <v>17</v>
      </c>
      <c r="E150" t="s">
        <v>161</v>
      </c>
      <c r="F150" t="s"/>
      <c r="G150" t="s"/>
      <c r="H150" t="s"/>
      <c r="I150" t="s"/>
      <c r="J150" t="n">
        <v>0.8401999999999999</v>
      </c>
      <c r="K150" t="n">
        <v>0.073</v>
      </c>
      <c r="L150" t="n">
        <v>0.57</v>
      </c>
      <c r="M150" t="n">
        <v>0.358</v>
      </c>
    </row>
    <row r="151" spans="1:13">
      <c r="A151" s="1">
        <f>HYPERLINK("http://www.twitter.com/NathanBLawrence/status/1000793073528528897", "1000793073528528897")</f>
        <v/>
      </c>
      <c r="B151" s="2" t="n">
        <v>43247.73422453704</v>
      </c>
      <c r="C151" t="n">
        <v>0</v>
      </c>
      <c r="D151" t="n">
        <v>209</v>
      </c>
      <c r="E151" t="s">
        <v>162</v>
      </c>
      <c r="F151">
        <f>HYPERLINK("http://pbs.twimg.com/media/DeN8mYSVwAEzsqa.jpg", "http://pbs.twimg.com/media/DeN8mYSVwAEzsqa.jpg")</f>
        <v/>
      </c>
      <c r="G151" t="s"/>
      <c r="H151" t="s"/>
      <c r="I151" t="s"/>
      <c r="J151" t="n">
        <v>0.09719999999999999</v>
      </c>
      <c r="K151" t="n">
        <v>0.101</v>
      </c>
      <c r="L151" t="n">
        <v>0.785</v>
      </c>
      <c r="M151" t="n">
        <v>0.114</v>
      </c>
    </row>
    <row r="152" spans="1:13">
      <c r="A152" s="1">
        <f>HYPERLINK("http://www.twitter.com/NathanBLawrence/status/1000792854061559808", "1000792854061559808")</f>
        <v/>
      </c>
      <c r="B152" s="2" t="n">
        <v>43247.73361111111</v>
      </c>
      <c r="C152" t="n">
        <v>0</v>
      </c>
      <c r="D152" t="n">
        <v>0</v>
      </c>
      <c r="E152" t="s">
        <v>163</v>
      </c>
      <c r="F152" t="s"/>
      <c r="G152" t="s"/>
      <c r="H152" t="s"/>
      <c r="I152" t="s"/>
      <c r="J152" t="n">
        <v>0</v>
      </c>
      <c r="K152" t="n">
        <v>0</v>
      </c>
      <c r="L152" t="n">
        <v>1</v>
      </c>
      <c r="M152" t="n">
        <v>0</v>
      </c>
    </row>
    <row r="153" spans="1:13">
      <c r="A153" s="1">
        <f>HYPERLINK("http://www.twitter.com/NathanBLawrence/status/1000792551090196482", "1000792551090196482")</f>
        <v/>
      </c>
      <c r="B153" s="2" t="n">
        <v>43247.73277777778</v>
      </c>
      <c r="C153" t="n">
        <v>0</v>
      </c>
      <c r="D153" t="n">
        <v>506</v>
      </c>
      <c r="E153" t="s">
        <v>164</v>
      </c>
      <c r="F153" t="s"/>
      <c r="G153" t="s"/>
      <c r="H153" t="s"/>
      <c r="I153" t="s"/>
      <c r="J153" t="n">
        <v>-0.2263</v>
      </c>
      <c r="K153" t="n">
        <v>0.127</v>
      </c>
      <c r="L153" t="n">
        <v>0.777</v>
      </c>
      <c r="M153" t="n">
        <v>0.095</v>
      </c>
    </row>
    <row r="154" spans="1:13">
      <c r="A154" s="1">
        <f>HYPERLINK("http://www.twitter.com/NathanBLawrence/status/1000792366599540736", "1000792366599540736")</f>
        <v/>
      </c>
      <c r="B154" s="2" t="n">
        <v>43247.73226851852</v>
      </c>
      <c r="C154" t="n">
        <v>0</v>
      </c>
      <c r="D154" t="n">
        <v>478</v>
      </c>
      <c r="E154" t="s">
        <v>165</v>
      </c>
      <c r="F154" t="s"/>
      <c r="G154" t="s"/>
      <c r="H154" t="s"/>
      <c r="I154" t="s"/>
      <c r="J154" t="n">
        <v>0.4559</v>
      </c>
      <c r="K154" t="n">
        <v>0</v>
      </c>
      <c r="L154" t="n">
        <v>0.841</v>
      </c>
      <c r="M154" t="n">
        <v>0.159</v>
      </c>
    </row>
    <row r="155" spans="1:13">
      <c r="A155" s="1">
        <f>HYPERLINK("http://www.twitter.com/NathanBLawrence/status/1000792231165485057", "1000792231165485057")</f>
        <v/>
      </c>
      <c r="B155" s="2" t="n">
        <v>43247.73189814815</v>
      </c>
      <c r="C155" t="n">
        <v>0</v>
      </c>
      <c r="D155" t="n">
        <v>326</v>
      </c>
      <c r="E155" t="s">
        <v>166</v>
      </c>
      <c r="F155">
        <f>HYPERLINK("http://pbs.twimg.com/media/Dc17wJlU0AASmfg.jpg", "http://pbs.twimg.com/media/Dc17wJlU0AASmfg.jpg")</f>
        <v/>
      </c>
      <c r="G155" t="s"/>
      <c r="H155" t="s"/>
      <c r="I155" t="s"/>
      <c r="J155" t="n">
        <v>0.7964</v>
      </c>
      <c r="K155" t="n">
        <v>0</v>
      </c>
      <c r="L155" t="n">
        <v>0.722</v>
      </c>
      <c r="M155" t="n">
        <v>0.278</v>
      </c>
    </row>
    <row r="156" spans="1:13">
      <c r="A156" s="1">
        <f>HYPERLINK("http://www.twitter.com/NathanBLawrence/status/1000792182641561601", "1000792182641561601")</f>
        <v/>
      </c>
      <c r="B156" s="2" t="n">
        <v>43247.73175925926</v>
      </c>
      <c r="C156" t="n">
        <v>0</v>
      </c>
      <c r="D156" t="n">
        <v>42</v>
      </c>
      <c r="E156" t="s">
        <v>167</v>
      </c>
      <c r="F156" t="s"/>
      <c r="G156" t="s"/>
      <c r="H156" t="s"/>
      <c r="I156" t="s"/>
      <c r="J156" t="n">
        <v>0.891</v>
      </c>
      <c r="K156" t="n">
        <v>0</v>
      </c>
      <c r="L156" t="n">
        <v>0.547</v>
      </c>
      <c r="M156" t="n">
        <v>0.453</v>
      </c>
    </row>
    <row r="157" spans="1:13">
      <c r="A157" s="1">
        <f>HYPERLINK("http://www.twitter.com/NathanBLawrence/status/1000792066287423489", "1000792066287423489")</f>
        <v/>
      </c>
      <c r="B157" s="2" t="n">
        <v>43247.73144675926</v>
      </c>
      <c r="C157" t="n">
        <v>0</v>
      </c>
      <c r="D157" t="n">
        <v>192</v>
      </c>
      <c r="E157" t="s">
        <v>168</v>
      </c>
      <c r="F157" t="s"/>
      <c r="G157" t="s"/>
      <c r="H157" t="s"/>
      <c r="I157" t="s"/>
      <c r="J157" t="n">
        <v>-0.8481</v>
      </c>
      <c r="K157" t="n">
        <v>0.301</v>
      </c>
      <c r="L157" t="n">
        <v>0.699</v>
      </c>
      <c r="M157" t="n">
        <v>0</v>
      </c>
    </row>
    <row r="158" spans="1:13">
      <c r="A158" s="1">
        <f>HYPERLINK("http://www.twitter.com/NathanBLawrence/status/1000790812366721024", "1000790812366721024")</f>
        <v/>
      </c>
      <c r="B158" s="2" t="n">
        <v>43247.72798611111</v>
      </c>
      <c r="C158" t="n">
        <v>0</v>
      </c>
      <c r="D158" t="n">
        <v>13</v>
      </c>
      <c r="E158" t="s">
        <v>169</v>
      </c>
      <c r="F158">
        <f>HYPERLINK("http://pbs.twimg.com/media/DeL_HwNVQAAh13k.jpg", "http://pbs.twimg.com/media/DeL_HwNVQAAh13k.jpg")</f>
        <v/>
      </c>
      <c r="G158" t="s"/>
      <c r="H158" t="s"/>
      <c r="I158" t="s"/>
      <c r="J158" t="n">
        <v>0</v>
      </c>
      <c r="K158" t="n">
        <v>0</v>
      </c>
      <c r="L158" t="n">
        <v>1</v>
      </c>
      <c r="M158" t="n">
        <v>0</v>
      </c>
    </row>
    <row r="159" spans="1:13">
      <c r="A159" s="1">
        <f>HYPERLINK("http://www.twitter.com/NathanBLawrence/status/1000594077598044160", "1000594077598044160")</f>
        <v/>
      </c>
      <c r="B159" s="2" t="n">
        <v>43247.18509259259</v>
      </c>
      <c r="C159" t="n">
        <v>0</v>
      </c>
      <c r="D159" t="n">
        <v>0</v>
      </c>
      <c r="E159" t="s">
        <v>170</v>
      </c>
      <c r="F159" t="s"/>
      <c r="G159" t="s"/>
      <c r="H159" t="s"/>
      <c r="I159" t="s"/>
      <c r="J159" t="n">
        <v>-0.5423</v>
      </c>
      <c r="K159" t="n">
        <v>0.137</v>
      </c>
      <c r="L159" t="n">
        <v>0.863</v>
      </c>
      <c r="M159" t="n">
        <v>0</v>
      </c>
    </row>
    <row r="160" spans="1:13">
      <c r="A160" s="1">
        <f>HYPERLINK("http://www.twitter.com/NathanBLawrence/status/1000593550688636928", "1000593550688636928")</f>
        <v/>
      </c>
      <c r="B160" s="2" t="n">
        <v>43247.18364583333</v>
      </c>
      <c r="C160" t="n">
        <v>0</v>
      </c>
      <c r="D160" t="n">
        <v>2</v>
      </c>
      <c r="E160" t="s">
        <v>171</v>
      </c>
      <c r="F160" t="s"/>
      <c r="G160" t="s"/>
      <c r="H160" t="s"/>
      <c r="I160" t="s"/>
      <c r="J160" t="n">
        <v>-0.6408</v>
      </c>
      <c r="K160" t="n">
        <v>0.24</v>
      </c>
      <c r="L160" t="n">
        <v>0.668</v>
      </c>
      <c r="M160" t="n">
        <v>0.091</v>
      </c>
    </row>
    <row r="161" spans="1:13">
      <c r="A161" s="1">
        <f>HYPERLINK("http://www.twitter.com/NathanBLawrence/status/1000593463992348678", "1000593463992348678")</f>
        <v/>
      </c>
      <c r="B161" s="2" t="n">
        <v>43247.18340277778</v>
      </c>
      <c r="C161" t="n">
        <v>0</v>
      </c>
      <c r="D161" t="n">
        <v>1</v>
      </c>
      <c r="E161" t="s">
        <v>172</v>
      </c>
      <c r="F161" t="s"/>
      <c r="G161" t="s"/>
      <c r="H161" t="s"/>
      <c r="I161" t="s"/>
      <c r="J161" t="n">
        <v>-0.5719</v>
      </c>
      <c r="K161" t="n">
        <v>0.163</v>
      </c>
      <c r="L161" t="n">
        <v>0.837</v>
      </c>
      <c r="M161" t="n">
        <v>0</v>
      </c>
    </row>
    <row r="162" spans="1:13">
      <c r="A162" s="1">
        <f>HYPERLINK("http://www.twitter.com/NathanBLawrence/status/1000593379938459648", "1000593379938459648")</f>
        <v/>
      </c>
      <c r="B162" s="2" t="n">
        <v>43247.1831712963</v>
      </c>
      <c r="C162" t="n">
        <v>0</v>
      </c>
      <c r="D162" t="n">
        <v>0</v>
      </c>
      <c r="E162" t="s">
        <v>173</v>
      </c>
      <c r="F162" t="s"/>
      <c r="G162" t="s"/>
      <c r="H162" t="s"/>
      <c r="I162" t="s"/>
      <c r="J162" t="n">
        <v>0.2732</v>
      </c>
      <c r="K162" t="n">
        <v>0</v>
      </c>
      <c r="L162" t="n">
        <v>0.89</v>
      </c>
      <c r="M162" t="n">
        <v>0.11</v>
      </c>
    </row>
    <row r="163" spans="1:13">
      <c r="A163" s="1">
        <f>HYPERLINK("http://www.twitter.com/NathanBLawrence/status/1000593014312652800", "1000593014312652800")</f>
        <v/>
      </c>
      <c r="B163" s="2" t="n">
        <v>43247.18216435185</v>
      </c>
      <c r="C163" t="n">
        <v>0</v>
      </c>
      <c r="D163" t="n">
        <v>1</v>
      </c>
      <c r="E163" t="s">
        <v>174</v>
      </c>
      <c r="F163" t="s"/>
      <c r="G163" t="s"/>
      <c r="H163" t="s"/>
      <c r="I163" t="s"/>
      <c r="J163" t="n">
        <v>-0.296</v>
      </c>
      <c r="K163" t="n">
        <v>0.147</v>
      </c>
      <c r="L163" t="n">
        <v>0.752</v>
      </c>
      <c r="M163" t="n">
        <v>0.102</v>
      </c>
    </row>
    <row r="164" spans="1:13">
      <c r="A164" s="1">
        <f>HYPERLINK("http://www.twitter.com/NathanBLawrence/status/1000592711802654720", "1000592711802654720")</f>
        <v/>
      </c>
      <c r="B164" s="2" t="n">
        <v>43247.18133101852</v>
      </c>
      <c r="C164" t="n">
        <v>0</v>
      </c>
      <c r="D164" t="n">
        <v>81</v>
      </c>
      <c r="E164" t="s">
        <v>175</v>
      </c>
      <c r="F164">
        <f>HYPERLINK("https://video.twimg.com/ext_tw_video/999315396820795393/pu/vid/1280x720/-aKhWBYwz-xReWyL.mp4?tag=3", "https://video.twimg.com/ext_tw_video/999315396820795393/pu/vid/1280x720/-aKhWBYwz-xReWyL.mp4?tag=3")</f>
        <v/>
      </c>
      <c r="G164" t="s"/>
      <c r="H164" t="s"/>
      <c r="I164" t="s"/>
      <c r="J164" t="n">
        <v>-0.4574</v>
      </c>
      <c r="K164" t="n">
        <v>0.123</v>
      </c>
      <c r="L164" t="n">
        <v>0.834</v>
      </c>
      <c r="M164" t="n">
        <v>0.044</v>
      </c>
    </row>
    <row r="165" spans="1:13">
      <c r="A165" s="1">
        <f>HYPERLINK("http://www.twitter.com/NathanBLawrence/status/1000592416250920960", "1000592416250920960")</f>
        <v/>
      </c>
      <c r="B165" s="2" t="n">
        <v>43247.18050925926</v>
      </c>
      <c r="C165" t="n">
        <v>0</v>
      </c>
      <c r="D165" t="n">
        <v>4</v>
      </c>
      <c r="E165" t="s">
        <v>176</v>
      </c>
      <c r="F165" t="s"/>
      <c r="G165" t="s"/>
      <c r="H165" t="s"/>
      <c r="I165" t="s"/>
      <c r="J165" t="n">
        <v>0</v>
      </c>
      <c r="K165" t="n">
        <v>0</v>
      </c>
      <c r="L165" t="n">
        <v>1</v>
      </c>
      <c r="M165" t="n">
        <v>0</v>
      </c>
    </row>
    <row r="166" spans="1:13">
      <c r="A166" s="1">
        <f>HYPERLINK("http://www.twitter.com/NathanBLawrence/status/1000592322755743744", "1000592322755743744")</f>
        <v/>
      </c>
      <c r="B166" s="2" t="n">
        <v>43247.18025462963</v>
      </c>
      <c r="C166" t="n">
        <v>1</v>
      </c>
      <c r="D166" t="n">
        <v>0</v>
      </c>
      <c r="E166" t="s">
        <v>177</v>
      </c>
      <c r="F166" t="s"/>
      <c r="G166" t="s"/>
      <c r="H166" t="s"/>
      <c r="I166" t="s"/>
      <c r="J166" t="n">
        <v>0.4404</v>
      </c>
      <c r="K166" t="n">
        <v>0</v>
      </c>
      <c r="L166" t="n">
        <v>0.674</v>
      </c>
      <c r="M166" t="n">
        <v>0.326</v>
      </c>
    </row>
    <row r="167" spans="1:13">
      <c r="A167" s="1">
        <f>HYPERLINK("http://www.twitter.com/NathanBLawrence/status/1000592065787506688", "1000592065787506688")</f>
        <v/>
      </c>
      <c r="B167" s="2" t="n">
        <v>43247.17954861111</v>
      </c>
      <c r="C167" t="n">
        <v>6</v>
      </c>
      <c r="D167" t="n">
        <v>1</v>
      </c>
      <c r="E167" t="s">
        <v>178</v>
      </c>
      <c r="F167" t="s"/>
      <c r="G167" t="s"/>
      <c r="H167" t="s"/>
      <c r="I167" t="s"/>
      <c r="J167" t="n">
        <v>-0.0376</v>
      </c>
      <c r="K167" t="n">
        <v>0.061</v>
      </c>
      <c r="L167" t="n">
        <v>0.86</v>
      </c>
      <c r="M167" t="n">
        <v>0.079</v>
      </c>
    </row>
    <row r="168" spans="1:13">
      <c r="A168" s="1">
        <f>HYPERLINK("http://www.twitter.com/NathanBLawrence/status/1000590994994151424", "1000590994994151424")</f>
        <v/>
      </c>
      <c r="B168" s="2" t="n">
        <v>43247.17658564815</v>
      </c>
      <c r="C168" t="n">
        <v>0</v>
      </c>
      <c r="D168" t="n">
        <v>1000</v>
      </c>
      <c r="E168" t="s">
        <v>179</v>
      </c>
      <c r="F168">
        <f>HYPERLINK("https://video.twimg.com/ext_tw_video/1000129027896725504/pu/vid/640x360/qrpeCRsqMViHWnV1.mp4?tag=3", "https://video.twimg.com/ext_tw_video/1000129027896725504/pu/vid/640x360/qrpeCRsqMViHWnV1.mp4?tag=3")</f>
        <v/>
      </c>
      <c r="G168" t="s"/>
      <c r="H168" t="s"/>
      <c r="I168" t="s"/>
      <c r="J168" t="n">
        <v>-0.25</v>
      </c>
      <c r="K168" t="n">
        <v>0.08699999999999999</v>
      </c>
      <c r="L168" t="n">
        <v>0.913</v>
      </c>
      <c r="M168" t="n">
        <v>0</v>
      </c>
    </row>
    <row r="169" spans="1:13">
      <c r="A169" s="1">
        <f>HYPERLINK("http://www.twitter.com/NathanBLawrence/status/1000590942095671296", "1000590942095671296")</f>
        <v/>
      </c>
      <c r="B169" s="2" t="n">
        <v>43247.17644675926</v>
      </c>
      <c r="C169" t="n">
        <v>0</v>
      </c>
      <c r="D169" t="n">
        <v>5</v>
      </c>
      <c r="E169" t="s">
        <v>180</v>
      </c>
      <c r="F169" t="s"/>
      <c r="G169" t="s"/>
      <c r="H169" t="s"/>
      <c r="I169" t="s"/>
      <c r="J169" t="n">
        <v>0.4404</v>
      </c>
      <c r="K169" t="n">
        <v>0</v>
      </c>
      <c r="L169" t="n">
        <v>0.884</v>
      </c>
      <c r="M169" t="n">
        <v>0.116</v>
      </c>
    </row>
    <row r="170" spans="1:13">
      <c r="A170" s="1">
        <f>HYPERLINK("http://www.twitter.com/NathanBLawrence/status/1000590896474345477", "1000590896474345477")</f>
        <v/>
      </c>
      <c r="B170" s="2" t="n">
        <v>43247.17631944444</v>
      </c>
      <c r="C170" t="n">
        <v>0</v>
      </c>
      <c r="D170" t="n">
        <v>5</v>
      </c>
      <c r="E170" t="s">
        <v>181</v>
      </c>
      <c r="F170" t="s"/>
      <c r="G170" t="s"/>
      <c r="H170" t="s"/>
      <c r="I170" t="s"/>
      <c r="J170" t="n">
        <v>-0.6808</v>
      </c>
      <c r="K170" t="n">
        <v>0.384</v>
      </c>
      <c r="L170" t="n">
        <v>0.616</v>
      </c>
      <c r="M170" t="n">
        <v>0</v>
      </c>
    </row>
    <row r="171" spans="1:13">
      <c r="A171" s="1">
        <f>HYPERLINK("http://www.twitter.com/NathanBLawrence/status/1000590330415198208", "1000590330415198208")</f>
        <v/>
      </c>
      <c r="B171" s="2" t="n">
        <v>43247.17475694444</v>
      </c>
      <c r="C171" t="n">
        <v>0</v>
      </c>
      <c r="D171" t="n">
        <v>0</v>
      </c>
      <c r="E171" t="s">
        <v>182</v>
      </c>
      <c r="F171" t="s"/>
      <c r="G171" t="s"/>
      <c r="H171" t="s"/>
      <c r="I171" t="s"/>
      <c r="J171" t="n">
        <v>-0.6199</v>
      </c>
      <c r="K171" t="n">
        <v>0.208</v>
      </c>
      <c r="L171" t="n">
        <v>0.709</v>
      </c>
      <c r="M171" t="n">
        <v>0.083</v>
      </c>
    </row>
    <row r="172" spans="1:13">
      <c r="A172" s="1">
        <f>HYPERLINK("http://www.twitter.com/NathanBLawrence/status/1000257022544285696", "1000257022544285696")</f>
        <v/>
      </c>
      <c r="B172" s="2" t="n">
        <v>43246.255</v>
      </c>
      <c r="C172" t="n">
        <v>0</v>
      </c>
      <c r="D172" t="n">
        <v>0</v>
      </c>
      <c r="E172" t="s">
        <v>183</v>
      </c>
      <c r="F172" t="s"/>
      <c r="G172" t="s"/>
      <c r="H172" t="s"/>
      <c r="I172" t="s"/>
      <c r="J172" t="n">
        <v>-0.4767</v>
      </c>
      <c r="K172" t="n">
        <v>0.119</v>
      </c>
      <c r="L172" t="n">
        <v>0.881</v>
      </c>
      <c r="M172" t="n">
        <v>0</v>
      </c>
    </row>
    <row r="173" spans="1:13">
      <c r="A173" s="1">
        <f>HYPERLINK("http://www.twitter.com/NathanBLawrence/status/1000255609093218305", "1000255609093218305")</f>
        <v/>
      </c>
      <c r="B173" s="2" t="n">
        <v>43246.25109953704</v>
      </c>
      <c r="C173" t="n">
        <v>0</v>
      </c>
      <c r="D173" t="n">
        <v>0</v>
      </c>
      <c r="E173" t="s">
        <v>184</v>
      </c>
      <c r="F173" t="s"/>
      <c r="G173" t="s"/>
      <c r="H173" t="s"/>
      <c r="I173" t="s"/>
      <c r="J173" t="n">
        <v>-0.0772</v>
      </c>
      <c r="K173" t="n">
        <v>0.108</v>
      </c>
      <c r="L173" t="n">
        <v>0.794</v>
      </c>
      <c r="M173" t="n">
        <v>0.098</v>
      </c>
    </row>
    <row r="174" spans="1:13">
      <c r="A174" s="1">
        <f>HYPERLINK("http://www.twitter.com/NathanBLawrence/status/1000253131408756737", "1000253131408756737")</f>
        <v/>
      </c>
      <c r="B174" s="2" t="n">
        <v>43246.24425925926</v>
      </c>
      <c r="C174" t="n">
        <v>13</v>
      </c>
      <c r="D174" t="n">
        <v>0</v>
      </c>
      <c r="E174" t="s">
        <v>185</v>
      </c>
      <c r="F174" t="s"/>
      <c r="G174" t="s"/>
      <c r="H174" t="s"/>
      <c r="I174" t="s"/>
      <c r="J174" t="n">
        <v>0.8176</v>
      </c>
      <c r="K174" t="n">
        <v>0</v>
      </c>
      <c r="L174" t="n">
        <v>0.653</v>
      </c>
      <c r="M174" t="n">
        <v>0.347</v>
      </c>
    </row>
    <row r="175" spans="1:13">
      <c r="A175" s="1">
        <f>HYPERLINK("http://www.twitter.com/NathanBLawrence/status/1000243856917614593", "1000243856917614593")</f>
        <v/>
      </c>
      <c r="B175" s="2" t="n">
        <v>43246.21866898148</v>
      </c>
      <c r="C175" t="n">
        <v>0</v>
      </c>
      <c r="D175" t="n">
        <v>4</v>
      </c>
      <c r="E175" t="s">
        <v>186</v>
      </c>
      <c r="F175" t="s"/>
      <c r="G175" t="s"/>
      <c r="H175" t="s"/>
      <c r="I175" t="s"/>
      <c r="J175" t="n">
        <v>0.3612</v>
      </c>
      <c r="K175" t="n">
        <v>0</v>
      </c>
      <c r="L175" t="n">
        <v>0.667</v>
      </c>
      <c r="M175" t="n">
        <v>0.333</v>
      </c>
    </row>
    <row r="176" spans="1:13">
      <c r="A176" s="1">
        <f>HYPERLINK("http://www.twitter.com/NathanBLawrence/status/1000242010958245888", "1000242010958245888")</f>
        <v/>
      </c>
      <c r="B176" s="2" t="n">
        <v>43246.21357638889</v>
      </c>
      <c r="C176" t="n">
        <v>0</v>
      </c>
      <c r="D176" t="n">
        <v>145</v>
      </c>
      <c r="E176" t="s">
        <v>187</v>
      </c>
      <c r="F176" t="s"/>
      <c r="G176" t="s"/>
      <c r="H176" t="s"/>
      <c r="I176" t="s"/>
      <c r="J176" t="n">
        <v>0.7003</v>
      </c>
      <c r="K176" t="n">
        <v>0</v>
      </c>
      <c r="L176" t="n">
        <v>0.58</v>
      </c>
      <c r="M176" t="n">
        <v>0.42</v>
      </c>
    </row>
    <row r="177" spans="1:13">
      <c r="A177" s="1">
        <f>HYPERLINK("http://www.twitter.com/NathanBLawrence/status/1000237010609672193", "1000237010609672193")</f>
        <v/>
      </c>
      <c r="B177" s="2" t="n">
        <v>43246.19978009259</v>
      </c>
      <c r="C177" t="n">
        <v>0</v>
      </c>
      <c r="D177" t="n">
        <v>0</v>
      </c>
      <c r="E177" t="s">
        <v>188</v>
      </c>
      <c r="F177" t="s"/>
      <c r="G177" t="s"/>
      <c r="H177" t="s"/>
      <c r="I177" t="s"/>
      <c r="J177" t="n">
        <v>-0.7693</v>
      </c>
      <c r="K177" t="n">
        <v>0.322</v>
      </c>
      <c r="L177" t="n">
        <v>0.483</v>
      </c>
      <c r="M177" t="n">
        <v>0.195</v>
      </c>
    </row>
    <row r="178" spans="1:13">
      <c r="A178" s="1">
        <f>HYPERLINK("http://www.twitter.com/NathanBLawrence/status/1000004635686526976", "1000004635686526976")</f>
        <v/>
      </c>
      <c r="B178" s="2" t="n">
        <v>43245.55854166667</v>
      </c>
      <c r="C178" t="n">
        <v>2</v>
      </c>
      <c r="D178" t="n">
        <v>0</v>
      </c>
      <c r="E178" t="s">
        <v>189</v>
      </c>
      <c r="F178" t="s"/>
      <c r="G178" t="s"/>
      <c r="H178" t="s"/>
      <c r="I178" t="s"/>
      <c r="J178" t="n">
        <v>-0.2065</v>
      </c>
      <c r="K178" t="n">
        <v>0.158</v>
      </c>
      <c r="L178" t="n">
        <v>0.66</v>
      </c>
      <c r="M178" t="n">
        <v>0.182</v>
      </c>
    </row>
    <row r="179" spans="1:13">
      <c r="A179" s="1">
        <f>HYPERLINK("http://www.twitter.com/NathanBLawrence/status/1000003690420416513", "1000003690420416513")</f>
        <v/>
      </c>
      <c r="B179" s="2" t="n">
        <v>43245.5559375</v>
      </c>
      <c r="C179" t="n">
        <v>1</v>
      </c>
      <c r="D179" t="n">
        <v>0</v>
      </c>
      <c r="E179" t="s">
        <v>190</v>
      </c>
      <c r="F179" t="s"/>
      <c r="G179" t="s"/>
      <c r="H179" t="s"/>
      <c r="I179" t="s"/>
      <c r="J179" t="n">
        <v>0</v>
      </c>
      <c r="K179" t="n">
        <v>0</v>
      </c>
      <c r="L179" t="n">
        <v>1</v>
      </c>
      <c r="M179" t="n">
        <v>0</v>
      </c>
    </row>
    <row r="180" spans="1:13">
      <c r="A180" s="1">
        <f>HYPERLINK("http://www.twitter.com/NathanBLawrence/status/1000002535556636673", "1000002535556636673")</f>
        <v/>
      </c>
      <c r="B180" s="2" t="n">
        <v>43245.55275462963</v>
      </c>
      <c r="C180" t="n">
        <v>0</v>
      </c>
      <c r="D180" t="n">
        <v>1</v>
      </c>
      <c r="E180" t="s">
        <v>191</v>
      </c>
      <c r="F180" t="s"/>
      <c r="G180" t="s"/>
      <c r="H180" t="s"/>
      <c r="I180" t="s"/>
      <c r="J180" t="n">
        <v>-0.2263</v>
      </c>
      <c r="K180" t="n">
        <v>0.091</v>
      </c>
      <c r="L180" t="n">
        <v>0.909</v>
      </c>
      <c r="M180" t="n">
        <v>0</v>
      </c>
    </row>
    <row r="181" spans="1:13">
      <c r="A181" s="1">
        <f>HYPERLINK("http://www.twitter.com/NathanBLawrence/status/999990689818660864", "999990689818660864")</f>
        <v/>
      </c>
      <c r="B181" s="2" t="n">
        <v>43245.52006944444</v>
      </c>
      <c r="C181" t="n">
        <v>2</v>
      </c>
      <c r="D181" t="n">
        <v>0</v>
      </c>
      <c r="E181" t="s">
        <v>192</v>
      </c>
      <c r="F181" t="s"/>
      <c r="G181" t="s"/>
      <c r="H181" t="s"/>
      <c r="I181" t="s"/>
      <c r="J181" t="n">
        <v>-0.504</v>
      </c>
      <c r="K181" t="n">
        <v>0.188</v>
      </c>
      <c r="L181" t="n">
        <v>0.709</v>
      </c>
      <c r="M181" t="n">
        <v>0.102</v>
      </c>
    </row>
    <row r="182" spans="1:13">
      <c r="A182" s="1">
        <f>HYPERLINK("http://www.twitter.com/NathanBLawrence/status/999358433504714752", "999358433504714752")</f>
        <v/>
      </c>
      <c r="B182" s="2" t="n">
        <v>43243.77537037037</v>
      </c>
      <c r="C182" t="n">
        <v>0</v>
      </c>
      <c r="D182" t="n">
        <v>3558</v>
      </c>
      <c r="E182" t="s">
        <v>193</v>
      </c>
      <c r="F182" t="s"/>
      <c r="G182" t="s"/>
      <c r="H182" t="s"/>
      <c r="I182" t="s"/>
      <c r="J182" t="n">
        <v>-0.5266999999999999</v>
      </c>
      <c r="K182" t="n">
        <v>0.196</v>
      </c>
      <c r="L182" t="n">
        <v>0.6830000000000001</v>
      </c>
      <c r="M182" t="n">
        <v>0.121</v>
      </c>
    </row>
    <row r="183" spans="1:13">
      <c r="A183" s="1">
        <f>HYPERLINK("http://www.twitter.com/NathanBLawrence/status/999358200309788672", "999358200309788672")</f>
        <v/>
      </c>
      <c r="B183" s="2" t="n">
        <v>43243.77472222222</v>
      </c>
      <c r="C183" t="n">
        <v>1</v>
      </c>
      <c r="D183" t="n">
        <v>0</v>
      </c>
      <c r="E183" t="s">
        <v>194</v>
      </c>
      <c r="F183" t="s"/>
      <c r="G183" t="s"/>
      <c r="H183" t="s"/>
      <c r="I183" t="s"/>
      <c r="J183" t="n">
        <v>-0.34</v>
      </c>
      <c r="K183" t="n">
        <v>0.259</v>
      </c>
      <c r="L183" t="n">
        <v>0.57</v>
      </c>
      <c r="M183" t="n">
        <v>0.171</v>
      </c>
    </row>
    <row r="184" spans="1:13">
      <c r="A184" s="1">
        <f>HYPERLINK("http://www.twitter.com/NathanBLawrence/status/999357969451180032", "999357969451180032")</f>
        <v/>
      </c>
      <c r="B184" s="2" t="n">
        <v>43243.77408564815</v>
      </c>
      <c r="C184" t="n">
        <v>0</v>
      </c>
      <c r="D184" t="n">
        <v>4080</v>
      </c>
      <c r="E184" t="s">
        <v>195</v>
      </c>
      <c r="F184" t="s"/>
      <c r="G184" t="s"/>
      <c r="H184" t="s"/>
      <c r="I184" t="s"/>
      <c r="J184" t="n">
        <v>-0.802</v>
      </c>
      <c r="K184" t="n">
        <v>0.396</v>
      </c>
      <c r="L184" t="n">
        <v>0.604</v>
      </c>
      <c r="M184" t="n">
        <v>0</v>
      </c>
    </row>
    <row r="185" spans="1:13">
      <c r="A185" s="1">
        <f>HYPERLINK("http://www.twitter.com/NathanBLawrence/status/999357936433590272", "999357936433590272")</f>
        <v/>
      </c>
      <c r="B185" s="2" t="n">
        <v>43243.77399305555</v>
      </c>
      <c r="C185" t="n">
        <v>0</v>
      </c>
      <c r="D185" t="n">
        <v>1945</v>
      </c>
      <c r="E185" t="s">
        <v>196</v>
      </c>
      <c r="F185" t="s"/>
      <c r="G185" t="s"/>
      <c r="H185" t="s"/>
      <c r="I185" t="s"/>
      <c r="J185" t="n">
        <v>0.7783</v>
      </c>
      <c r="K185" t="n">
        <v>0.14</v>
      </c>
      <c r="L185" t="n">
        <v>0.523</v>
      </c>
      <c r="M185" t="n">
        <v>0.337</v>
      </c>
    </row>
    <row r="186" spans="1:13">
      <c r="A186" s="1">
        <f>HYPERLINK("http://www.twitter.com/NathanBLawrence/status/999357884524875777", "999357884524875777")</f>
        <v/>
      </c>
      <c r="B186" s="2" t="n">
        <v>43243.77385416667</v>
      </c>
      <c r="C186" t="n">
        <v>0</v>
      </c>
      <c r="D186" t="n">
        <v>16244</v>
      </c>
      <c r="E186" t="s">
        <v>197</v>
      </c>
      <c r="F186" t="s"/>
      <c r="G186" t="s"/>
      <c r="H186" t="s"/>
      <c r="I186" t="s"/>
      <c r="J186" t="n">
        <v>0.8832</v>
      </c>
      <c r="K186" t="n">
        <v>0</v>
      </c>
      <c r="L186" t="n">
        <v>0.517</v>
      </c>
      <c r="M186" t="n">
        <v>0.483</v>
      </c>
    </row>
    <row r="187" spans="1:13">
      <c r="A187" s="1">
        <f>HYPERLINK("http://www.twitter.com/NathanBLawrence/status/999356253309689856", "999356253309689856")</f>
        <v/>
      </c>
      <c r="B187" s="2" t="n">
        <v>43243.76935185185</v>
      </c>
      <c r="C187" t="n">
        <v>6</v>
      </c>
      <c r="D187" t="n">
        <v>0</v>
      </c>
      <c r="E187" t="s">
        <v>198</v>
      </c>
      <c r="F187" t="s"/>
      <c r="G187" t="s"/>
      <c r="H187" t="s"/>
      <c r="I187" t="s"/>
      <c r="J187" t="n">
        <v>0.4215</v>
      </c>
      <c r="K187" t="n">
        <v>0</v>
      </c>
      <c r="L187" t="n">
        <v>0.84</v>
      </c>
      <c r="M187" t="n">
        <v>0.16</v>
      </c>
    </row>
    <row r="188" spans="1:13">
      <c r="A188" s="1">
        <f>HYPERLINK("http://www.twitter.com/NathanBLawrence/status/999354982854995986", "999354982854995986")</f>
        <v/>
      </c>
      <c r="B188" s="2" t="n">
        <v>43243.76584490741</v>
      </c>
      <c r="C188" t="n">
        <v>0</v>
      </c>
      <c r="D188" t="n">
        <v>13</v>
      </c>
      <c r="E188" t="s">
        <v>199</v>
      </c>
      <c r="F188">
        <f>HYPERLINK("http://pbs.twimg.com/media/Dd5gHkbVwAEz4Sn.jpg", "http://pbs.twimg.com/media/Dd5gHkbVwAEz4Sn.jpg")</f>
        <v/>
      </c>
      <c r="G188" t="s"/>
      <c r="H188" t="s"/>
      <c r="I188" t="s"/>
      <c r="J188" t="n">
        <v>-0.7269</v>
      </c>
      <c r="K188" t="n">
        <v>0.225</v>
      </c>
      <c r="L188" t="n">
        <v>0.775</v>
      </c>
      <c r="M188" t="n">
        <v>0</v>
      </c>
    </row>
    <row r="189" spans="1:13">
      <c r="A189" s="1">
        <f>HYPERLINK("http://www.twitter.com/NathanBLawrence/status/999354910243205123", "999354910243205123")</f>
        <v/>
      </c>
      <c r="B189" s="2" t="n">
        <v>43243.76564814815</v>
      </c>
      <c r="C189" t="n">
        <v>0</v>
      </c>
      <c r="D189" t="n">
        <v>522</v>
      </c>
      <c r="E189" t="s">
        <v>200</v>
      </c>
      <c r="F189" t="s"/>
      <c r="G189" t="s"/>
      <c r="H189" t="s"/>
      <c r="I189" t="s"/>
      <c r="J189" t="n">
        <v>0.7462</v>
      </c>
      <c r="K189" t="n">
        <v>0.073</v>
      </c>
      <c r="L189" t="n">
        <v>0.649</v>
      </c>
      <c r="M189" t="n">
        <v>0.278</v>
      </c>
    </row>
    <row r="190" spans="1:13">
      <c r="A190" s="1">
        <f>HYPERLINK("http://www.twitter.com/NathanBLawrence/status/999354606734979078", "999354606734979078")</f>
        <v/>
      </c>
      <c r="B190" s="2" t="n">
        <v>43243.76481481481</v>
      </c>
      <c r="C190" t="n">
        <v>0</v>
      </c>
      <c r="D190" t="n">
        <v>234</v>
      </c>
      <c r="E190" t="s">
        <v>201</v>
      </c>
      <c r="F190" t="s"/>
      <c r="G190" t="s"/>
      <c r="H190" t="s"/>
      <c r="I190" t="s"/>
      <c r="J190" t="n">
        <v>-0.2263</v>
      </c>
      <c r="K190" t="n">
        <v>0.118</v>
      </c>
      <c r="L190" t="n">
        <v>0.796</v>
      </c>
      <c r="M190" t="n">
        <v>0.08699999999999999</v>
      </c>
    </row>
    <row r="191" spans="1:13">
      <c r="A191" s="1">
        <f>HYPERLINK("http://www.twitter.com/NathanBLawrence/status/999354547792424971", "999354547792424971")</f>
        <v/>
      </c>
      <c r="B191" s="2" t="n">
        <v>43243.76464120371</v>
      </c>
      <c r="C191" t="n">
        <v>0</v>
      </c>
      <c r="D191" t="n">
        <v>113</v>
      </c>
      <c r="E191" t="s">
        <v>202</v>
      </c>
      <c r="F191">
        <f>HYPERLINK("http://pbs.twimg.com/media/Dd5hikCU0AI_WDr.jpg", "http://pbs.twimg.com/media/Dd5hikCU0AI_WDr.jpg")</f>
        <v/>
      </c>
      <c r="G191" t="s"/>
      <c r="H191" t="s"/>
      <c r="I191" t="s"/>
      <c r="J191" t="n">
        <v>0</v>
      </c>
      <c r="K191" t="n">
        <v>0</v>
      </c>
      <c r="L191" t="n">
        <v>1</v>
      </c>
      <c r="M191" t="n">
        <v>0</v>
      </c>
    </row>
    <row r="192" spans="1:13">
      <c r="A192" s="1">
        <f>HYPERLINK("http://www.twitter.com/NathanBLawrence/status/999353809167101958", "999353809167101958")</f>
        <v/>
      </c>
      <c r="B192" s="2" t="n">
        <v>43243.76260416667</v>
      </c>
      <c r="C192" t="n">
        <v>0</v>
      </c>
      <c r="D192" t="n">
        <v>474</v>
      </c>
      <c r="E192" t="s">
        <v>203</v>
      </c>
      <c r="F192" t="s"/>
      <c r="G192" t="s"/>
      <c r="H192" t="s"/>
      <c r="I192" t="s"/>
      <c r="J192" t="n">
        <v>0.6249</v>
      </c>
      <c r="K192" t="n">
        <v>0</v>
      </c>
      <c r="L192" t="n">
        <v>0.864</v>
      </c>
      <c r="M192" t="n">
        <v>0.136</v>
      </c>
    </row>
    <row r="193" spans="1:13">
      <c r="A193" s="1">
        <f>HYPERLINK("http://www.twitter.com/NathanBLawrence/status/999353388490993664", "999353388490993664")</f>
        <v/>
      </c>
      <c r="B193" s="2" t="n">
        <v>43243.76144675926</v>
      </c>
      <c r="C193" t="n">
        <v>7</v>
      </c>
      <c r="D193" t="n">
        <v>0</v>
      </c>
      <c r="E193" t="s">
        <v>204</v>
      </c>
      <c r="F193" t="s"/>
      <c r="G193" t="s"/>
      <c r="H193" t="s"/>
      <c r="I193" t="s"/>
      <c r="J193" t="n">
        <v>-0.4411</v>
      </c>
      <c r="K193" t="n">
        <v>0.164</v>
      </c>
      <c r="L193" t="n">
        <v>0.756</v>
      </c>
      <c r="M193" t="n">
        <v>0.08</v>
      </c>
    </row>
    <row r="194" spans="1:13">
      <c r="A194" s="1">
        <f>HYPERLINK("http://www.twitter.com/NathanBLawrence/status/999352779012493312", "999352779012493312")</f>
        <v/>
      </c>
      <c r="B194" s="2" t="n">
        <v>43243.75976851852</v>
      </c>
      <c r="C194" t="n">
        <v>0</v>
      </c>
      <c r="D194" t="n">
        <v>308</v>
      </c>
      <c r="E194" t="s">
        <v>205</v>
      </c>
      <c r="F194" t="s"/>
      <c r="G194" t="s"/>
      <c r="H194" t="s"/>
      <c r="I194" t="s"/>
      <c r="J194" t="n">
        <v>-0.5319</v>
      </c>
      <c r="K194" t="n">
        <v>0.276</v>
      </c>
      <c r="L194" t="n">
        <v>0.724</v>
      </c>
      <c r="M194" t="n">
        <v>0</v>
      </c>
    </row>
    <row r="195" spans="1:13">
      <c r="A195" s="1">
        <f>HYPERLINK("http://www.twitter.com/NathanBLawrence/status/999352119781134336", "999352119781134336")</f>
        <v/>
      </c>
      <c r="B195" s="2" t="n">
        <v>43243.75795138889</v>
      </c>
      <c r="C195" t="n">
        <v>0</v>
      </c>
      <c r="D195" t="n">
        <v>10770</v>
      </c>
      <c r="E195" t="s">
        <v>206</v>
      </c>
      <c r="F195">
        <f>HYPERLINK("https://video.twimg.com/ext_tw_video/999010693977272320/pu/vid/1280x720/seeQA4YHETyfeQJx.mp4?tag=3", "https://video.twimg.com/ext_tw_video/999010693977272320/pu/vid/1280x720/seeQA4YHETyfeQJx.mp4?tag=3")</f>
        <v/>
      </c>
      <c r="G195" t="s"/>
      <c r="H195" t="s"/>
      <c r="I195" t="s"/>
      <c r="J195" t="n">
        <v>0.8858</v>
      </c>
      <c r="K195" t="n">
        <v>0</v>
      </c>
      <c r="L195" t="n">
        <v>0.634</v>
      </c>
      <c r="M195" t="n">
        <v>0.366</v>
      </c>
    </row>
    <row r="196" spans="1:13">
      <c r="A196" s="1">
        <f>HYPERLINK("http://www.twitter.com/NathanBLawrence/status/999351242261442561", "999351242261442561")</f>
        <v/>
      </c>
      <c r="B196" s="2" t="n">
        <v>43243.75552083334</v>
      </c>
      <c r="C196" t="n">
        <v>1</v>
      </c>
      <c r="D196" t="n">
        <v>0</v>
      </c>
      <c r="E196" t="s">
        <v>207</v>
      </c>
      <c r="F196" t="s"/>
      <c r="G196" t="s"/>
      <c r="H196" t="s"/>
      <c r="I196" t="s"/>
      <c r="J196" t="n">
        <v>0</v>
      </c>
      <c r="K196" t="n">
        <v>0</v>
      </c>
      <c r="L196" t="n">
        <v>1</v>
      </c>
      <c r="M196" t="n">
        <v>0</v>
      </c>
    </row>
    <row r="197" spans="1:13">
      <c r="A197" s="1">
        <f>HYPERLINK("http://www.twitter.com/NathanBLawrence/status/999350875482189824", "999350875482189824")</f>
        <v/>
      </c>
      <c r="B197" s="2" t="n">
        <v>43243.75451388889</v>
      </c>
      <c r="C197" t="n">
        <v>0</v>
      </c>
      <c r="D197" t="n">
        <v>1</v>
      </c>
      <c r="E197" t="s">
        <v>208</v>
      </c>
      <c r="F197" t="s"/>
      <c r="G197" t="s"/>
      <c r="H197" t="s"/>
      <c r="I197" t="s"/>
      <c r="J197" t="n">
        <v>-0.6229</v>
      </c>
      <c r="K197" t="n">
        <v>0.312</v>
      </c>
      <c r="L197" t="n">
        <v>0.6879999999999999</v>
      </c>
      <c r="M197" t="n">
        <v>0</v>
      </c>
    </row>
    <row r="198" spans="1:13">
      <c r="A198" s="1">
        <f>HYPERLINK("http://www.twitter.com/NathanBLawrence/status/999350852661006336", "999350852661006336")</f>
        <v/>
      </c>
      <c r="B198" s="2" t="n">
        <v>43243.75444444444</v>
      </c>
      <c r="C198" t="n">
        <v>0</v>
      </c>
      <c r="D198" t="n">
        <v>7</v>
      </c>
      <c r="E198" t="s">
        <v>209</v>
      </c>
      <c r="F198" t="s"/>
      <c r="G198" t="s"/>
      <c r="H198" t="s"/>
      <c r="I198" t="s"/>
      <c r="J198" t="n">
        <v>-0.5423</v>
      </c>
      <c r="K198" t="n">
        <v>0.127</v>
      </c>
      <c r="L198" t="n">
        <v>0.873</v>
      </c>
      <c r="M198" t="n">
        <v>0</v>
      </c>
    </row>
    <row r="199" spans="1:13">
      <c r="A199" s="1">
        <f>HYPERLINK("http://www.twitter.com/NathanBLawrence/status/999350708632739840", "999350708632739840")</f>
        <v/>
      </c>
      <c r="B199" s="2" t="n">
        <v>43243.75405092593</v>
      </c>
      <c r="C199" t="n">
        <v>1</v>
      </c>
      <c r="D199" t="n">
        <v>0</v>
      </c>
      <c r="E199" t="s">
        <v>210</v>
      </c>
      <c r="F199" t="s"/>
      <c r="G199" t="s"/>
      <c r="H199" t="s"/>
      <c r="I199" t="s"/>
      <c r="J199" t="n">
        <v>0</v>
      </c>
      <c r="K199" t="n">
        <v>0</v>
      </c>
      <c r="L199" t="n">
        <v>1</v>
      </c>
      <c r="M199" t="n">
        <v>0</v>
      </c>
    </row>
    <row r="200" spans="1:13">
      <c r="A200" s="1">
        <f>HYPERLINK("http://www.twitter.com/NathanBLawrence/status/999349980795154443", "999349980795154443")</f>
        <v/>
      </c>
      <c r="B200" s="2" t="n">
        <v>43243.75204861111</v>
      </c>
      <c r="C200" t="n">
        <v>2</v>
      </c>
      <c r="D200" t="n">
        <v>0</v>
      </c>
      <c r="E200" t="s">
        <v>211</v>
      </c>
      <c r="F200" t="s"/>
      <c r="G200" t="s"/>
      <c r="H200" t="s"/>
      <c r="I200" t="s"/>
      <c r="J200" t="n">
        <v>0.6369</v>
      </c>
      <c r="K200" t="n">
        <v>0</v>
      </c>
      <c r="L200" t="n">
        <v>0.8110000000000001</v>
      </c>
      <c r="M200" t="n">
        <v>0.189</v>
      </c>
    </row>
    <row r="201" spans="1:13">
      <c r="A201" s="1">
        <f>HYPERLINK("http://www.twitter.com/NathanBLawrence/status/999349386944622606", "999349386944622606")</f>
        <v/>
      </c>
      <c r="B201" s="2" t="n">
        <v>43243.75040509259</v>
      </c>
      <c r="C201" t="n">
        <v>46</v>
      </c>
      <c r="D201" t="n">
        <v>0</v>
      </c>
      <c r="E201" t="s">
        <v>212</v>
      </c>
      <c r="F201" t="s"/>
      <c r="G201" t="s"/>
      <c r="H201" t="s"/>
      <c r="I201" t="s"/>
      <c r="J201" t="n">
        <v>-0.4215</v>
      </c>
      <c r="K201" t="n">
        <v>0.286</v>
      </c>
      <c r="L201" t="n">
        <v>0.714</v>
      </c>
      <c r="M201" t="n">
        <v>0</v>
      </c>
    </row>
    <row r="202" spans="1:13">
      <c r="A202" s="1">
        <f>HYPERLINK("http://www.twitter.com/NathanBLawrence/status/999348751818022912", "999348751818022912")</f>
        <v/>
      </c>
      <c r="B202" s="2" t="n">
        <v>43243.74865740741</v>
      </c>
      <c r="C202" t="n">
        <v>0</v>
      </c>
      <c r="D202" t="n">
        <v>849</v>
      </c>
      <c r="E202" t="s">
        <v>213</v>
      </c>
      <c r="F202" t="s"/>
      <c r="G202" t="s"/>
      <c r="H202" t="s"/>
      <c r="I202" t="s"/>
      <c r="J202" t="n">
        <v>-0.8908</v>
      </c>
      <c r="K202" t="n">
        <v>0.325</v>
      </c>
      <c r="L202" t="n">
        <v>0.675</v>
      </c>
      <c r="M202" t="n">
        <v>0</v>
      </c>
    </row>
    <row r="203" spans="1:13">
      <c r="A203" s="1">
        <f>HYPERLINK("http://www.twitter.com/NathanBLawrence/status/999348191907721216", "999348191907721216")</f>
        <v/>
      </c>
      <c r="B203" s="2" t="n">
        <v>43243.74710648148</v>
      </c>
      <c r="C203" t="n">
        <v>1</v>
      </c>
      <c r="D203" t="n">
        <v>0</v>
      </c>
      <c r="E203" t="s">
        <v>214</v>
      </c>
      <c r="F203" t="s"/>
      <c r="G203" t="s"/>
      <c r="H203" t="s"/>
      <c r="I203" t="s"/>
      <c r="J203" t="n">
        <v>0.4019</v>
      </c>
      <c r="K203" t="n">
        <v>0</v>
      </c>
      <c r="L203" t="n">
        <v>0.828</v>
      </c>
      <c r="M203" t="n">
        <v>0.172</v>
      </c>
    </row>
    <row r="204" spans="1:13">
      <c r="A204" s="1">
        <f>HYPERLINK("http://www.twitter.com/NathanBLawrence/status/999347401369575425", "999347401369575425")</f>
        <v/>
      </c>
      <c r="B204" s="2" t="n">
        <v>43243.74493055556</v>
      </c>
      <c r="C204" t="n">
        <v>0</v>
      </c>
      <c r="D204" t="n">
        <v>4</v>
      </c>
      <c r="E204" t="s">
        <v>215</v>
      </c>
      <c r="F204" t="s"/>
      <c r="G204" t="s"/>
      <c r="H204" t="s"/>
      <c r="I204" t="s"/>
      <c r="J204" t="n">
        <v>0.7494</v>
      </c>
      <c r="K204" t="n">
        <v>0</v>
      </c>
      <c r="L204" t="n">
        <v>0.484</v>
      </c>
      <c r="M204" t="n">
        <v>0.516</v>
      </c>
    </row>
    <row r="205" spans="1:13">
      <c r="A205" s="1">
        <f>HYPERLINK("http://www.twitter.com/NathanBLawrence/status/999346168940376064", "999346168940376064")</f>
        <v/>
      </c>
      <c r="B205" s="2" t="n">
        <v>43243.74152777778</v>
      </c>
      <c r="C205" t="n">
        <v>1</v>
      </c>
      <c r="D205" t="n">
        <v>1</v>
      </c>
      <c r="E205" t="s">
        <v>216</v>
      </c>
      <c r="F205" t="s"/>
      <c r="G205" t="s"/>
      <c r="H205" t="s"/>
      <c r="I205" t="s"/>
      <c r="J205" t="n">
        <v>-0.296</v>
      </c>
      <c r="K205" t="n">
        <v>0.239</v>
      </c>
      <c r="L205" t="n">
        <v>0.761</v>
      </c>
      <c r="M205" t="n">
        <v>0</v>
      </c>
    </row>
    <row r="206" spans="1:13">
      <c r="A206" s="1">
        <f>HYPERLINK("http://www.twitter.com/NathanBLawrence/status/999345949410504704", "999345949410504704")</f>
        <v/>
      </c>
      <c r="B206" s="2" t="n">
        <v>43243.74091435185</v>
      </c>
      <c r="C206" t="n">
        <v>0</v>
      </c>
      <c r="D206" t="n">
        <v>0</v>
      </c>
      <c r="E206" t="s">
        <v>217</v>
      </c>
      <c r="F206" t="s"/>
      <c r="G206" t="s"/>
      <c r="H206" t="s"/>
      <c r="I206" t="s"/>
      <c r="J206" t="n">
        <v>0</v>
      </c>
      <c r="K206" t="n">
        <v>0</v>
      </c>
      <c r="L206" t="n">
        <v>1</v>
      </c>
      <c r="M206" t="n">
        <v>0</v>
      </c>
    </row>
    <row r="207" spans="1:13">
      <c r="A207" s="1">
        <f>HYPERLINK("http://www.twitter.com/NathanBLawrence/status/999345390859235328", "999345390859235328")</f>
        <v/>
      </c>
      <c r="B207" s="2" t="n">
        <v>43243.739375</v>
      </c>
      <c r="C207" t="n">
        <v>0</v>
      </c>
      <c r="D207" t="n">
        <v>0</v>
      </c>
      <c r="E207" t="s">
        <v>218</v>
      </c>
      <c r="F207" t="s"/>
      <c r="G207" t="s"/>
      <c r="H207" t="s"/>
      <c r="I207" t="s"/>
      <c r="J207" t="n">
        <v>0.7351</v>
      </c>
      <c r="K207" t="n">
        <v>0</v>
      </c>
      <c r="L207" t="n">
        <v>0.392</v>
      </c>
      <c r="M207" t="n">
        <v>0.608</v>
      </c>
    </row>
    <row r="208" spans="1:13">
      <c r="A208" s="1">
        <f>HYPERLINK("http://www.twitter.com/NathanBLawrence/status/999345028081291266", "999345028081291266")</f>
        <v/>
      </c>
      <c r="B208" s="2" t="n">
        <v>43243.73837962963</v>
      </c>
      <c r="C208" t="n">
        <v>0</v>
      </c>
      <c r="D208" t="n">
        <v>21</v>
      </c>
      <c r="E208" t="s">
        <v>219</v>
      </c>
      <c r="F208" t="s"/>
      <c r="G208" t="s"/>
      <c r="H208" t="s"/>
      <c r="I208" t="s"/>
      <c r="J208" t="n">
        <v>-0.4588</v>
      </c>
      <c r="K208" t="n">
        <v>0.248</v>
      </c>
      <c r="L208" t="n">
        <v>0.581</v>
      </c>
      <c r="M208" t="n">
        <v>0.171</v>
      </c>
    </row>
    <row r="209" spans="1:13">
      <c r="A209" s="1">
        <f>HYPERLINK("http://www.twitter.com/NathanBLawrence/status/999344805384720384", "999344805384720384")</f>
        <v/>
      </c>
      <c r="B209" s="2" t="n">
        <v>43243.7377662037</v>
      </c>
      <c r="C209" t="n">
        <v>0</v>
      </c>
      <c r="D209" t="n">
        <v>2</v>
      </c>
      <c r="E209" t="s">
        <v>220</v>
      </c>
      <c r="F209" t="s"/>
      <c r="G209" t="s"/>
      <c r="H209" t="s"/>
      <c r="I209" t="s"/>
      <c r="J209" t="n">
        <v>0.7639</v>
      </c>
      <c r="K209" t="n">
        <v>0</v>
      </c>
      <c r="L209" t="n">
        <v>0.515</v>
      </c>
      <c r="M209" t="n">
        <v>0.485</v>
      </c>
    </row>
    <row r="210" spans="1:13">
      <c r="A210" s="1">
        <f>HYPERLINK("http://www.twitter.com/NathanBLawrence/status/999344378702376961", "999344378702376961")</f>
        <v/>
      </c>
      <c r="B210" s="2" t="n">
        <v>43243.73658564815</v>
      </c>
      <c r="C210" t="n">
        <v>0</v>
      </c>
      <c r="D210" t="n">
        <v>0</v>
      </c>
      <c r="E210" t="s">
        <v>221</v>
      </c>
      <c r="F210" t="s"/>
      <c r="G210" t="s"/>
      <c r="H210" t="s"/>
      <c r="I210" t="s"/>
      <c r="J210" t="n">
        <v>-0.8270999999999999</v>
      </c>
      <c r="K210" t="n">
        <v>0.524</v>
      </c>
      <c r="L210" t="n">
        <v>0.476</v>
      </c>
      <c r="M210" t="n">
        <v>0</v>
      </c>
    </row>
    <row r="211" spans="1:13">
      <c r="A211" s="1">
        <f>HYPERLINK("http://www.twitter.com/NathanBLawrence/status/999343800374964224", "999343800374964224")</f>
        <v/>
      </c>
      <c r="B211" s="2" t="n">
        <v>43243.73498842592</v>
      </c>
      <c r="C211" t="n">
        <v>0</v>
      </c>
      <c r="D211" t="n">
        <v>1</v>
      </c>
      <c r="E211" t="s">
        <v>222</v>
      </c>
      <c r="F211" t="s"/>
      <c r="G211" t="s"/>
      <c r="H211" t="s"/>
      <c r="I211" t="s"/>
      <c r="J211" t="n">
        <v>0.4215</v>
      </c>
      <c r="K211" t="n">
        <v>0.08699999999999999</v>
      </c>
      <c r="L211" t="n">
        <v>0.72</v>
      </c>
      <c r="M211" t="n">
        <v>0.193</v>
      </c>
    </row>
    <row r="212" spans="1:13">
      <c r="A212" s="1">
        <f>HYPERLINK("http://www.twitter.com/NathanBLawrence/status/999343749246390272", "999343749246390272")</f>
        <v/>
      </c>
      <c r="B212" s="2" t="n">
        <v>43243.73484953704</v>
      </c>
      <c r="C212" t="n">
        <v>0</v>
      </c>
      <c r="D212" t="n">
        <v>1</v>
      </c>
      <c r="E212" t="s">
        <v>223</v>
      </c>
      <c r="F212" t="s"/>
      <c r="G212" t="s"/>
      <c r="H212" t="s"/>
      <c r="I212" t="s"/>
      <c r="J212" t="n">
        <v>0.3612</v>
      </c>
      <c r="K212" t="n">
        <v>0</v>
      </c>
      <c r="L212" t="n">
        <v>0.902</v>
      </c>
      <c r="M212" t="n">
        <v>0.098</v>
      </c>
    </row>
    <row r="213" spans="1:13">
      <c r="A213" s="1">
        <f>HYPERLINK("http://www.twitter.com/NathanBLawrence/status/999343596603133952", "999343596603133952")</f>
        <v/>
      </c>
      <c r="B213" s="2" t="n">
        <v>43243.7344212963</v>
      </c>
      <c r="C213" t="n">
        <v>0</v>
      </c>
      <c r="D213" t="n">
        <v>1</v>
      </c>
      <c r="E213" t="s">
        <v>224</v>
      </c>
      <c r="F213" t="s"/>
      <c r="G213" t="s"/>
      <c r="H213" t="s"/>
      <c r="I213" t="s"/>
      <c r="J213" t="n">
        <v>-0.624</v>
      </c>
      <c r="K213" t="n">
        <v>0.27</v>
      </c>
      <c r="L213" t="n">
        <v>0.641</v>
      </c>
      <c r="M213" t="n">
        <v>0.089</v>
      </c>
    </row>
    <row r="214" spans="1:13">
      <c r="A214" s="1">
        <f>HYPERLINK("http://www.twitter.com/NathanBLawrence/status/999342124729593856", "999342124729593856")</f>
        <v/>
      </c>
      <c r="B214" s="2" t="n">
        <v>43243.73037037037</v>
      </c>
      <c r="C214" t="n">
        <v>113</v>
      </c>
      <c r="D214" t="n">
        <v>5</v>
      </c>
      <c r="E214" t="s">
        <v>225</v>
      </c>
      <c r="F214" t="s"/>
      <c r="G214" t="s"/>
      <c r="H214" t="s"/>
      <c r="I214" t="s"/>
      <c r="J214" t="n">
        <v>0.128</v>
      </c>
      <c r="K214" t="n">
        <v>0.114</v>
      </c>
      <c r="L214" t="n">
        <v>0.743</v>
      </c>
      <c r="M214" t="n">
        <v>0.143</v>
      </c>
    </row>
    <row r="215" spans="1:13">
      <c r="A215" s="1">
        <f>HYPERLINK("http://www.twitter.com/NathanBLawrence/status/999341731651956741", "999341731651956741")</f>
        <v/>
      </c>
      <c r="B215" s="2" t="n">
        <v>43243.72928240741</v>
      </c>
      <c r="C215" t="n">
        <v>6</v>
      </c>
      <c r="D215" t="n">
        <v>0</v>
      </c>
      <c r="E215" t="s">
        <v>226</v>
      </c>
      <c r="F215" t="s"/>
      <c r="G215" t="s"/>
      <c r="H215" t="s"/>
      <c r="I215" t="s"/>
      <c r="J215" t="n">
        <v>-0.2411</v>
      </c>
      <c r="K215" t="n">
        <v>0.179</v>
      </c>
      <c r="L215" t="n">
        <v>0.821</v>
      </c>
      <c r="M215" t="n">
        <v>0</v>
      </c>
    </row>
    <row r="216" spans="1:13">
      <c r="A216" s="1">
        <f>HYPERLINK("http://www.twitter.com/NathanBLawrence/status/999341410456358917", "999341410456358917")</f>
        <v/>
      </c>
      <c r="B216" s="2" t="n">
        <v>43243.7283912037</v>
      </c>
      <c r="C216" t="n">
        <v>11</v>
      </c>
      <c r="D216" t="n">
        <v>0</v>
      </c>
      <c r="E216" t="s">
        <v>227</v>
      </c>
      <c r="F216" t="s"/>
      <c r="G216" t="s"/>
      <c r="H216" t="s"/>
      <c r="I216" t="s"/>
      <c r="J216" t="n">
        <v>0.5242</v>
      </c>
      <c r="K216" t="n">
        <v>0</v>
      </c>
      <c r="L216" t="n">
        <v>0.542</v>
      </c>
      <c r="M216" t="n">
        <v>0.458</v>
      </c>
    </row>
    <row r="217" spans="1:13">
      <c r="A217" s="1">
        <f>HYPERLINK("http://www.twitter.com/NathanBLawrence/status/999341330303279104", "999341330303279104")</f>
        <v/>
      </c>
      <c r="B217" s="2" t="n">
        <v>43243.72817129629</v>
      </c>
      <c r="C217" t="n">
        <v>0</v>
      </c>
      <c r="D217" t="n">
        <v>41</v>
      </c>
      <c r="E217" t="s">
        <v>228</v>
      </c>
      <c r="F217">
        <f>HYPERLINK("http://pbs.twimg.com/media/Dd5XT9gUQAASsBk.jpg", "http://pbs.twimg.com/media/Dd5XT9gUQAASsBk.jpg")</f>
        <v/>
      </c>
      <c r="G217">
        <f>HYPERLINK("http://pbs.twimg.com/media/Dd5XUGtV4AEeqWz.jpg", "http://pbs.twimg.com/media/Dd5XUGtV4AEeqWz.jpg")</f>
        <v/>
      </c>
      <c r="H217">
        <f>HYPERLINK("http://pbs.twimg.com/media/Dd5XUiMV0AEuY3K.jpg", "http://pbs.twimg.com/media/Dd5XUiMV0AEuY3K.jpg")</f>
        <v/>
      </c>
      <c r="I217">
        <f>HYPERLINK("http://pbs.twimg.com/media/Dd5XU6TUwAADH2H.jpg", "http://pbs.twimg.com/media/Dd5XU6TUwAADH2H.jpg")</f>
        <v/>
      </c>
      <c r="J217" t="n">
        <v>0</v>
      </c>
      <c r="K217" t="n">
        <v>0</v>
      </c>
      <c r="L217" t="n">
        <v>1</v>
      </c>
      <c r="M217" t="n">
        <v>0</v>
      </c>
    </row>
    <row r="218" spans="1:13">
      <c r="A218" s="1">
        <f>HYPERLINK("http://www.twitter.com/NathanBLawrence/status/999341189680812033", "999341189680812033")</f>
        <v/>
      </c>
      <c r="B218" s="2" t="n">
        <v>43243.72778935185</v>
      </c>
      <c r="C218" t="n">
        <v>1</v>
      </c>
      <c r="D218" t="n">
        <v>0</v>
      </c>
      <c r="E218" t="s">
        <v>229</v>
      </c>
      <c r="F218" t="s"/>
      <c r="G218" t="s"/>
      <c r="H218" t="s"/>
      <c r="I218" t="s"/>
      <c r="J218" t="n">
        <v>-0.8776</v>
      </c>
      <c r="K218" t="n">
        <v>0.412</v>
      </c>
      <c r="L218" t="n">
        <v>0.588</v>
      </c>
      <c r="M218" t="n">
        <v>0</v>
      </c>
    </row>
    <row r="219" spans="1:13">
      <c r="A219" s="1">
        <f>HYPERLINK("http://www.twitter.com/NathanBLawrence/status/999340960885739520", "999340960885739520")</f>
        <v/>
      </c>
      <c r="B219" s="2" t="n">
        <v>43243.72715277778</v>
      </c>
      <c r="C219" t="n">
        <v>0</v>
      </c>
      <c r="D219" t="n">
        <v>13</v>
      </c>
      <c r="E219" t="s">
        <v>230</v>
      </c>
      <c r="F219" t="s"/>
      <c r="G219" t="s"/>
      <c r="H219" t="s"/>
      <c r="I219" t="s"/>
      <c r="J219" t="n">
        <v>0.6633</v>
      </c>
      <c r="K219" t="n">
        <v>0</v>
      </c>
      <c r="L219" t="n">
        <v>0.575</v>
      </c>
      <c r="M219" t="n">
        <v>0.425</v>
      </c>
    </row>
    <row r="220" spans="1:13">
      <c r="A220" s="1">
        <f>HYPERLINK("http://www.twitter.com/NathanBLawrence/status/999340836109332492", "999340836109332492")</f>
        <v/>
      </c>
      <c r="B220" s="2" t="n">
        <v>43243.72680555555</v>
      </c>
      <c r="C220" t="n">
        <v>0</v>
      </c>
      <c r="D220" t="n">
        <v>0</v>
      </c>
      <c r="E220" t="s">
        <v>231</v>
      </c>
      <c r="F220" t="s"/>
      <c r="G220" t="s"/>
      <c r="H220" t="s"/>
      <c r="I220" t="s"/>
      <c r="J220" t="n">
        <v>-0.0516</v>
      </c>
      <c r="K220" t="n">
        <v>0.134</v>
      </c>
      <c r="L220" t="n">
        <v>0.738</v>
      </c>
      <c r="M220" t="n">
        <v>0.128</v>
      </c>
    </row>
    <row r="221" spans="1:13">
      <c r="A221" s="1">
        <f>HYPERLINK("http://www.twitter.com/NathanBLawrence/status/999337313229524993", "999337313229524993")</f>
        <v/>
      </c>
      <c r="B221" s="2" t="n">
        <v>43243.71708333334</v>
      </c>
      <c r="C221" t="n">
        <v>0</v>
      </c>
      <c r="D221" t="n">
        <v>4783</v>
      </c>
      <c r="E221" t="s">
        <v>232</v>
      </c>
      <c r="F221">
        <f>HYPERLINK("http://pbs.twimg.com/media/Dcoq6FBXcAANCGk.jpg", "http://pbs.twimg.com/media/Dcoq6FBXcAANCGk.jpg")</f>
        <v/>
      </c>
      <c r="G221" t="s"/>
      <c r="H221" t="s"/>
      <c r="I221" t="s"/>
      <c r="J221" t="n">
        <v>-0.2867</v>
      </c>
      <c r="K221" t="n">
        <v>0.213</v>
      </c>
      <c r="L221" t="n">
        <v>0.63</v>
      </c>
      <c r="M221" t="n">
        <v>0.157</v>
      </c>
    </row>
    <row r="222" spans="1:13">
      <c r="A222" s="1">
        <f>HYPERLINK("http://www.twitter.com/NathanBLawrence/status/999331690337226754", "999331690337226754")</f>
        <v/>
      </c>
      <c r="B222" s="2" t="n">
        <v>43243.70157407408</v>
      </c>
      <c r="C222" t="n">
        <v>0</v>
      </c>
      <c r="D222" t="n">
        <v>0</v>
      </c>
      <c r="E222" t="s">
        <v>233</v>
      </c>
      <c r="F222" t="s"/>
      <c r="G222" t="s"/>
      <c r="H222" t="s"/>
      <c r="I222" t="s"/>
      <c r="J222" t="n">
        <v>0</v>
      </c>
      <c r="K222" t="n">
        <v>0</v>
      </c>
      <c r="L222" t="n">
        <v>1</v>
      </c>
      <c r="M222" t="n">
        <v>0</v>
      </c>
    </row>
    <row r="223" spans="1:13">
      <c r="A223" s="1">
        <f>HYPERLINK("http://www.twitter.com/NathanBLawrence/status/999301839689482240", "999301839689482240")</f>
        <v/>
      </c>
      <c r="B223" s="2" t="n">
        <v>43243.61920138889</v>
      </c>
      <c r="C223" t="n">
        <v>0</v>
      </c>
      <c r="D223" t="n">
        <v>667</v>
      </c>
      <c r="E223" t="s">
        <v>234</v>
      </c>
      <c r="F223" t="s"/>
      <c r="G223" t="s"/>
      <c r="H223" t="s"/>
      <c r="I223" t="s"/>
      <c r="J223" t="n">
        <v>0.4867</v>
      </c>
      <c r="K223" t="n">
        <v>0.125</v>
      </c>
      <c r="L223" t="n">
        <v>0.659</v>
      </c>
      <c r="M223" t="n">
        <v>0.216</v>
      </c>
    </row>
    <row r="224" spans="1:13">
      <c r="A224" s="1">
        <f>HYPERLINK("http://www.twitter.com/NathanBLawrence/status/999301684072460288", "999301684072460288")</f>
        <v/>
      </c>
      <c r="B224" s="2" t="n">
        <v>43243.61877314815</v>
      </c>
      <c r="C224" t="n">
        <v>4</v>
      </c>
      <c r="D224" t="n">
        <v>0</v>
      </c>
      <c r="E224" t="s">
        <v>235</v>
      </c>
      <c r="F224" t="s"/>
      <c r="G224" t="s"/>
      <c r="H224" t="s"/>
      <c r="I224" t="s"/>
      <c r="J224" t="n">
        <v>0</v>
      </c>
      <c r="K224" t="n">
        <v>0</v>
      </c>
      <c r="L224" t="n">
        <v>1</v>
      </c>
      <c r="M224" t="n">
        <v>0</v>
      </c>
    </row>
    <row r="225" spans="1:13">
      <c r="A225" s="1">
        <f>HYPERLINK("http://www.twitter.com/NathanBLawrence/status/999301529113907201", "999301529113907201")</f>
        <v/>
      </c>
      <c r="B225" s="2" t="n">
        <v>43243.61834490741</v>
      </c>
      <c r="C225" t="n">
        <v>0</v>
      </c>
      <c r="D225" t="n">
        <v>650</v>
      </c>
      <c r="E225" t="s">
        <v>236</v>
      </c>
      <c r="F225">
        <f>HYPERLINK("https://video.twimg.com/ext_tw_video/998662496025116672/pu/vid/1280x720/POIf5-dK-2UIZVgN.mp4?tag=3", "https://video.twimg.com/ext_tw_video/998662496025116672/pu/vid/1280x720/POIf5-dK-2UIZVgN.mp4?tag=3")</f>
        <v/>
      </c>
      <c r="G225" t="s"/>
      <c r="H225" t="s"/>
      <c r="I225" t="s"/>
      <c r="J225" t="n">
        <v>-0.5106000000000001</v>
      </c>
      <c r="K225" t="n">
        <v>0.251</v>
      </c>
      <c r="L225" t="n">
        <v>0.588</v>
      </c>
      <c r="M225" t="n">
        <v>0.161</v>
      </c>
    </row>
    <row r="226" spans="1:13">
      <c r="A226" s="1">
        <f>HYPERLINK("http://www.twitter.com/NathanBLawrence/status/999301239040036871", "999301239040036871")</f>
        <v/>
      </c>
      <c r="B226" s="2" t="n">
        <v>43243.61754629629</v>
      </c>
      <c r="C226" t="n">
        <v>0</v>
      </c>
      <c r="D226" t="n">
        <v>104</v>
      </c>
      <c r="E226" t="s">
        <v>237</v>
      </c>
      <c r="F226">
        <f>HYPERLINK("http://pbs.twimg.com/media/Dd4cH8GVAAAUjND.jpg", "http://pbs.twimg.com/media/Dd4cH8GVAAAUjND.jpg")</f>
        <v/>
      </c>
      <c r="G226" t="s"/>
      <c r="H226" t="s"/>
      <c r="I226" t="s"/>
      <c r="J226" t="n">
        <v>0.4588</v>
      </c>
      <c r="K226" t="n">
        <v>0</v>
      </c>
      <c r="L226" t="n">
        <v>0.875</v>
      </c>
      <c r="M226" t="n">
        <v>0.125</v>
      </c>
    </row>
    <row r="227" spans="1:13">
      <c r="A227" s="1">
        <f>HYPERLINK("http://www.twitter.com/NathanBLawrence/status/999301155242078209", "999301155242078209")</f>
        <v/>
      </c>
      <c r="B227" s="2" t="n">
        <v>43243.61731481482</v>
      </c>
      <c r="C227" t="n">
        <v>0</v>
      </c>
      <c r="D227" t="n">
        <v>13351</v>
      </c>
      <c r="E227" t="s">
        <v>238</v>
      </c>
      <c r="F227" t="s"/>
      <c r="G227" t="s"/>
      <c r="H227" t="s"/>
      <c r="I227" t="s"/>
      <c r="J227" t="n">
        <v>0</v>
      </c>
      <c r="K227" t="n">
        <v>0</v>
      </c>
      <c r="L227" t="n">
        <v>1</v>
      </c>
      <c r="M227" t="n">
        <v>0</v>
      </c>
    </row>
    <row r="228" spans="1:13">
      <c r="A228" s="1">
        <f>HYPERLINK("http://www.twitter.com/NathanBLawrence/status/999301120605515776", "999301120605515776")</f>
        <v/>
      </c>
      <c r="B228" s="2" t="n">
        <v>43243.61721064815</v>
      </c>
      <c r="C228" t="n">
        <v>0</v>
      </c>
      <c r="D228" t="n">
        <v>1120</v>
      </c>
      <c r="E228" t="s">
        <v>239</v>
      </c>
      <c r="F228">
        <f>HYPERLINK("https://video.twimg.com/ext_tw_video/999243048092450816/pu/vid/318x180/tZroTC2pD6iCqcYN.mp4?tag=3", "https://video.twimg.com/ext_tw_video/999243048092450816/pu/vid/318x180/tZroTC2pD6iCqcYN.mp4?tag=3")</f>
        <v/>
      </c>
      <c r="G228" t="s"/>
      <c r="H228" t="s"/>
      <c r="I228" t="s"/>
      <c r="J228" t="n">
        <v>0.5648</v>
      </c>
      <c r="K228" t="n">
        <v>0.09</v>
      </c>
      <c r="L228" t="n">
        <v>0.6889999999999999</v>
      </c>
      <c r="M228" t="n">
        <v>0.221</v>
      </c>
    </row>
    <row r="229" spans="1:13">
      <c r="A229" s="1">
        <f>HYPERLINK("http://www.twitter.com/NathanBLawrence/status/999300977546153984", "999300977546153984")</f>
        <v/>
      </c>
      <c r="B229" s="2" t="n">
        <v>43243.61681712963</v>
      </c>
      <c r="C229" t="n">
        <v>0</v>
      </c>
      <c r="D229" t="n">
        <v>13517</v>
      </c>
      <c r="E229" t="s">
        <v>240</v>
      </c>
      <c r="F229" t="s"/>
      <c r="G229" t="s"/>
      <c r="H229" t="s"/>
      <c r="I229" t="s"/>
      <c r="J229" t="n">
        <v>0.4019</v>
      </c>
      <c r="K229" t="n">
        <v>0</v>
      </c>
      <c r="L229" t="n">
        <v>0.886</v>
      </c>
      <c r="M229" t="n">
        <v>0.114</v>
      </c>
    </row>
    <row r="230" spans="1:13">
      <c r="A230" s="1">
        <f>HYPERLINK("http://www.twitter.com/NathanBLawrence/status/999300465685925888", "999300465685925888")</f>
        <v/>
      </c>
      <c r="B230" s="2" t="n">
        <v>43243.61540509259</v>
      </c>
      <c r="C230" t="n">
        <v>0</v>
      </c>
      <c r="D230" t="n">
        <v>13969</v>
      </c>
      <c r="E230" t="s">
        <v>241</v>
      </c>
      <c r="F230" t="s"/>
      <c r="G230" t="s"/>
      <c r="H230" t="s"/>
      <c r="I230" t="s"/>
      <c r="J230" t="n">
        <v>0</v>
      </c>
      <c r="K230" t="n">
        <v>0</v>
      </c>
      <c r="L230" t="n">
        <v>1</v>
      </c>
      <c r="M230" t="n">
        <v>0</v>
      </c>
    </row>
    <row r="231" spans="1:13">
      <c r="A231" s="1">
        <f>HYPERLINK("http://www.twitter.com/NathanBLawrence/status/999300331384332288", "999300331384332288")</f>
        <v/>
      </c>
      <c r="B231" s="2" t="n">
        <v>43243.61503472222</v>
      </c>
      <c r="C231" t="n">
        <v>0</v>
      </c>
      <c r="D231" t="n">
        <v>873</v>
      </c>
      <c r="E231" t="s">
        <v>242</v>
      </c>
      <c r="F231" t="s"/>
      <c r="G231" t="s"/>
      <c r="H231" t="s"/>
      <c r="I231" t="s"/>
      <c r="J231" t="n">
        <v>-0.6124000000000001</v>
      </c>
      <c r="K231" t="n">
        <v>0.154</v>
      </c>
      <c r="L231" t="n">
        <v>0.846</v>
      </c>
      <c r="M231" t="n">
        <v>0</v>
      </c>
    </row>
    <row r="232" spans="1:13">
      <c r="A232" s="1">
        <f>HYPERLINK("http://www.twitter.com/NathanBLawrence/status/999299914906693633", "999299914906693633")</f>
        <v/>
      </c>
      <c r="B232" s="2" t="n">
        <v>43243.61388888889</v>
      </c>
      <c r="C232" t="n">
        <v>0</v>
      </c>
      <c r="D232" t="n">
        <v>528</v>
      </c>
      <c r="E232" t="s">
        <v>243</v>
      </c>
      <c r="F232" t="s"/>
      <c r="G232" t="s"/>
      <c r="H232" t="s"/>
      <c r="I232" t="s"/>
      <c r="J232" t="n">
        <v>-0.8832</v>
      </c>
      <c r="K232" t="n">
        <v>0.364</v>
      </c>
      <c r="L232" t="n">
        <v>0.636</v>
      </c>
      <c r="M232" t="n">
        <v>0</v>
      </c>
    </row>
    <row r="233" spans="1:13">
      <c r="A233" s="1">
        <f>HYPERLINK("http://www.twitter.com/NathanBLawrence/status/999299841749606400", "999299841749606400")</f>
        <v/>
      </c>
      <c r="B233" s="2" t="n">
        <v>43243.61369212963</v>
      </c>
      <c r="C233" t="n">
        <v>0</v>
      </c>
      <c r="D233" t="n">
        <v>4353</v>
      </c>
      <c r="E233" t="s">
        <v>244</v>
      </c>
      <c r="F233" t="s"/>
      <c r="G233" t="s"/>
      <c r="H233" t="s"/>
      <c r="I233" t="s"/>
      <c r="J233" t="n">
        <v>-0.296</v>
      </c>
      <c r="K233" t="n">
        <v>0.109</v>
      </c>
      <c r="L233" t="n">
        <v>0.891</v>
      </c>
      <c r="M233" t="n">
        <v>0</v>
      </c>
    </row>
    <row r="234" spans="1:13">
      <c r="A234" s="1">
        <f>HYPERLINK("http://www.twitter.com/NathanBLawrence/status/999299715136151552", "999299715136151552")</f>
        <v/>
      </c>
      <c r="B234" s="2" t="n">
        <v>43243.61333333333</v>
      </c>
      <c r="C234" t="n">
        <v>0</v>
      </c>
      <c r="D234" t="n">
        <v>23727</v>
      </c>
      <c r="E234" t="s">
        <v>245</v>
      </c>
      <c r="F234" t="s"/>
      <c r="G234" t="s"/>
      <c r="H234" t="s"/>
      <c r="I234" t="s"/>
      <c r="J234" t="n">
        <v>-0.5461</v>
      </c>
      <c r="K234" t="n">
        <v>0.54</v>
      </c>
      <c r="L234" t="n">
        <v>0.46</v>
      </c>
      <c r="M234" t="n">
        <v>0</v>
      </c>
    </row>
    <row r="235" spans="1:13">
      <c r="A235" s="1">
        <f>HYPERLINK("http://www.twitter.com/NathanBLawrence/status/999299629039661056", "999299629039661056")</f>
        <v/>
      </c>
      <c r="B235" s="2" t="n">
        <v>43243.61310185185</v>
      </c>
      <c r="C235" t="n">
        <v>4</v>
      </c>
      <c r="D235" t="n">
        <v>0</v>
      </c>
      <c r="E235" t="s">
        <v>246</v>
      </c>
      <c r="F235" t="s"/>
      <c r="G235" t="s"/>
      <c r="H235" t="s"/>
      <c r="I235" t="s"/>
      <c r="J235" t="n">
        <v>-0.6403</v>
      </c>
      <c r="K235" t="n">
        <v>0.176</v>
      </c>
      <c r="L235" t="n">
        <v>0.764</v>
      </c>
      <c r="M235" t="n">
        <v>0.06</v>
      </c>
    </row>
    <row r="236" spans="1:13">
      <c r="A236" s="1">
        <f>HYPERLINK("http://www.twitter.com/NathanBLawrence/status/999298439572873219", "999298439572873219")</f>
        <v/>
      </c>
      <c r="B236" s="2" t="n">
        <v>43243.60981481482</v>
      </c>
      <c r="C236" t="n">
        <v>0</v>
      </c>
      <c r="D236" t="n">
        <v>2</v>
      </c>
      <c r="E236" t="s">
        <v>247</v>
      </c>
      <c r="F236" t="s"/>
      <c r="G236" t="s"/>
      <c r="H236" t="s"/>
      <c r="I236" t="s"/>
      <c r="J236" t="n">
        <v>-0.6597</v>
      </c>
      <c r="K236" t="n">
        <v>0.221</v>
      </c>
      <c r="L236" t="n">
        <v>0.779</v>
      </c>
      <c r="M236" t="n">
        <v>0</v>
      </c>
    </row>
    <row r="237" spans="1:13">
      <c r="A237" s="1">
        <f>HYPERLINK("http://www.twitter.com/NathanBLawrence/status/999298393208999936", "999298393208999936")</f>
        <v/>
      </c>
      <c r="B237" s="2" t="n">
        <v>43243.6096875</v>
      </c>
      <c r="C237" t="n">
        <v>0</v>
      </c>
      <c r="D237" t="n">
        <v>395</v>
      </c>
      <c r="E237" t="s">
        <v>248</v>
      </c>
      <c r="F237">
        <f>HYPERLINK("http://pbs.twimg.com/media/Dd4lYbDVMAAIXl2.jpg", "http://pbs.twimg.com/media/Dd4lYbDVMAAIXl2.jpg")</f>
        <v/>
      </c>
      <c r="G237" t="s"/>
      <c r="H237" t="s"/>
      <c r="I237" t="s"/>
      <c r="J237" t="n">
        <v>0.25</v>
      </c>
      <c r="K237" t="n">
        <v>0.117</v>
      </c>
      <c r="L237" t="n">
        <v>0.6850000000000001</v>
      </c>
      <c r="M237" t="n">
        <v>0.198</v>
      </c>
    </row>
    <row r="238" spans="1:13">
      <c r="A238" s="1">
        <f>HYPERLINK("http://www.twitter.com/NathanBLawrence/status/999298219434758145", "999298219434758145")</f>
        <v/>
      </c>
      <c r="B238" s="2" t="n">
        <v>43243.60921296296</v>
      </c>
      <c r="C238" t="n">
        <v>0</v>
      </c>
      <c r="D238" t="n">
        <v>6</v>
      </c>
      <c r="E238" t="s">
        <v>249</v>
      </c>
      <c r="F238" t="s"/>
      <c r="G238" t="s"/>
      <c r="H238" t="s"/>
      <c r="I238" t="s"/>
      <c r="J238" t="n">
        <v>-0.5266999999999999</v>
      </c>
      <c r="K238" t="n">
        <v>0.152</v>
      </c>
      <c r="L238" t="n">
        <v>0.848</v>
      </c>
      <c r="M238" t="n">
        <v>0</v>
      </c>
    </row>
    <row r="239" spans="1:13">
      <c r="A239" s="1">
        <f>HYPERLINK("http://www.twitter.com/NathanBLawrence/status/999297042328576001", "999297042328576001")</f>
        <v/>
      </c>
      <c r="B239" s="2" t="n">
        <v>43243.60596064815</v>
      </c>
      <c r="C239" t="n">
        <v>0</v>
      </c>
      <c r="D239" t="n">
        <v>0</v>
      </c>
      <c r="E239" t="s">
        <v>250</v>
      </c>
      <c r="F239" t="s"/>
      <c r="G239" t="s"/>
      <c r="H239" t="s"/>
      <c r="I239" t="s"/>
      <c r="J239" t="n">
        <v>0</v>
      </c>
      <c r="K239" t="n">
        <v>0.143</v>
      </c>
      <c r="L239" t="n">
        <v>0.714</v>
      </c>
      <c r="M239" t="n">
        <v>0.143</v>
      </c>
    </row>
    <row r="240" spans="1:13">
      <c r="A240" s="1">
        <f>HYPERLINK("http://www.twitter.com/NathanBLawrence/status/999295921635635200", "999295921635635200")</f>
        <v/>
      </c>
      <c r="B240" s="2" t="n">
        <v>43243.60287037037</v>
      </c>
      <c r="C240" t="n">
        <v>1</v>
      </c>
      <c r="D240" t="n">
        <v>0</v>
      </c>
      <c r="E240" t="s">
        <v>251</v>
      </c>
      <c r="F240" t="s"/>
      <c r="G240" t="s"/>
      <c r="H240" t="s"/>
      <c r="I240" t="s"/>
      <c r="J240" t="n">
        <v>0.6808</v>
      </c>
      <c r="K240" t="n">
        <v>0</v>
      </c>
      <c r="L240" t="n">
        <v>0.8110000000000001</v>
      </c>
      <c r="M240" t="n">
        <v>0.189</v>
      </c>
    </row>
    <row r="241" spans="1:13">
      <c r="A241" s="1">
        <f>HYPERLINK("http://www.twitter.com/NathanBLawrence/status/999294196891742208", "999294196891742208")</f>
        <v/>
      </c>
      <c r="B241" s="2" t="n">
        <v>43243.59811342593</v>
      </c>
      <c r="C241" t="n">
        <v>0</v>
      </c>
      <c r="D241" t="n">
        <v>0</v>
      </c>
      <c r="E241" t="s">
        <v>252</v>
      </c>
      <c r="F241" t="s"/>
      <c r="G241" t="s"/>
      <c r="H241" t="s"/>
      <c r="I241" t="s"/>
      <c r="J241" t="n">
        <v>0</v>
      </c>
      <c r="K241" t="n">
        <v>0</v>
      </c>
      <c r="L241" t="n">
        <v>1</v>
      </c>
      <c r="M241" t="n">
        <v>0</v>
      </c>
    </row>
    <row r="242" spans="1:13">
      <c r="A242" s="1">
        <f>HYPERLINK("http://www.twitter.com/NathanBLawrence/status/998759361022447616", "998759361022447616")</f>
        <v/>
      </c>
      <c r="B242" s="2" t="n">
        <v>43242.12224537037</v>
      </c>
      <c r="C242" t="n">
        <v>1</v>
      </c>
      <c r="D242" t="n">
        <v>0</v>
      </c>
      <c r="E242" t="s">
        <v>253</v>
      </c>
      <c r="F242" t="s"/>
      <c r="G242" t="s"/>
      <c r="H242" t="s"/>
      <c r="I242" t="s"/>
      <c r="J242" t="n">
        <v>0.1027</v>
      </c>
      <c r="K242" t="n">
        <v>0</v>
      </c>
      <c r="L242" t="n">
        <v>0.877</v>
      </c>
      <c r="M242" t="n">
        <v>0.123</v>
      </c>
    </row>
    <row r="243" spans="1:13">
      <c r="A243" s="1">
        <f>HYPERLINK("http://www.twitter.com/NathanBLawrence/status/998752409756274688", "998752409756274688")</f>
        <v/>
      </c>
      <c r="B243" s="2" t="n">
        <v>43242.10306712963</v>
      </c>
      <c r="C243" t="n">
        <v>2</v>
      </c>
      <c r="D243" t="n">
        <v>0</v>
      </c>
      <c r="E243" t="s">
        <v>254</v>
      </c>
      <c r="F243" t="s"/>
      <c r="G243" t="s"/>
      <c r="H243" t="s"/>
      <c r="I243" t="s"/>
      <c r="J243" t="n">
        <v>0.4329</v>
      </c>
      <c r="K243" t="n">
        <v>0</v>
      </c>
      <c r="L243" t="n">
        <v>0.84</v>
      </c>
      <c r="M243" t="n">
        <v>0.16</v>
      </c>
    </row>
    <row r="244" spans="1:13">
      <c r="A244" s="1">
        <f>HYPERLINK("http://www.twitter.com/NathanBLawrence/status/998750536194318337", "998750536194318337")</f>
        <v/>
      </c>
      <c r="B244" s="2" t="n">
        <v>43242.09789351852</v>
      </c>
      <c r="C244" t="n">
        <v>3</v>
      </c>
      <c r="D244" t="n">
        <v>0</v>
      </c>
      <c r="E244" t="s">
        <v>255</v>
      </c>
      <c r="F244" t="s"/>
      <c r="G244" t="s"/>
      <c r="H244" t="s"/>
      <c r="I244" t="s"/>
      <c r="J244" t="n">
        <v>-0.5859</v>
      </c>
      <c r="K244" t="n">
        <v>0.388</v>
      </c>
      <c r="L244" t="n">
        <v>0.612</v>
      </c>
      <c r="M244" t="n">
        <v>0</v>
      </c>
    </row>
    <row r="245" spans="1:13">
      <c r="A245" s="1">
        <f>HYPERLINK("http://www.twitter.com/NathanBLawrence/status/998750173005336582", "998750173005336582")</f>
        <v/>
      </c>
      <c r="B245" s="2" t="n">
        <v>43242.09688657407</v>
      </c>
      <c r="C245" t="n">
        <v>2</v>
      </c>
      <c r="D245" t="n">
        <v>0</v>
      </c>
      <c r="E245" t="s">
        <v>256</v>
      </c>
      <c r="F245" t="s"/>
      <c r="G245" t="s"/>
      <c r="H245" t="s"/>
      <c r="I245" t="s"/>
      <c r="J245" t="n">
        <v>-0.34</v>
      </c>
      <c r="K245" t="n">
        <v>0.286</v>
      </c>
      <c r="L245" t="n">
        <v>0.714</v>
      </c>
      <c r="M245" t="n">
        <v>0</v>
      </c>
    </row>
    <row r="246" spans="1:13">
      <c r="A246" s="1">
        <f>HYPERLINK("http://www.twitter.com/NathanBLawrence/status/998750010765430794", "998750010765430794")</f>
        <v/>
      </c>
      <c r="B246" s="2" t="n">
        <v>43242.09644675926</v>
      </c>
      <c r="C246" t="n">
        <v>1</v>
      </c>
      <c r="D246" t="n">
        <v>0</v>
      </c>
      <c r="E246" t="s">
        <v>257</v>
      </c>
      <c r="F246" t="s"/>
      <c r="G246" t="s"/>
      <c r="H246" t="s"/>
      <c r="I246" t="s"/>
      <c r="J246" t="n">
        <v>0.4019</v>
      </c>
      <c r="K246" t="n">
        <v>0</v>
      </c>
      <c r="L246" t="n">
        <v>0.748</v>
      </c>
      <c r="M246" t="n">
        <v>0.252</v>
      </c>
    </row>
    <row r="247" spans="1:13">
      <c r="A247" s="1">
        <f>HYPERLINK("http://www.twitter.com/NathanBLawrence/status/998732074470330368", "998732074470330368")</f>
        <v/>
      </c>
      <c r="B247" s="2" t="n">
        <v>43242.04694444445</v>
      </c>
      <c r="C247" t="n">
        <v>0</v>
      </c>
      <c r="D247" t="n">
        <v>0</v>
      </c>
      <c r="E247" t="s">
        <v>258</v>
      </c>
      <c r="F247" t="s"/>
      <c r="G247" t="s"/>
      <c r="H247" t="s"/>
      <c r="I247" t="s"/>
      <c r="J247" t="n">
        <v>0.717</v>
      </c>
      <c r="K247" t="n">
        <v>0</v>
      </c>
      <c r="L247" t="n">
        <v>0.572</v>
      </c>
      <c r="M247" t="n">
        <v>0.428</v>
      </c>
    </row>
    <row r="248" spans="1:13">
      <c r="A248" s="1">
        <f>HYPERLINK("http://www.twitter.com/NathanBLawrence/status/998728666942181377", "998728666942181377")</f>
        <v/>
      </c>
      <c r="B248" s="2" t="n">
        <v>43242.0375462963</v>
      </c>
      <c r="C248" t="n">
        <v>3</v>
      </c>
      <c r="D248" t="n">
        <v>1</v>
      </c>
      <c r="E248" t="s">
        <v>259</v>
      </c>
      <c r="F248" t="s"/>
      <c r="G248" t="s"/>
      <c r="H248" t="s"/>
      <c r="I248" t="s"/>
      <c r="J248" t="n">
        <v>0.2584</v>
      </c>
      <c r="K248" t="n">
        <v>0</v>
      </c>
      <c r="L248" t="n">
        <v>0.797</v>
      </c>
      <c r="M248" t="n">
        <v>0.203</v>
      </c>
    </row>
    <row r="249" spans="1:13">
      <c r="A249" s="1">
        <f>HYPERLINK("http://www.twitter.com/NathanBLawrence/status/998728173608230912", "998728173608230912")</f>
        <v/>
      </c>
      <c r="B249" s="2" t="n">
        <v>43242.03618055556</v>
      </c>
      <c r="C249" t="n">
        <v>0</v>
      </c>
      <c r="D249" t="n">
        <v>0</v>
      </c>
      <c r="E249" t="s">
        <v>260</v>
      </c>
      <c r="F249" t="s"/>
      <c r="G249" t="s"/>
      <c r="H249" t="s"/>
      <c r="I249" t="s"/>
      <c r="J249" t="n">
        <v>0.296</v>
      </c>
      <c r="K249" t="n">
        <v>0</v>
      </c>
      <c r="L249" t="n">
        <v>0.82</v>
      </c>
      <c r="M249" t="n">
        <v>0.18</v>
      </c>
    </row>
    <row r="250" spans="1:13">
      <c r="A250" s="1">
        <f>HYPERLINK("http://www.twitter.com/NathanBLawrence/status/998727700515901440", "998727700515901440")</f>
        <v/>
      </c>
      <c r="B250" s="2" t="n">
        <v>43242.03487268519</v>
      </c>
      <c r="C250" t="n">
        <v>0</v>
      </c>
      <c r="D250" t="n">
        <v>0</v>
      </c>
      <c r="E250" t="s">
        <v>261</v>
      </c>
      <c r="F250" t="s"/>
      <c r="G250" t="s"/>
      <c r="H250" t="s"/>
      <c r="I250" t="s"/>
      <c r="J250" t="n">
        <v>-0.3346</v>
      </c>
      <c r="K250" t="n">
        <v>0.192</v>
      </c>
      <c r="L250" t="n">
        <v>0.8080000000000001</v>
      </c>
      <c r="M250" t="n">
        <v>0</v>
      </c>
    </row>
    <row r="251" spans="1:13">
      <c r="A251" s="1">
        <f>HYPERLINK("http://www.twitter.com/NathanBLawrence/status/998725304842637313", "998725304842637313")</f>
        <v/>
      </c>
      <c r="B251" s="2" t="n">
        <v>43242.02826388889</v>
      </c>
      <c r="C251" t="n">
        <v>0</v>
      </c>
      <c r="D251" t="n">
        <v>5</v>
      </c>
      <c r="E251" t="s">
        <v>262</v>
      </c>
      <c r="F251" t="s"/>
      <c r="G251" t="s"/>
      <c r="H251" t="s"/>
      <c r="I251" t="s"/>
      <c r="J251" t="n">
        <v>-0.1027</v>
      </c>
      <c r="K251" t="n">
        <v>0.164</v>
      </c>
      <c r="L251" t="n">
        <v>0.725</v>
      </c>
      <c r="M251" t="n">
        <v>0.111</v>
      </c>
    </row>
    <row r="252" spans="1:13">
      <c r="A252" s="1">
        <f>HYPERLINK("http://www.twitter.com/NathanBLawrence/status/998725077784059905", "998725077784059905")</f>
        <v/>
      </c>
      <c r="B252" s="2" t="n">
        <v>43242.02763888889</v>
      </c>
      <c r="C252" t="n">
        <v>0</v>
      </c>
      <c r="D252" t="n">
        <v>13</v>
      </c>
      <c r="E252" t="s">
        <v>263</v>
      </c>
      <c r="F252" t="s"/>
      <c r="G252" t="s"/>
      <c r="H252" t="s"/>
      <c r="I252" t="s"/>
      <c r="J252" t="n">
        <v>0.2225</v>
      </c>
      <c r="K252" t="n">
        <v>0.103</v>
      </c>
      <c r="L252" t="n">
        <v>0.752</v>
      </c>
      <c r="M252" t="n">
        <v>0.145</v>
      </c>
    </row>
    <row r="253" spans="1:13">
      <c r="A253" s="1">
        <f>HYPERLINK("http://www.twitter.com/NathanBLawrence/status/998724671657754629", "998724671657754629")</f>
        <v/>
      </c>
      <c r="B253" s="2" t="n">
        <v>43242.0265162037</v>
      </c>
      <c r="C253" t="n">
        <v>0</v>
      </c>
      <c r="D253" t="n">
        <v>0</v>
      </c>
      <c r="E253" t="s">
        <v>264</v>
      </c>
      <c r="F253" t="s"/>
      <c r="G253" t="s"/>
      <c r="H253" t="s"/>
      <c r="I253" t="s"/>
      <c r="J253" t="n">
        <v>-0.7579</v>
      </c>
      <c r="K253" t="n">
        <v>0.333</v>
      </c>
      <c r="L253" t="n">
        <v>0.667</v>
      </c>
      <c r="M253" t="n">
        <v>0</v>
      </c>
    </row>
    <row r="254" spans="1:13">
      <c r="A254" s="1">
        <f>HYPERLINK("http://www.twitter.com/NathanBLawrence/status/998723999776563200", "998723999776563200")</f>
        <v/>
      </c>
      <c r="B254" s="2" t="n">
        <v>43242.02466435185</v>
      </c>
      <c r="C254" t="n">
        <v>1</v>
      </c>
      <c r="D254" t="n">
        <v>1</v>
      </c>
      <c r="E254" t="s">
        <v>265</v>
      </c>
      <c r="F254" t="s"/>
      <c r="G254" t="s"/>
      <c r="H254" t="s"/>
      <c r="I254" t="s"/>
      <c r="J254" t="n">
        <v>-0.34</v>
      </c>
      <c r="K254" t="n">
        <v>0.194</v>
      </c>
      <c r="L254" t="n">
        <v>0.806</v>
      </c>
      <c r="M254" t="n">
        <v>0</v>
      </c>
    </row>
    <row r="255" spans="1:13">
      <c r="A255" s="1">
        <f>HYPERLINK("http://www.twitter.com/NathanBLawrence/status/998723626928168960", "998723626928168960")</f>
        <v/>
      </c>
      <c r="B255" s="2" t="n">
        <v>43242.02363425926</v>
      </c>
      <c r="C255" t="n">
        <v>1</v>
      </c>
      <c r="D255" t="n">
        <v>0</v>
      </c>
      <c r="E255" t="s">
        <v>266</v>
      </c>
      <c r="F255" t="s"/>
      <c r="G255" t="s"/>
      <c r="H255" t="s"/>
      <c r="I255" t="s"/>
      <c r="J255" t="n">
        <v>-0.3818</v>
      </c>
      <c r="K255" t="n">
        <v>0.194</v>
      </c>
      <c r="L255" t="n">
        <v>0.714</v>
      </c>
      <c r="M255" t="n">
        <v>0.091</v>
      </c>
    </row>
    <row r="256" spans="1:13">
      <c r="A256" s="1">
        <f>HYPERLINK("http://www.twitter.com/NathanBLawrence/status/998722635788902400", "998722635788902400")</f>
        <v/>
      </c>
      <c r="B256" s="2" t="n">
        <v>43242.02090277777</v>
      </c>
      <c r="C256" t="n">
        <v>1</v>
      </c>
      <c r="D256" t="n">
        <v>0</v>
      </c>
      <c r="E256" t="s">
        <v>267</v>
      </c>
      <c r="F256" t="s"/>
      <c r="G256" t="s"/>
      <c r="H256" t="s"/>
      <c r="I256" t="s"/>
      <c r="J256" t="n">
        <v>0.5574</v>
      </c>
      <c r="K256" t="n">
        <v>0</v>
      </c>
      <c r="L256" t="n">
        <v>0.521</v>
      </c>
      <c r="M256" t="n">
        <v>0.479</v>
      </c>
    </row>
    <row r="257" spans="1:13">
      <c r="A257" s="1">
        <f>HYPERLINK("http://www.twitter.com/NathanBLawrence/status/998705246322003969", "998705246322003969")</f>
        <v/>
      </c>
      <c r="B257" s="2" t="n">
        <v>43241.97291666667</v>
      </c>
      <c r="C257" t="n">
        <v>1</v>
      </c>
      <c r="D257" t="n">
        <v>0</v>
      </c>
      <c r="E257" t="s">
        <v>268</v>
      </c>
      <c r="F257" t="s"/>
      <c r="G257" t="s"/>
      <c r="H257" t="s"/>
      <c r="I257" t="s"/>
      <c r="J257" t="n">
        <v>0.4404</v>
      </c>
      <c r="K257" t="n">
        <v>0</v>
      </c>
      <c r="L257" t="n">
        <v>0.508</v>
      </c>
      <c r="M257" t="n">
        <v>0.492</v>
      </c>
    </row>
    <row r="258" spans="1:13">
      <c r="A258" s="1">
        <f>HYPERLINK("http://www.twitter.com/NathanBLawrence/status/998704616136208384", "998704616136208384")</f>
        <v/>
      </c>
      <c r="B258" s="2" t="n">
        <v>43241.97118055556</v>
      </c>
      <c r="C258" t="n">
        <v>0</v>
      </c>
      <c r="D258" t="n">
        <v>6</v>
      </c>
      <c r="E258" t="s">
        <v>269</v>
      </c>
      <c r="F258" t="s"/>
      <c r="G258" t="s"/>
      <c r="H258" t="s"/>
      <c r="I258" t="s"/>
      <c r="J258" t="n">
        <v>0.7717000000000001</v>
      </c>
      <c r="K258" t="n">
        <v>0</v>
      </c>
      <c r="L258" t="n">
        <v>0.732</v>
      </c>
      <c r="M258" t="n">
        <v>0.268</v>
      </c>
    </row>
    <row r="259" spans="1:13">
      <c r="A259" s="1">
        <f>HYPERLINK("http://www.twitter.com/NathanBLawrence/status/998704425588940801", "998704425588940801")</f>
        <v/>
      </c>
      <c r="B259" s="2" t="n">
        <v>43241.97064814815</v>
      </c>
      <c r="C259" t="n">
        <v>0</v>
      </c>
      <c r="D259" t="n">
        <v>18</v>
      </c>
      <c r="E259" t="s">
        <v>270</v>
      </c>
      <c r="F259" t="s"/>
      <c r="G259" t="s"/>
      <c r="H259" t="s"/>
      <c r="I259" t="s"/>
      <c r="J259" t="n">
        <v>0.5389</v>
      </c>
      <c r="K259" t="n">
        <v>0.053</v>
      </c>
      <c r="L259" t="n">
        <v>0.785</v>
      </c>
      <c r="M259" t="n">
        <v>0.161</v>
      </c>
    </row>
    <row r="260" spans="1:13">
      <c r="A260" s="1">
        <f>HYPERLINK("http://www.twitter.com/NathanBLawrence/status/998703732144656384", "998703732144656384")</f>
        <v/>
      </c>
      <c r="B260" s="2" t="n">
        <v>43241.96873842592</v>
      </c>
      <c r="C260" t="n">
        <v>0</v>
      </c>
      <c r="D260" t="n">
        <v>34</v>
      </c>
      <c r="E260" t="s">
        <v>271</v>
      </c>
      <c r="F260" t="s"/>
      <c r="G260" t="s"/>
      <c r="H260" t="s"/>
      <c r="I260" t="s"/>
      <c r="J260" t="n">
        <v>0.3182</v>
      </c>
      <c r="K260" t="n">
        <v>0</v>
      </c>
      <c r="L260" t="n">
        <v>0.909</v>
      </c>
      <c r="M260" t="n">
        <v>0.091</v>
      </c>
    </row>
    <row r="261" spans="1:13">
      <c r="A261" s="1">
        <f>HYPERLINK("http://www.twitter.com/NathanBLawrence/status/998703637193994240", "998703637193994240")</f>
        <v/>
      </c>
      <c r="B261" s="2" t="n">
        <v>43241.96847222222</v>
      </c>
      <c r="C261" t="n">
        <v>1</v>
      </c>
      <c r="D261" t="n">
        <v>0</v>
      </c>
      <c r="E261" t="s">
        <v>272</v>
      </c>
      <c r="F261" t="s"/>
      <c r="G261" t="s"/>
      <c r="H261" t="s"/>
      <c r="I261" t="s"/>
      <c r="J261" t="n">
        <v>0.3612</v>
      </c>
      <c r="K261" t="n">
        <v>0</v>
      </c>
      <c r="L261" t="n">
        <v>0.828</v>
      </c>
      <c r="M261" t="n">
        <v>0.172</v>
      </c>
    </row>
    <row r="262" spans="1:13">
      <c r="A262" s="1">
        <f>HYPERLINK("http://www.twitter.com/NathanBLawrence/status/998701731482669058", "998701731482669058")</f>
        <v/>
      </c>
      <c r="B262" s="2" t="n">
        <v>43241.96321759259</v>
      </c>
      <c r="C262" t="n">
        <v>0</v>
      </c>
      <c r="D262" t="n">
        <v>4</v>
      </c>
      <c r="E262" t="s">
        <v>273</v>
      </c>
      <c r="F262">
        <f>HYPERLINK("http://pbs.twimg.com/media/DdwYovmVQAAqwkS.jpg", "http://pbs.twimg.com/media/DdwYovmVQAAqwkS.jpg")</f>
        <v/>
      </c>
      <c r="G262" t="s"/>
      <c r="H262" t="s"/>
      <c r="I262" t="s"/>
      <c r="J262" t="n">
        <v>0</v>
      </c>
      <c r="K262" t="n">
        <v>0</v>
      </c>
      <c r="L262" t="n">
        <v>1</v>
      </c>
      <c r="M262" t="n">
        <v>0</v>
      </c>
    </row>
    <row r="263" spans="1:13">
      <c r="A263" s="1">
        <f>HYPERLINK("http://www.twitter.com/NathanBLawrence/status/998701672531746817", "998701672531746817")</f>
        <v/>
      </c>
      <c r="B263" s="2" t="n">
        <v>43241.96305555556</v>
      </c>
      <c r="C263" t="n">
        <v>0</v>
      </c>
      <c r="D263" t="n">
        <v>1</v>
      </c>
      <c r="E263" t="s">
        <v>274</v>
      </c>
      <c r="F263" t="s"/>
      <c r="G263" t="s"/>
      <c r="H263" t="s"/>
      <c r="I263" t="s"/>
      <c r="J263" t="n">
        <v>0.2023</v>
      </c>
      <c r="K263" t="n">
        <v>0.106</v>
      </c>
      <c r="L263" t="n">
        <v>0.745</v>
      </c>
      <c r="M263" t="n">
        <v>0.149</v>
      </c>
    </row>
    <row r="264" spans="1:13">
      <c r="A264" s="1">
        <f>HYPERLINK("http://www.twitter.com/NathanBLawrence/status/998688998527823874", "998688998527823874")</f>
        <v/>
      </c>
      <c r="B264" s="2" t="n">
        <v>43241.92807870371</v>
      </c>
      <c r="C264" t="n">
        <v>0</v>
      </c>
      <c r="D264" t="n">
        <v>0</v>
      </c>
      <c r="E264" t="s">
        <v>275</v>
      </c>
      <c r="F264" t="s"/>
      <c r="G264" t="s"/>
      <c r="H264" t="s"/>
      <c r="I264" t="s"/>
      <c r="J264" t="n">
        <v>-0.8834</v>
      </c>
      <c r="K264" t="n">
        <v>0.292</v>
      </c>
      <c r="L264" t="n">
        <v>0.708</v>
      </c>
      <c r="M264" t="n">
        <v>0</v>
      </c>
    </row>
    <row r="265" spans="1:13">
      <c r="A265" s="1">
        <f>HYPERLINK("http://www.twitter.com/NathanBLawrence/status/998687610968133632", "998687610968133632")</f>
        <v/>
      </c>
      <c r="B265" s="2" t="n">
        <v>43241.92424768519</v>
      </c>
      <c r="C265" t="n">
        <v>0</v>
      </c>
      <c r="D265" t="n">
        <v>0</v>
      </c>
      <c r="E265" t="s">
        <v>276</v>
      </c>
      <c r="F265" t="s"/>
      <c r="G265" t="s"/>
      <c r="H265" t="s"/>
      <c r="I265" t="s"/>
      <c r="J265" t="n">
        <v>0</v>
      </c>
      <c r="K265" t="n">
        <v>0</v>
      </c>
      <c r="L265" t="n">
        <v>1</v>
      </c>
      <c r="M265" t="n">
        <v>0</v>
      </c>
    </row>
    <row r="266" spans="1:13">
      <c r="A266" s="1">
        <f>HYPERLINK("http://www.twitter.com/NathanBLawrence/status/998687534879158272", "998687534879158272")</f>
        <v/>
      </c>
      <c r="B266" s="2" t="n">
        <v>43241.92403935185</v>
      </c>
      <c r="C266" t="n">
        <v>0</v>
      </c>
      <c r="D266" t="n">
        <v>3</v>
      </c>
      <c r="E266" t="s">
        <v>277</v>
      </c>
      <c r="F266">
        <f>HYPERLINK("https://video.twimg.com/ext_tw_video/997946220222939136/pu/vid/1280x720/URLgThqp4la323IY.mp4?tag=3", "https://video.twimg.com/ext_tw_video/997946220222939136/pu/vid/1280x720/URLgThqp4la323IY.mp4?tag=3")</f>
        <v/>
      </c>
      <c r="G266" t="s"/>
      <c r="H266" t="s"/>
      <c r="I266" t="s"/>
      <c r="J266" t="n">
        <v>0</v>
      </c>
      <c r="K266" t="n">
        <v>0</v>
      </c>
      <c r="L266" t="n">
        <v>1</v>
      </c>
      <c r="M266" t="n">
        <v>0</v>
      </c>
    </row>
    <row r="267" spans="1:13">
      <c r="A267" s="1">
        <f>HYPERLINK("http://www.twitter.com/NathanBLawrence/status/998687332952887296", "998687332952887296")</f>
        <v/>
      </c>
      <c r="B267" s="2" t="n">
        <v>43241.92348379629</v>
      </c>
      <c r="C267" t="n">
        <v>0</v>
      </c>
      <c r="D267" t="n">
        <v>1</v>
      </c>
      <c r="E267" t="s">
        <v>278</v>
      </c>
      <c r="F267" t="s"/>
      <c r="G267" t="s"/>
      <c r="H267" t="s"/>
      <c r="I267" t="s"/>
      <c r="J267" t="n">
        <v>0</v>
      </c>
      <c r="K267" t="n">
        <v>0</v>
      </c>
      <c r="L267" t="n">
        <v>1</v>
      </c>
      <c r="M267" t="n">
        <v>0</v>
      </c>
    </row>
    <row r="268" spans="1:13">
      <c r="A268" s="1">
        <f>HYPERLINK("http://www.twitter.com/NathanBLawrence/status/998687116417798144", "998687116417798144")</f>
        <v/>
      </c>
      <c r="B268" s="2" t="n">
        <v>43241.92288194445</v>
      </c>
      <c r="C268" t="n">
        <v>0</v>
      </c>
      <c r="D268" t="n">
        <v>1</v>
      </c>
      <c r="E268" t="s">
        <v>279</v>
      </c>
      <c r="F268" t="s"/>
      <c r="G268" t="s"/>
      <c r="H268" t="s"/>
      <c r="I268" t="s"/>
      <c r="J268" t="n">
        <v>0.25</v>
      </c>
      <c r="K268" t="n">
        <v>0</v>
      </c>
      <c r="L268" t="n">
        <v>0.92</v>
      </c>
      <c r="M268" t="n">
        <v>0.08</v>
      </c>
    </row>
    <row r="269" spans="1:13">
      <c r="A269" s="1">
        <f>HYPERLINK("http://www.twitter.com/NathanBLawrence/status/998686737470836737", "998686737470836737")</f>
        <v/>
      </c>
      <c r="B269" s="2" t="n">
        <v>43241.92184027778</v>
      </c>
      <c r="C269" t="n">
        <v>0</v>
      </c>
      <c r="D269" t="n">
        <v>0</v>
      </c>
      <c r="E269" t="s">
        <v>280</v>
      </c>
      <c r="F269" t="s"/>
      <c r="G269" t="s"/>
      <c r="H269" t="s"/>
      <c r="I269" t="s"/>
      <c r="J269" t="n">
        <v>0.5599</v>
      </c>
      <c r="K269" t="n">
        <v>0</v>
      </c>
      <c r="L269" t="n">
        <v>0.356</v>
      </c>
      <c r="M269" t="n">
        <v>0.644</v>
      </c>
    </row>
    <row r="270" spans="1:13">
      <c r="A270" s="1">
        <f>HYPERLINK("http://www.twitter.com/NathanBLawrence/status/998686675491606536", "998686675491606536")</f>
        <v/>
      </c>
      <c r="B270" s="2" t="n">
        <v>43241.92166666667</v>
      </c>
      <c r="C270" t="n">
        <v>0</v>
      </c>
      <c r="D270" t="n">
        <v>1</v>
      </c>
      <c r="E270" t="s">
        <v>281</v>
      </c>
      <c r="F270" t="s"/>
      <c r="G270" t="s"/>
      <c r="H270" t="s"/>
      <c r="I270" t="s"/>
      <c r="J270" t="n">
        <v>0</v>
      </c>
      <c r="K270" t="n">
        <v>0</v>
      </c>
      <c r="L270" t="n">
        <v>1</v>
      </c>
      <c r="M270" t="n">
        <v>0</v>
      </c>
    </row>
    <row r="271" spans="1:13">
      <c r="A271" s="1">
        <f>HYPERLINK("http://www.twitter.com/NathanBLawrence/status/998686552346779648", "998686552346779648")</f>
        <v/>
      </c>
      <c r="B271" s="2" t="n">
        <v>43241.92133101852</v>
      </c>
      <c r="C271" t="n">
        <v>0</v>
      </c>
      <c r="D271" t="n">
        <v>0</v>
      </c>
      <c r="E271" t="s">
        <v>282</v>
      </c>
      <c r="F271" t="s"/>
      <c r="G271" t="s"/>
      <c r="H271" t="s"/>
      <c r="I271" t="s"/>
      <c r="J271" t="n">
        <v>0.1027</v>
      </c>
      <c r="K271" t="n">
        <v>0</v>
      </c>
      <c r="L271" t="n">
        <v>0.9429999999999999</v>
      </c>
      <c r="M271" t="n">
        <v>0.057</v>
      </c>
    </row>
    <row r="272" spans="1:13">
      <c r="A272" s="1">
        <f>HYPERLINK("http://www.twitter.com/NathanBLawrence/status/998685826698661893", "998685826698661893")</f>
        <v/>
      </c>
      <c r="B272" s="2" t="n">
        <v>43241.91932870371</v>
      </c>
      <c r="C272" t="n">
        <v>0</v>
      </c>
      <c r="D272" t="n">
        <v>1</v>
      </c>
      <c r="E272" t="s">
        <v>283</v>
      </c>
      <c r="F272" t="s"/>
      <c r="G272" t="s"/>
      <c r="H272" t="s"/>
      <c r="I272" t="s"/>
      <c r="J272" t="n">
        <v>0.6908</v>
      </c>
      <c r="K272" t="n">
        <v>0.079</v>
      </c>
      <c r="L272" t="n">
        <v>0.662</v>
      </c>
      <c r="M272" t="n">
        <v>0.259</v>
      </c>
    </row>
    <row r="273" spans="1:13">
      <c r="A273" s="1">
        <f>HYPERLINK("http://www.twitter.com/NathanBLawrence/status/998685662927904769", "998685662927904769")</f>
        <v/>
      </c>
      <c r="B273" s="2" t="n">
        <v>43241.91887731481</v>
      </c>
      <c r="C273" t="n">
        <v>1</v>
      </c>
      <c r="D273" t="n">
        <v>0</v>
      </c>
      <c r="E273" t="s">
        <v>284</v>
      </c>
      <c r="F273" t="s"/>
      <c r="G273" t="s"/>
      <c r="H273" t="s"/>
      <c r="I273" t="s"/>
      <c r="J273" t="n">
        <v>0.5106000000000001</v>
      </c>
      <c r="K273" t="n">
        <v>0</v>
      </c>
      <c r="L273" t="n">
        <v>0.837</v>
      </c>
      <c r="M273" t="n">
        <v>0.163</v>
      </c>
    </row>
    <row r="274" spans="1:13">
      <c r="A274" s="1">
        <f>HYPERLINK("http://www.twitter.com/NathanBLawrence/status/998685044444225543", "998685044444225543")</f>
        <v/>
      </c>
      <c r="B274" s="2" t="n">
        <v>43241.91716435185</v>
      </c>
      <c r="C274" t="n">
        <v>0</v>
      </c>
      <c r="D274" t="n">
        <v>0</v>
      </c>
      <c r="E274" t="s">
        <v>285</v>
      </c>
      <c r="F274" t="s"/>
      <c r="G274" t="s"/>
      <c r="H274" t="s"/>
      <c r="I274" t="s"/>
      <c r="J274" t="n">
        <v>0</v>
      </c>
      <c r="K274" t="n">
        <v>0</v>
      </c>
      <c r="L274" t="n">
        <v>1</v>
      </c>
      <c r="M274" t="n">
        <v>0</v>
      </c>
    </row>
    <row r="275" spans="1:13">
      <c r="A275" s="1">
        <f>HYPERLINK("http://www.twitter.com/NathanBLawrence/status/998683897750867968", "998683897750867968")</f>
        <v/>
      </c>
      <c r="B275" s="2" t="n">
        <v>43241.91400462963</v>
      </c>
      <c r="C275" t="n">
        <v>0</v>
      </c>
      <c r="D275" t="n">
        <v>0</v>
      </c>
      <c r="E275" t="s">
        <v>286</v>
      </c>
      <c r="F275" t="s"/>
      <c r="G275" t="s"/>
      <c r="H275" t="s"/>
      <c r="I275" t="s"/>
      <c r="J275" t="n">
        <v>0.2444</v>
      </c>
      <c r="K275" t="n">
        <v>0.08599999999999999</v>
      </c>
      <c r="L275" t="n">
        <v>0.792</v>
      </c>
      <c r="M275" t="n">
        <v>0.122</v>
      </c>
    </row>
    <row r="276" spans="1:13">
      <c r="A276" s="1">
        <f>HYPERLINK("http://www.twitter.com/NathanBLawrence/status/998683372493950976", "998683372493950976")</f>
        <v/>
      </c>
      <c r="B276" s="2" t="n">
        <v>43241.91255787037</v>
      </c>
      <c r="C276" t="n">
        <v>0</v>
      </c>
      <c r="D276" t="n">
        <v>1</v>
      </c>
      <c r="E276" t="s">
        <v>287</v>
      </c>
      <c r="F276" t="s"/>
      <c r="G276" t="s"/>
      <c r="H276" t="s"/>
      <c r="I276" t="s"/>
      <c r="J276" t="n">
        <v>0.7592</v>
      </c>
      <c r="K276" t="n">
        <v>0</v>
      </c>
      <c r="L276" t="n">
        <v>0.731</v>
      </c>
      <c r="M276" t="n">
        <v>0.269</v>
      </c>
    </row>
    <row r="277" spans="1:13">
      <c r="A277" s="1">
        <f>HYPERLINK("http://www.twitter.com/NathanBLawrence/status/998683197759160320", "998683197759160320")</f>
        <v/>
      </c>
      <c r="B277" s="2" t="n">
        <v>43241.91207175926</v>
      </c>
      <c r="C277" t="n">
        <v>0</v>
      </c>
      <c r="D277" t="n">
        <v>0</v>
      </c>
      <c r="E277" t="s">
        <v>288</v>
      </c>
      <c r="F277" t="s"/>
      <c r="G277" t="s"/>
      <c r="H277" t="s"/>
      <c r="I277" t="s"/>
      <c r="J277" t="n">
        <v>-0.8934</v>
      </c>
      <c r="K277" t="n">
        <v>0.289</v>
      </c>
      <c r="L277" t="n">
        <v>0.6850000000000001</v>
      </c>
      <c r="M277" t="n">
        <v>0.027</v>
      </c>
    </row>
    <row r="278" spans="1:13">
      <c r="A278" s="1">
        <f>HYPERLINK("http://www.twitter.com/NathanBLawrence/status/998682325952188419", "998682325952188419")</f>
        <v/>
      </c>
      <c r="B278" s="2" t="n">
        <v>43241.90966435185</v>
      </c>
      <c r="C278" t="n">
        <v>0</v>
      </c>
      <c r="D278" t="n">
        <v>1</v>
      </c>
      <c r="E278" t="s">
        <v>289</v>
      </c>
      <c r="F278" t="s"/>
      <c r="G278" t="s"/>
      <c r="H278" t="s"/>
      <c r="I278" t="s"/>
      <c r="J278" t="n">
        <v>-0.8159</v>
      </c>
      <c r="K278" t="n">
        <v>0.272</v>
      </c>
      <c r="L278" t="n">
        <v>0.728</v>
      </c>
      <c r="M278" t="n">
        <v>0</v>
      </c>
    </row>
    <row r="279" spans="1:13">
      <c r="A279" s="1">
        <f>HYPERLINK("http://www.twitter.com/NathanBLawrence/status/998682174932111361", "998682174932111361")</f>
        <v/>
      </c>
      <c r="B279" s="2" t="n">
        <v>43241.90924768519</v>
      </c>
      <c r="C279" t="n">
        <v>1</v>
      </c>
      <c r="D279" t="n">
        <v>0</v>
      </c>
      <c r="E279" t="s">
        <v>290</v>
      </c>
      <c r="F279" t="s"/>
      <c r="G279" t="s"/>
      <c r="H279" t="s"/>
      <c r="I279" t="s"/>
      <c r="J279" t="n">
        <v>0</v>
      </c>
      <c r="K279" t="n">
        <v>0</v>
      </c>
      <c r="L279" t="n">
        <v>1</v>
      </c>
      <c r="M279" t="n">
        <v>0</v>
      </c>
    </row>
    <row r="280" spans="1:13">
      <c r="A280" s="1">
        <f>HYPERLINK("http://www.twitter.com/NathanBLawrence/status/998682005008211968", "998682005008211968")</f>
        <v/>
      </c>
      <c r="B280" s="2" t="n">
        <v>43241.90878472223</v>
      </c>
      <c r="C280" t="n">
        <v>0</v>
      </c>
      <c r="D280" t="n">
        <v>1</v>
      </c>
      <c r="E280" t="s">
        <v>291</v>
      </c>
      <c r="F280" t="s"/>
      <c r="G280" t="s"/>
      <c r="H280" t="s"/>
      <c r="I280" t="s"/>
      <c r="J280" t="n">
        <v>0</v>
      </c>
      <c r="K280" t="n">
        <v>0</v>
      </c>
      <c r="L280" t="n">
        <v>1</v>
      </c>
      <c r="M280" t="n">
        <v>0</v>
      </c>
    </row>
    <row r="281" spans="1:13">
      <c r="A281" s="1">
        <f>HYPERLINK("http://www.twitter.com/NathanBLawrence/status/998681965103546369", "998681965103546369")</f>
        <v/>
      </c>
      <c r="B281" s="2" t="n">
        <v>43241.90866898148</v>
      </c>
      <c r="C281" t="n">
        <v>0</v>
      </c>
      <c r="D281" t="n">
        <v>0</v>
      </c>
      <c r="E281" t="s">
        <v>292</v>
      </c>
      <c r="F281" t="s"/>
      <c r="G281" t="s"/>
      <c r="H281" t="s"/>
      <c r="I281" t="s"/>
      <c r="J281" t="n">
        <v>0.0762</v>
      </c>
      <c r="K281" t="n">
        <v>0</v>
      </c>
      <c r="L281" t="n">
        <v>0.794</v>
      </c>
      <c r="M281" t="n">
        <v>0.206</v>
      </c>
    </row>
    <row r="282" spans="1:13">
      <c r="A282" s="1">
        <f>HYPERLINK("http://www.twitter.com/NathanBLawrence/status/998681270270988289", "998681270270988289")</f>
        <v/>
      </c>
      <c r="B282" s="2" t="n">
        <v>43241.90675925926</v>
      </c>
      <c r="C282" t="n">
        <v>0</v>
      </c>
      <c r="D282" t="n">
        <v>0</v>
      </c>
      <c r="E282" t="s">
        <v>293</v>
      </c>
      <c r="F282" t="s"/>
      <c r="G282" t="s"/>
      <c r="H282" t="s"/>
      <c r="I282" t="s"/>
      <c r="J282" t="n">
        <v>0</v>
      </c>
      <c r="K282" t="n">
        <v>0</v>
      </c>
      <c r="L282" t="n">
        <v>1</v>
      </c>
      <c r="M282" t="n">
        <v>0</v>
      </c>
    </row>
    <row r="283" spans="1:13">
      <c r="A283" s="1">
        <f>HYPERLINK("http://www.twitter.com/NathanBLawrence/status/998680166640635912", "998680166640635912")</f>
        <v/>
      </c>
      <c r="B283" s="2" t="n">
        <v>43241.90370370371</v>
      </c>
      <c r="C283" t="n">
        <v>0</v>
      </c>
      <c r="D283" t="n">
        <v>0</v>
      </c>
      <c r="E283" t="s">
        <v>294</v>
      </c>
      <c r="F283" t="s"/>
      <c r="G283" t="s"/>
      <c r="H283" t="s"/>
      <c r="I283" t="s"/>
      <c r="J283" t="n">
        <v>-0.4939</v>
      </c>
      <c r="K283" t="n">
        <v>0.177</v>
      </c>
      <c r="L283" t="n">
        <v>0.758</v>
      </c>
      <c r="M283" t="n">
        <v>0.066</v>
      </c>
    </row>
    <row r="284" spans="1:13">
      <c r="A284" s="1">
        <f>HYPERLINK("http://www.twitter.com/NathanBLawrence/status/998679235492491265", "998679235492491265")</f>
        <v/>
      </c>
      <c r="B284" s="2" t="n">
        <v>43241.90113425926</v>
      </c>
      <c r="C284" t="n">
        <v>1</v>
      </c>
      <c r="D284" t="n">
        <v>0</v>
      </c>
      <c r="E284" t="s">
        <v>295</v>
      </c>
      <c r="F284" t="s"/>
      <c r="G284" t="s"/>
      <c r="H284" t="s"/>
      <c r="I284" t="s"/>
      <c r="J284" t="n">
        <v>0</v>
      </c>
      <c r="K284" t="n">
        <v>0</v>
      </c>
      <c r="L284" t="n">
        <v>1</v>
      </c>
      <c r="M284" t="n">
        <v>0</v>
      </c>
    </row>
    <row r="285" spans="1:13">
      <c r="A285" s="1">
        <f>HYPERLINK("http://www.twitter.com/NathanBLawrence/status/998678313597132800", "998678313597132800")</f>
        <v/>
      </c>
      <c r="B285" s="2" t="n">
        <v>43241.89859953704</v>
      </c>
      <c r="C285" t="n">
        <v>0</v>
      </c>
      <c r="D285" t="n">
        <v>0</v>
      </c>
      <c r="E285" t="s">
        <v>296</v>
      </c>
      <c r="F285" t="s"/>
      <c r="G285" t="s"/>
      <c r="H285" t="s"/>
      <c r="I285" t="s"/>
      <c r="J285" t="n">
        <v>0</v>
      </c>
      <c r="K285" t="n">
        <v>0</v>
      </c>
      <c r="L285" t="n">
        <v>1</v>
      </c>
      <c r="M285" t="n">
        <v>0</v>
      </c>
    </row>
    <row r="286" spans="1:13">
      <c r="A286" s="1">
        <f>HYPERLINK("http://www.twitter.com/NathanBLawrence/status/998677432369647617", "998677432369647617")</f>
        <v/>
      </c>
      <c r="B286" s="2" t="n">
        <v>43241.89616898148</v>
      </c>
      <c r="C286" t="n">
        <v>0</v>
      </c>
      <c r="D286" t="n">
        <v>0</v>
      </c>
      <c r="E286" t="s">
        <v>297</v>
      </c>
      <c r="F286" t="s"/>
      <c r="G286" t="s"/>
      <c r="H286" t="s"/>
      <c r="I286" t="s"/>
      <c r="J286" t="n">
        <v>-0.0258</v>
      </c>
      <c r="K286" t="n">
        <v>0.234</v>
      </c>
      <c r="L286" t="n">
        <v>0.541</v>
      </c>
      <c r="M286" t="n">
        <v>0.225</v>
      </c>
    </row>
    <row r="287" spans="1:13">
      <c r="A287" s="1">
        <f>HYPERLINK("http://www.twitter.com/NathanBLawrence/status/998677111467593729", "998677111467593729")</f>
        <v/>
      </c>
      <c r="B287" s="2" t="n">
        <v>43241.89527777778</v>
      </c>
      <c r="C287" t="n">
        <v>2</v>
      </c>
      <c r="D287" t="n">
        <v>0</v>
      </c>
      <c r="E287" t="s">
        <v>298</v>
      </c>
      <c r="F287" t="s"/>
      <c r="G287" t="s"/>
      <c r="H287" t="s"/>
      <c r="I287" t="s"/>
      <c r="J287" t="n">
        <v>0.296</v>
      </c>
      <c r="K287" t="n">
        <v>0</v>
      </c>
      <c r="L287" t="n">
        <v>0.879</v>
      </c>
      <c r="M287" t="n">
        <v>0.121</v>
      </c>
    </row>
    <row r="288" spans="1:13">
      <c r="A288" s="1">
        <f>HYPERLINK("http://www.twitter.com/NathanBLawrence/status/998675913683464192", "998675913683464192")</f>
        <v/>
      </c>
      <c r="B288" s="2" t="n">
        <v>43241.89196759259</v>
      </c>
      <c r="C288" t="n">
        <v>0</v>
      </c>
      <c r="D288" t="n">
        <v>0</v>
      </c>
      <c r="E288" t="s">
        <v>299</v>
      </c>
      <c r="F288" t="s"/>
      <c r="G288" t="s"/>
      <c r="H288" t="s"/>
      <c r="I288" t="s"/>
      <c r="J288" t="n">
        <v>0.5777</v>
      </c>
      <c r="K288" t="n">
        <v>0</v>
      </c>
      <c r="L288" t="n">
        <v>0.886</v>
      </c>
      <c r="M288" t="n">
        <v>0.114</v>
      </c>
    </row>
    <row r="289" spans="1:13">
      <c r="A289" s="1">
        <f>HYPERLINK("http://www.twitter.com/NathanBLawrence/status/998675383573798912", "998675383573798912")</f>
        <v/>
      </c>
      <c r="B289" s="2" t="n">
        <v>43241.89050925926</v>
      </c>
      <c r="C289" t="n">
        <v>0</v>
      </c>
      <c r="D289" t="n">
        <v>0</v>
      </c>
      <c r="E289" t="s">
        <v>300</v>
      </c>
      <c r="F289" t="s"/>
      <c r="G289" t="s"/>
      <c r="H289" t="s"/>
      <c r="I289" t="s"/>
      <c r="J289" t="n">
        <v>0.6369</v>
      </c>
      <c r="K289" t="n">
        <v>0</v>
      </c>
      <c r="L289" t="n">
        <v>0.802</v>
      </c>
      <c r="M289" t="n">
        <v>0.198</v>
      </c>
    </row>
    <row r="290" spans="1:13">
      <c r="A290" s="1">
        <f>HYPERLINK("http://www.twitter.com/NathanBLawrence/status/998674858081898496", "998674858081898496")</f>
        <v/>
      </c>
      <c r="B290" s="2" t="n">
        <v>43241.8890625</v>
      </c>
      <c r="C290" t="n">
        <v>0</v>
      </c>
      <c r="D290" t="n">
        <v>15</v>
      </c>
      <c r="E290" t="s">
        <v>301</v>
      </c>
      <c r="F290" t="s"/>
      <c r="G290" t="s"/>
      <c r="H290" t="s"/>
      <c r="I290" t="s"/>
      <c r="J290" t="n">
        <v>-0.7845</v>
      </c>
      <c r="K290" t="n">
        <v>0.311</v>
      </c>
      <c r="L290" t="n">
        <v>0.52</v>
      </c>
      <c r="M290" t="n">
        <v>0.169</v>
      </c>
    </row>
    <row r="291" spans="1:13">
      <c r="A291" s="1">
        <f>HYPERLINK("http://www.twitter.com/NathanBLawrence/status/998673629767520259", "998673629767520259")</f>
        <v/>
      </c>
      <c r="B291" s="2" t="n">
        <v>43241.8856712963</v>
      </c>
      <c r="C291" t="n">
        <v>1</v>
      </c>
      <c r="D291" t="n">
        <v>0</v>
      </c>
      <c r="E291" t="s">
        <v>302</v>
      </c>
      <c r="F291" t="s"/>
      <c r="G291" t="s"/>
      <c r="H291" t="s"/>
      <c r="I291" t="s"/>
      <c r="J291" t="n">
        <v>0.5106000000000001</v>
      </c>
      <c r="K291" t="n">
        <v>0</v>
      </c>
      <c r="L291" t="n">
        <v>0.538</v>
      </c>
      <c r="M291" t="n">
        <v>0.462</v>
      </c>
    </row>
    <row r="292" spans="1:13">
      <c r="A292" s="1">
        <f>HYPERLINK("http://www.twitter.com/NathanBLawrence/status/998673283196293121", "998673283196293121")</f>
        <v/>
      </c>
      <c r="B292" s="2" t="n">
        <v>43241.88471064815</v>
      </c>
      <c r="C292" t="n">
        <v>1</v>
      </c>
      <c r="D292" t="n">
        <v>0</v>
      </c>
      <c r="E292" t="s">
        <v>303</v>
      </c>
      <c r="F292" t="s"/>
      <c r="G292" t="s"/>
      <c r="H292" t="s"/>
      <c r="I292" t="s"/>
      <c r="J292" t="n">
        <v>0</v>
      </c>
      <c r="K292" t="n">
        <v>0</v>
      </c>
      <c r="L292" t="n">
        <v>1</v>
      </c>
      <c r="M292" t="n">
        <v>0</v>
      </c>
    </row>
    <row r="293" spans="1:13">
      <c r="A293" s="1">
        <f>HYPERLINK("http://www.twitter.com/NathanBLawrence/status/998672953343643649", "998672953343643649")</f>
        <v/>
      </c>
      <c r="B293" s="2" t="n">
        <v>43241.88380787037</v>
      </c>
      <c r="C293" t="n">
        <v>0</v>
      </c>
      <c r="D293" t="n">
        <v>0</v>
      </c>
      <c r="E293" t="s">
        <v>304</v>
      </c>
      <c r="F293" t="s"/>
      <c r="G293" t="s"/>
      <c r="H293" t="s"/>
      <c r="I293" t="s"/>
      <c r="J293" t="n">
        <v>0.1655</v>
      </c>
      <c r="K293" t="n">
        <v>0</v>
      </c>
      <c r="L293" t="n">
        <v>0.9360000000000001</v>
      </c>
      <c r="M293" t="n">
        <v>0.064</v>
      </c>
    </row>
    <row r="294" spans="1:13">
      <c r="A294" s="1">
        <f>HYPERLINK("http://www.twitter.com/NathanBLawrence/status/998671839881723904", "998671839881723904")</f>
        <v/>
      </c>
      <c r="B294" s="2" t="n">
        <v>43241.88072916667</v>
      </c>
      <c r="C294" t="n">
        <v>2</v>
      </c>
      <c r="D294" t="n">
        <v>0</v>
      </c>
      <c r="E294" t="s">
        <v>305</v>
      </c>
      <c r="F294" t="s"/>
      <c r="G294" t="s"/>
      <c r="H294" t="s"/>
      <c r="I294" t="s"/>
      <c r="J294" t="n">
        <v>0</v>
      </c>
      <c r="K294" t="n">
        <v>0</v>
      </c>
      <c r="L294" t="n">
        <v>1</v>
      </c>
      <c r="M294" t="n">
        <v>0</v>
      </c>
    </row>
    <row r="295" spans="1:13">
      <c r="A295" s="1">
        <f>HYPERLINK("http://www.twitter.com/NathanBLawrence/status/998671326838706182", "998671326838706182")</f>
        <v/>
      </c>
      <c r="B295" s="2" t="n">
        <v>43241.87931712963</v>
      </c>
      <c r="C295" t="n">
        <v>0</v>
      </c>
      <c r="D295" t="n">
        <v>11</v>
      </c>
      <c r="E295" t="s">
        <v>306</v>
      </c>
      <c r="F295" t="s"/>
      <c r="G295" t="s"/>
      <c r="H295" t="s"/>
      <c r="I295" t="s"/>
      <c r="J295" t="n">
        <v>-0.128</v>
      </c>
      <c r="K295" t="n">
        <v>0.23</v>
      </c>
      <c r="L295" t="n">
        <v>0.576</v>
      </c>
      <c r="M295" t="n">
        <v>0.194</v>
      </c>
    </row>
    <row r="296" spans="1:13">
      <c r="A296" s="1">
        <f>HYPERLINK("http://www.twitter.com/NathanBLawrence/status/998669404178210816", "998669404178210816")</f>
        <v/>
      </c>
      <c r="B296" s="2" t="n">
        <v>43241.87400462963</v>
      </c>
      <c r="C296" t="n">
        <v>0</v>
      </c>
      <c r="D296" t="n">
        <v>8</v>
      </c>
      <c r="E296" t="s">
        <v>307</v>
      </c>
      <c r="F296" t="s"/>
      <c r="G296" t="s"/>
      <c r="H296" t="s"/>
      <c r="I296" t="s"/>
      <c r="J296" t="n">
        <v>-0.3736</v>
      </c>
      <c r="K296" t="n">
        <v>0.109</v>
      </c>
      <c r="L296" t="n">
        <v>0.891</v>
      </c>
      <c r="M296" t="n">
        <v>0</v>
      </c>
    </row>
    <row r="297" spans="1:13">
      <c r="A297" s="1">
        <f>HYPERLINK("http://www.twitter.com/NathanBLawrence/status/998669296623607808", "998669296623607808")</f>
        <v/>
      </c>
      <c r="B297" s="2" t="n">
        <v>43241.87371527778</v>
      </c>
      <c r="C297" t="n">
        <v>0</v>
      </c>
      <c r="D297" t="n">
        <v>26</v>
      </c>
      <c r="E297" t="s">
        <v>308</v>
      </c>
      <c r="F297" t="s"/>
      <c r="G297" t="s"/>
      <c r="H297" t="s"/>
      <c r="I297" t="s"/>
      <c r="J297" t="n">
        <v>0</v>
      </c>
      <c r="K297" t="n">
        <v>0</v>
      </c>
      <c r="L297" t="n">
        <v>1</v>
      </c>
      <c r="M297" t="n">
        <v>0</v>
      </c>
    </row>
    <row r="298" spans="1:13">
      <c r="A298" s="1">
        <f>HYPERLINK("http://www.twitter.com/NathanBLawrence/status/998669246199664640", "998669246199664640")</f>
        <v/>
      </c>
      <c r="B298" s="2" t="n">
        <v>43241.87357638889</v>
      </c>
      <c r="C298" t="n">
        <v>0</v>
      </c>
      <c r="D298" t="n">
        <v>0</v>
      </c>
      <c r="E298" t="s">
        <v>309</v>
      </c>
      <c r="F298" t="s"/>
      <c r="G298" t="s"/>
      <c r="H298" t="s"/>
      <c r="I298" t="s"/>
      <c r="J298" t="n">
        <v>0.5106000000000001</v>
      </c>
      <c r="K298" t="n">
        <v>0.142</v>
      </c>
      <c r="L298" t="n">
        <v>0.538</v>
      </c>
      <c r="M298" t="n">
        <v>0.319</v>
      </c>
    </row>
    <row r="299" spans="1:13">
      <c r="A299" s="1">
        <f>HYPERLINK("http://www.twitter.com/NathanBLawrence/status/998669043245690880", "998669043245690880")</f>
        <v/>
      </c>
      <c r="B299" s="2" t="n">
        <v>43241.87300925926</v>
      </c>
      <c r="C299" t="n">
        <v>0</v>
      </c>
      <c r="D299" t="n">
        <v>19</v>
      </c>
      <c r="E299" t="s">
        <v>310</v>
      </c>
      <c r="F299" t="s"/>
      <c r="G299" t="s"/>
      <c r="H299" t="s"/>
      <c r="I299" t="s"/>
      <c r="J299" t="n">
        <v>0</v>
      </c>
      <c r="K299" t="n">
        <v>0</v>
      </c>
      <c r="L299" t="n">
        <v>1</v>
      </c>
      <c r="M299" t="n">
        <v>0</v>
      </c>
    </row>
    <row r="300" spans="1:13">
      <c r="A300" s="1">
        <f>HYPERLINK("http://www.twitter.com/NathanBLawrence/status/998668909015379968", "998668909015379968")</f>
        <v/>
      </c>
      <c r="B300" s="2" t="n">
        <v>43241.87263888889</v>
      </c>
      <c r="C300" t="n">
        <v>0</v>
      </c>
      <c r="D300" t="n">
        <v>0</v>
      </c>
      <c r="E300" t="s">
        <v>311</v>
      </c>
      <c r="F300" t="s"/>
      <c r="G300" t="s"/>
      <c r="H300" t="s"/>
      <c r="I300" t="s"/>
      <c r="J300" t="n">
        <v>0</v>
      </c>
      <c r="K300" t="n">
        <v>0</v>
      </c>
      <c r="L300" t="n">
        <v>1</v>
      </c>
      <c r="M300" t="n">
        <v>0</v>
      </c>
    </row>
    <row r="301" spans="1:13">
      <c r="A301" s="1">
        <f>HYPERLINK("http://www.twitter.com/NathanBLawrence/status/998668385775968257", "998668385775968257")</f>
        <v/>
      </c>
      <c r="B301" s="2" t="n">
        <v>43241.8712037037</v>
      </c>
      <c r="C301" t="n">
        <v>0</v>
      </c>
      <c r="D301" t="n">
        <v>74</v>
      </c>
      <c r="E301" t="s">
        <v>312</v>
      </c>
      <c r="F301" t="s"/>
      <c r="G301" t="s"/>
      <c r="H301" t="s"/>
      <c r="I301" t="s"/>
      <c r="J301" t="n">
        <v>-0.4939</v>
      </c>
      <c r="K301" t="n">
        <v>0.122</v>
      </c>
      <c r="L301" t="n">
        <v>0.878</v>
      </c>
      <c r="M301" t="n">
        <v>0</v>
      </c>
    </row>
    <row r="302" spans="1:13">
      <c r="A302" s="1">
        <f>HYPERLINK("http://www.twitter.com/NathanBLawrence/status/998667199479975936", "998667199479975936")</f>
        <v/>
      </c>
      <c r="B302" s="2" t="n">
        <v>43241.86792824074</v>
      </c>
      <c r="C302" t="n">
        <v>0</v>
      </c>
      <c r="D302" t="n">
        <v>0</v>
      </c>
      <c r="E302" t="s">
        <v>313</v>
      </c>
      <c r="F302" t="s"/>
      <c r="G302" t="s"/>
      <c r="H302" t="s"/>
      <c r="I302" t="s"/>
      <c r="J302" t="n">
        <v>-0.8767</v>
      </c>
      <c r="K302" t="n">
        <v>0.401</v>
      </c>
      <c r="L302" t="n">
        <v>0.599</v>
      </c>
      <c r="M302" t="n">
        <v>0</v>
      </c>
    </row>
    <row r="303" spans="1:13">
      <c r="A303" s="1">
        <f>HYPERLINK("http://www.twitter.com/NathanBLawrence/status/998666439455371264", "998666439455371264")</f>
        <v/>
      </c>
      <c r="B303" s="2" t="n">
        <v>43241.86583333334</v>
      </c>
      <c r="C303" t="n">
        <v>0</v>
      </c>
      <c r="D303" t="n">
        <v>0</v>
      </c>
      <c r="E303" t="s">
        <v>314</v>
      </c>
      <c r="F303" t="s"/>
      <c r="G303" t="s"/>
      <c r="H303" t="s"/>
      <c r="I303" t="s"/>
      <c r="J303" t="n">
        <v>0.3612</v>
      </c>
      <c r="K303" t="n">
        <v>0</v>
      </c>
      <c r="L303" t="n">
        <v>0.906</v>
      </c>
      <c r="M303" t="n">
        <v>0.094</v>
      </c>
    </row>
    <row r="304" spans="1:13">
      <c r="A304" s="1">
        <f>HYPERLINK("http://www.twitter.com/NathanBLawrence/status/998665391839895552", "998665391839895552")</f>
        <v/>
      </c>
      <c r="B304" s="2" t="n">
        <v>43241.86293981481</v>
      </c>
      <c r="C304" t="n">
        <v>0</v>
      </c>
      <c r="D304" t="n">
        <v>52</v>
      </c>
      <c r="E304" t="s">
        <v>315</v>
      </c>
      <c r="F304" t="s"/>
      <c r="G304" t="s"/>
      <c r="H304" t="s"/>
      <c r="I304" t="s"/>
      <c r="J304" t="n">
        <v>0.0382</v>
      </c>
      <c r="K304" t="n">
        <v>0</v>
      </c>
      <c r="L304" t="n">
        <v>0.919</v>
      </c>
      <c r="M304" t="n">
        <v>0.081</v>
      </c>
    </row>
    <row r="305" spans="1:13">
      <c r="A305" s="1">
        <f>HYPERLINK("http://www.twitter.com/NathanBLawrence/status/998665299846103040", "998665299846103040")</f>
        <v/>
      </c>
      <c r="B305" s="2" t="n">
        <v>43241.86268518519</v>
      </c>
      <c r="C305" t="n">
        <v>0</v>
      </c>
      <c r="D305" t="n">
        <v>0</v>
      </c>
      <c r="E305" t="s">
        <v>316</v>
      </c>
      <c r="F305" t="s"/>
      <c r="G305" t="s"/>
      <c r="H305" t="s"/>
      <c r="I305" t="s"/>
      <c r="J305" t="n">
        <v>-0.43</v>
      </c>
      <c r="K305" t="n">
        <v>0.289</v>
      </c>
      <c r="L305" t="n">
        <v>0.711</v>
      </c>
      <c r="M305" t="n">
        <v>0</v>
      </c>
    </row>
    <row r="306" spans="1:13">
      <c r="A306" s="1">
        <f>HYPERLINK("http://www.twitter.com/NathanBLawrence/status/998665019566018566", "998665019566018566")</f>
        <v/>
      </c>
      <c r="B306" s="2" t="n">
        <v>43241.86190972223</v>
      </c>
      <c r="C306" t="n">
        <v>1</v>
      </c>
      <c r="D306" t="n">
        <v>0</v>
      </c>
      <c r="E306" t="s">
        <v>317</v>
      </c>
      <c r="F306" t="s"/>
      <c r="G306" t="s"/>
      <c r="H306" t="s"/>
      <c r="I306" t="s"/>
      <c r="J306" t="n">
        <v>-0.5423</v>
      </c>
      <c r="K306" t="n">
        <v>0.259</v>
      </c>
      <c r="L306" t="n">
        <v>0.741</v>
      </c>
      <c r="M306" t="n">
        <v>0</v>
      </c>
    </row>
    <row r="307" spans="1:13">
      <c r="A307" s="1">
        <f>HYPERLINK("http://www.twitter.com/NathanBLawrence/status/998662491776471046", "998662491776471046")</f>
        <v/>
      </c>
      <c r="B307" s="2" t="n">
        <v>43241.85493055556</v>
      </c>
      <c r="C307" t="n">
        <v>0</v>
      </c>
      <c r="D307" t="n">
        <v>1</v>
      </c>
      <c r="E307" t="s">
        <v>318</v>
      </c>
      <c r="F307" t="s"/>
      <c r="G307" t="s"/>
      <c r="H307" t="s"/>
      <c r="I307" t="s"/>
      <c r="J307" t="n">
        <v>0.2023</v>
      </c>
      <c r="K307" t="n">
        <v>0</v>
      </c>
      <c r="L307" t="n">
        <v>0.927</v>
      </c>
      <c r="M307" t="n">
        <v>0.073</v>
      </c>
    </row>
    <row r="308" spans="1:13">
      <c r="A308" s="1">
        <f>HYPERLINK("http://www.twitter.com/NathanBLawrence/status/998662404736249857", "998662404736249857")</f>
        <v/>
      </c>
      <c r="B308" s="2" t="n">
        <v>43241.85469907407</v>
      </c>
      <c r="C308" t="n">
        <v>0</v>
      </c>
      <c r="D308" t="n">
        <v>1</v>
      </c>
      <c r="E308" t="s">
        <v>319</v>
      </c>
      <c r="F308" t="s"/>
      <c r="G308" t="s"/>
      <c r="H308" t="s"/>
      <c r="I308" t="s"/>
      <c r="J308" t="n">
        <v>0.5423</v>
      </c>
      <c r="K308" t="n">
        <v>0.076</v>
      </c>
      <c r="L308" t="n">
        <v>0.727</v>
      </c>
      <c r="M308" t="n">
        <v>0.197</v>
      </c>
    </row>
    <row r="309" spans="1:13">
      <c r="A309" s="1">
        <f>HYPERLINK("http://www.twitter.com/NathanBLawrence/status/998662253372215296", "998662253372215296")</f>
        <v/>
      </c>
      <c r="B309" s="2" t="n">
        <v>43241.85428240741</v>
      </c>
      <c r="C309" t="n">
        <v>0</v>
      </c>
      <c r="D309" t="n">
        <v>1</v>
      </c>
      <c r="E309" t="s">
        <v>320</v>
      </c>
      <c r="F309" t="s"/>
      <c r="G309" t="s"/>
      <c r="H309" t="s"/>
      <c r="I309" t="s"/>
      <c r="J309" t="n">
        <v>-0.4019</v>
      </c>
      <c r="K309" t="n">
        <v>0.119</v>
      </c>
      <c r="L309" t="n">
        <v>0.881</v>
      </c>
      <c r="M309" t="n">
        <v>0</v>
      </c>
    </row>
    <row r="310" spans="1:13">
      <c r="A310" s="1">
        <f>HYPERLINK("http://www.twitter.com/NathanBLawrence/status/998662169532223491", "998662169532223491")</f>
        <v/>
      </c>
      <c r="B310" s="2" t="n">
        <v>43241.85405092593</v>
      </c>
      <c r="C310" t="n">
        <v>0</v>
      </c>
      <c r="D310" t="n">
        <v>1</v>
      </c>
      <c r="E310" t="s">
        <v>321</v>
      </c>
      <c r="F310" t="s"/>
      <c r="G310" t="s"/>
      <c r="H310" t="s"/>
      <c r="I310" t="s"/>
      <c r="J310" t="n">
        <v>-0.296</v>
      </c>
      <c r="K310" t="n">
        <v>0.239</v>
      </c>
      <c r="L310" t="n">
        <v>0.761</v>
      </c>
      <c r="M310" t="n">
        <v>0</v>
      </c>
    </row>
    <row r="311" spans="1:13">
      <c r="A311" s="1">
        <f>HYPERLINK("http://www.twitter.com/NathanBLawrence/status/998661892238397440", "998661892238397440")</f>
        <v/>
      </c>
      <c r="B311" s="2" t="n">
        <v>43241.85328703704</v>
      </c>
      <c r="C311" t="n">
        <v>0</v>
      </c>
      <c r="D311" t="n">
        <v>1</v>
      </c>
      <c r="E311" t="s">
        <v>322</v>
      </c>
      <c r="F311" t="s"/>
      <c r="G311" t="s"/>
      <c r="H311" t="s"/>
      <c r="I311" t="s"/>
      <c r="J311" t="n">
        <v>-0.7088</v>
      </c>
      <c r="K311" t="n">
        <v>0.228</v>
      </c>
      <c r="L311" t="n">
        <v>0.772</v>
      </c>
      <c r="M311" t="n">
        <v>0</v>
      </c>
    </row>
    <row r="312" spans="1:13">
      <c r="A312" s="1">
        <f>HYPERLINK("http://www.twitter.com/NathanBLawrence/status/998661712386674688", "998661712386674688")</f>
        <v/>
      </c>
      <c r="B312" s="2" t="n">
        <v>43241.85278935185</v>
      </c>
      <c r="C312" t="n">
        <v>0</v>
      </c>
      <c r="D312" t="n">
        <v>0</v>
      </c>
      <c r="E312" t="s">
        <v>323</v>
      </c>
      <c r="F312" t="s"/>
      <c r="G312" t="s"/>
      <c r="H312" t="s"/>
      <c r="I312" t="s"/>
      <c r="J312" t="n">
        <v>0</v>
      </c>
      <c r="K312" t="n">
        <v>0</v>
      </c>
      <c r="L312" t="n">
        <v>1</v>
      </c>
      <c r="M312" t="n">
        <v>0</v>
      </c>
    </row>
    <row r="313" spans="1:13">
      <c r="A313" s="1">
        <f>HYPERLINK("http://www.twitter.com/NathanBLawrence/status/998659760852553729", "998659760852553729")</f>
        <v/>
      </c>
      <c r="B313" s="2" t="n">
        <v>43241.84739583333</v>
      </c>
      <c r="C313" t="n">
        <v>0</v>
      </c>
      <c r="D313" t="n">
        <v>1</v>
      </c>
      <c r="E313" t="s">
        <v>324</v>
      </c>
      <c r="F313" t="s"/>
      <c r="G313" t="s"/>
      <c r="H313" t="s"/>
      <c r="I313" t="s"/>
      <c r="J313" t="n">
        <v>-0.8519</v>
      </c>
      <c r="K313" t="n">
        <v>0.377</v>
      </c>
      <c r="L313" t="n">
        <v>0.623</v>
      </c>
      <c r="M313" t="n">
        <v>0</v>
      </c>
    </row>
    <row r="314" spans="1:13">
      <c r="A314" s="1">
        <f>HYPERLINK("http://www.twitter.com/NathanBLawrence/status/998659178628636672", "998659178628636672")</f>
        <v/>
      </c>
      <c r="B314" s="2" t="n">
        <v>43241.84579861111</v>
      </c>
      <c r="C314" t="n">
        <v>0</v>
      </c>
      <c r="D314" t="n">
        <v>1</v>
      </c>
      <c r="E314" t="s">
        <v>325</v>
      </c>
      <c r="F314" t="s"/>
      <c r="G314" t="s"/>
      <c r="H314" t="s"/>
      <c r="I314" t="s"/>
      <c r="J314" t="n">
        <v>-0.7506</v>
      </c>
      <c r="K314" t="n">
        <v>0.316</v>
      </c>
      <c r="L314" t="n">
        <v>0.6840000000000001</v>
      </c>
      <c r="M314" t="n">
        <v>0</v>
      </c>
    </row>
    <row r="315" spans="1:13">
      <c r="A315" s="1">
        <f>HYPERLINK("http://www.twitter.com/NathanBLawrence/status/998658624271671296", "998658624271671296")</f>
        <v/>
      </c>
      <c r="B315" s="2" t="n">
        <v>43241.84425925926</v>
      </c>
      <c r="C315" t="n">
        <v>0</v>
      </c>
      <c r="D315" t="n">
        <v>0</v>
      </c>
      <c r="E315" t="s">
        <v>326</v>
      </c>
      <c r="F315" t="s"/>
      <c r="G315" t="s"/>
      <c r="H315" t="s"/>
      <c r="I315" t="s"/>
      <c r="J315" t="n">
        <v>0</v>
      </c>
      <c r="K315" t="n">
        <v>0</v>
      </c>
      <c r="L315" t="n">
        <v>1</v>
      </c>
      <c r="M315" t="n">
        <v>0</v>
      </c>
    </row>
    <row r="316" spans="1:13">
      <c r="A316" s="1">
        <f>HYPERLINK("http://www.twitter.com/NathanBLawrence/status/998658542415556610", "998658542415556610")</f>
        <v/>
      </c>
      <c r="B316" s="2" t="n">
        <v>43241.84403935185</v>
      </c>
      <c r="C316" t="n">
        <v>0</v>
      </c>
      <c r="D316" t="n">
        <v>1</v>
      </c>
      <c r="E316" t="s">
        <v>327</v>
      </c>
      <c r="F316" t="s"/>
      <c r="G316" t="s"/>
      <c r="H316" t="s"/>
      <c r="I316" t="s"/>
      <c r="J316" t="n">
        <v>0.0258</v>
      </c>
      <c r="K316" t="n">
        <v>0</v>
      </c>
      <c r="L316" t="n">
        <v>0.891</v>
      </c>
      <c r="M316" t="n">
        <v>0.109</v>
      </c>
    </row>
    <row r="317" spans="1:13">
      <c r="A317" s="1">
        <f>HYPERLINK("http://www.twitter.com/NathanBLawrence/status/998657796416724993", "998657796416724993")</f>
        <v/>
      </c>
      <c r="B317" s="2" t="n">
        <v>43241.84197916667</v>
      </c>
      <c r="C317" t="n">
        <v>0</v>
      </c>
      <c r="D317" t="n">
        <v>41</v>
      </c>
      <c r="E317" t="s">
        <v>328</v>
      </c>
      <c r="F317" t="s"/>
      <c r="G317" t="s"/>
      <c r="H317" t="s"/>
      <c r="I317" t="s"/>
      <c r="J317" t="n">
        <v>-0.0258</v>
      </c>
      <c r="K317" t="n">
        <v>0.113</v>
      </c>
      <c r="L317" t="n">
        <v>0.778</v>
      </c>
      <c r="M317" t="n">
        <v>0.109</v>
      </c>
    </row>
    <row r="318" spans="1:13">
      <c r="A318" s="1">
        <f>HYPERLINK("http://www.twitter.com/NathanBLawrence/status/998657368576659456", "998657368576659456")</f>
        <v/>
      </c>
      <c r="B318" s="2" t="n">
        <v>43241.84079861111</v>
      </c>
      <c r="C318" t="n">
        <v>0</v>
      </c>
      <c r="D318" t="n">
        <v>21</v>
      </c>
      <c r="E318" t="s">
        <v>329</v>
      </c>
      <c r="F318" t="s"/>
      <c r="G318" t="s"/>
      <c r="H318" t="s"/>
      <c r="I318" t="s"/>
      <c r="J318" t="n">
        <v>-0.8547</v>
      </c>
      <c r="K318" t="n">
        <v>0.366</v>
      </c>
      <c r="L318" t="n">
        <v>0.634</v>
      </c>
      <c r="M318" t="n">
        <v>0</v>
      </c>
    </row>
    <row r="319" spans="1:13">
      <c r="A319" s="1">
        <f>HYPERLINK("http://www.twitter.com/NathanBLawrence/status/998657326952452101", "998657326952452101")</f>
        <v/>
      </c>
      <c r="B319" s="2" t="n">
        <v>43241.84068287037</v>
      </c>
      <c r="C319" t="n">
        <v>0</v>
      </c>
      <c r="D319" t="n">
        <v>39</v>
      </c>
      <c r="E319" t="s">
        <v>330</v>
      </c>
      <c r="F319" t="s"/>
      <c r="G319" t="s"/>
      <c r="H319" t="s"/>
      <c r="I319" t="s"/>
      <c r="J319" t="n">
        <v>0.7284</v>
      </c>
      <c r="K319" t="n">
        <v>0</v>
      </c>
      <c r="L319" t="n">
        <v>0.578</v>
      </c>
      <c r="M319" t="n">
        <v>0.422</v>
      </c>
    </row>
    <row r="320" spans="1:13">
      <c r="A320" s="1">
        <f>HYPERLINK("http://www.twitter.com/NathanBLawrence/status/998657211940462592", "998657211940462592")</f>
        <v/>
      </c>
      <c r="B320" s="2" t="n">
        <v>43241.84037037037</v>
      </c>
      <c r="C320" t="n">
        <v>0</v>
      </c>
      <c r="D320" t="n">
        <v>0</v>
      </c>
      <c r="E320" t="s">
        <v>331</v>
      </c>
      <c r="F320" t="s"/>
      <c r="G320" t="s"/>
      <c r="H320" t="s"/>
      <c r="I320" t="s"/>
      <c r="J320" t="n">
        <v>0.0387</v>
      </c>
      <c r="K320" t="n">
        <v>0.066</v>
      </c>
      <c r="L320" t="n">
        <v>0.844</v>
      </c>
      <c r="M320" t="n">
        <v>0.09</v>
      </c>
    </row>
    <row r="321" spans="1:13">
      <c r="A321" s="1">
        <f>HYPERLINK("http://www.twitter.com/NathanBLawrence/status/998656107349495808", "998656107349495808")</f>
        <v/>
      </c>
      <c r="B321" s="2" t="n">
        <v>43241.83731481482</v>
      </c>
      <c r="C321" t="n">
        <v>0</v>
      </c>
      <c r="D321" t="n">
        <v>0</v>
      </c>
      <c r="E321" t="s">
        <v>332</v>
      </c>
      <c r="F321" t="s"/>
      <c r="G321" t="s"/>
      <c r="H321" t="s"/>
      <c r="I321" t="s"/>
      <c r="J321" t="n">
        <v>0.4703</v>
      </c>
      <c r="K321" t="n">
        <v>0</v>
      </c>
      <c r="L321" t="n">
        <v>0.746</v>
      </c>
      <c r="M321" t="n">
        <v>0.254</v>
      </c>
    </row>
    <row r="322" spans="1:13">
      <c r="A322" s="1">
        <f>HYPERLINK("http://www.twitter.com/NathanBLawrence/status/998655983189725184", "998655983189725184")</f>
        <v/>
      </c>
      <c r="B322" s="2" t="n">
        <v>43241.83697916667</v>
      </c>
      <c r="C322" t="n">
        <v>0</v>
      </c>
      <c r="D322" t="n">
        <v>16</v>
      </c>
      <c r="E322" t="s">
        <v>333</v>
      </c>
      <c r="F322" t="s"/>
      <c r="G322" t="s"/>
      <c r="H322" t="s"/>
      <c r="I322" t="s"/>
      <c r="J322" t="n">
        <v>0</v>
      </c>
      <c r="K322" t="n">
        <v>0</v>
      </c>
      <c r="L322" t="n">
        <v>1</v>
      </c>
      <c r="M322" t="n">
        <v>0</v>
      </c>
    </row>
    <row r="323" spans="1:13">
      <c r="A323" s="1">
        <f>HYPERLINK("http://www.twitter.com/NathanBLawrence/status/998655738456297472", "998655738456297472")</f>
        <v/>
      </c>
      <c r="B323" s="2" t="n">
        <v>43241.83629629629</v>
      </c>
      <c r="C323" t="n">
        <v>0</v>
      </c>
      <c r="D323" t="n">
        <v>1</v>
      </c>
      <c r="E323" t="s">
        <v>334</v>
      </c>
      <c r="F323" t="s"/>
      <c r="G323" t="s"/>
      <c r="H323" t="s"/>
      <c r="I323" t="s"/>
      <c r="J323" t="n">
        <v>-0.6369</v>
      </c>
      <c r="K323" t="n">
        <v>0.394</v>
      </c>
      <c r="L323" t="n">
        <v>0.606</v>
      </c>
      <c r="M323" t="n">
        <v>0</v>
      </c>
    </row>
    <row r="324" spans="1:13">
      <c r="A324" s="1">
        <f>HYPERLINK("http://www.twitter.com/NathanBLawrence/status/998655467722297344", "998655467722297344")</f>
        <v/>
      </c>
      <c r="B324" s="2" t="n">
        <v>43241.83555555555</v>
      </c>
      <c r="C324" t="n">
        <v>0</v>
      </c>
      <c r="D324" t="n">
        <v>2</v>
      </c>
      <c r="E324" t="s">
        <v>335</v>
      </c>
      <c r="F324" t="s"/>
      <c r="G324" t="s"/>
      <c r="H324" t="s"/>
      <c r="I324" t="s"/>
      <c r="J324" t="n">
        <v>-0.6808</v>
      </c>
      <c r="K324" t="n">
        <v>0.18</v>
      </c>
      <c r="L324" t="n">
        <v>0.82</v>
      </c>
      <c r="M324" t="n">
        <v>0</v>
      </c>
    </row>
    <row r="325" spans="1:13">
      <c r="A325" s="1">
        <f>HYPERLINK("http://www.twitter.com/NathanBLawrence/status/998655338080546817", "998655338080546817")</f>
        <v/>
      </c>
      <c r="B325" s="2" t="n">
        <v>43241.83519675926</v>
      </c>
      <c r="C325" t="n">
        <v>8</v>
      </c>
      <c r="D325" t="n">
        <v>0</v>
      </c>
      <c r="E325" t="s">
        <v>336</v>
      </c>
      <c r="F325" t="s"/>
      <c r="G325" t="s"/>
      <c r="H325" t="s"/>
      <c r="I325" t="s"/>
      <c r="J325" t="n">
        <v>0.3832</v>
      </c>
      <c r="K325" t="n">
        <v>0</v>
      </c>
      <c r="L325" t="n">
        <v>0.867</v>
      </c>
      <c r="M325" t="n">
        <v>0.133</v>
      </c>
    </row>
    <row r="326" spans="1:13">
      <c r="A326" s="1">
        <f>HYPERLINK("http://www.twitter.com/NathanBLawrence/status/998655033205035014", "998655033205035014")</f>
        <v/>
      </c>
      <c r="B326" s="2" t="n">
        <v>43241.83435185185</v>
      </c>
      <c r="C326" t="n">
        <v>2</v>
      </c>
      <c r="D326" t="n">
        <v>0</v>
      </c>
      <c r="E326" t="s">
        <v>337</v>
      </c>
      <c r="F326" t="s"/>
      <c r="G326" t="s"/>
      <c r="H326" t="s"/>
      <c r="I326" t="s"/>
      <c r="J326" t="n">
        <v>-0.4588</v>
      </c>
      <c r="K326" t="n">
        <v>0.274</v>
      </c>
      <c r="L326" t="n">
        <v>0.5639999999999999</v>
      </c>
      <c r="M326" t="n">
        <v>0.162</v>
      </c>
    </row>
    <row r="327" spans="1:13">
      <c r="A327" s="1">
        <f>HYPERLINK("http://www.twitter.com/NathanBLawrence/status/998654586402562053", "998654586402562053")</f>
        <v/>
      </c>
      <c r="B327" s="2" t="n">
        <v>43241.833125</v>
      </c>
      <c r="C327" t="n">
        <v>0</v>
      </c>
      <c r="D327" t="n">
        <v>2</v>
      </c>
      <c r="E327" t="s">
        <v>338</v>
      </c>
      <c r="F327" t="s"/>
      <c r="G327" t="s"/>
      <c r="H327" t="s"/>
      <c r="I327" t="s"/>
      <c r="J327" t="n">
        <v>-0.2732</v>
      </c>
      <c r="K327" t="n">
        <v>0.101</v>
      </c>
      <c r="L327" t="n">
        <v>0.844</v>
      </c>
      <c r="M327" t="n">
        <v>0.055</v>
      </c>
    </row>
    <row r="328" spans="1:13">
      <c r="A328" s="1">
        <f>HYPERLINK("http://www.twitter.com/NathanBLawrence/status/998654160622030848", "998654160622030848")</f>
        <v/>
      </c>
      <c r="B328" s="2" t="n">
        <v>43241.83194444444</v>
      </c>
      <c r="C328" t="n">
        <v>0</v>
      </c>
      <c r="D328" t="n">
        <v>14</v>
      </c>
      <c r="E328" t="s">
        <v>339</v>
      </c>
      <c r="F328" t="s"/>
      <c r="G328" t="s"/>
      <c r="H328" t="s"/>
      <c r="I328" t="s"/>
      <c r="J328" t="n">
        <v>0.5837</v>
      </c>
      <c r="K328" t="n">
        <v>0</v>
      </c>
      <c r="L328" t="n">
        <v>0.775</v>
      </c>
      <c r="M328" t="n">
        <v>0.225</v>
      </c>
    </row>
    <row r="329" spans="1:13">
      <c r="A329" s="1">
        <f>HYPERLINK("http://www.twitter.com/NathanBLawrence/status/998651849858265088", "998651849858265088")</f>
        <v/>
      </c>
      <c r="B329" s="2" t="n">
        <v>43241.82556712963</v>
      </c>
      <c r="C329" t="n">
        <v>0</v>
      </c>
      <c r="D329" t="n">
        <v>0</v>
      </c>
      <c r="E329" t="s">
        <v>340</v>
      </c>
      <c r="F329" t="s"/>
      <c r="G329" t="s"/>
      <c r="H329" t="s"/>
      <c r="I329" t="s"/>
      <c r="J329" t="n">
        <v>0.4953</v>
      </c>
      <c r="K329" t="n">
        <v>0.049</v>
      </c>
      <c r="L329" t="n">
        <v>0.834</v>
      </c>
      <c r="M329" t="n">
        <v>0.117</v>
      </c>
    </row>
    <row r="330" spans="1:13">
      <c r="A330" s="1">
        <f>HYPERLINK("http://www.twitter.com/NathanBLawrence/status/998651232158994432", "998651232158994432")</f>
        <v/>
      </c>
      <c r="B330" s="2" t="n">
        <v>43241.82386574074</v>
      </c>
      <c r="C330" t="n">
        <v>2</v>
      </c>
      <c r="D330" t="n">
        <v>0</v>
      </c>
      <c r="E330" t="s">
        <v>341</v>
      </c>
      <c r="F330" t="s"/>
      <c r="G330" t="s"/>
      <c r="H330" t="s"/>
      <c r="I330" t="s"/>
      <c r="J330" t="n">
        <v>0</v>
      </c>
      <c r="K330" t="n">
        <v>0.132</v>
      </c>
      <c r="L330" t="n">
        <v>0.735</v>
      </c>
      <c r="M330" t="n">
        <v>0.132</v>
      </c>
    </row>
    <row r="331" spans="1:13">
      <c r="A331" s="1">
        <f>HYPERLINK("http://www.twitter.com/NathanBLawrence/status/998650775520899072", "998650775520899072")</f>
        <v/>
      </c>
      <c r="B331" s="2" t="n">
        <v>43241.82260416666</v>
      </c>
      <c r="C331" t="n">
        <v>7</v>
      </c>
      <c r="D331" t="n">
        <v>0</v>
      </c>
      <c r="E331" t="s">
        <v>342</v>
      </c>
      <c r="F331" t="s"/>
      <c r="G331" t="s"/>
      <c r="H331" t="s"/>
      <c r="I331" t="s"/>
      <c r="J331" t="n">
        <v>0.3089</v>
      </c>
      <c r="K331" t="n">
        <v>0</v>
      </c>
      <c r="L331" t="n">
        <v>0.876</v>
      </c>
      <c r="M331" t="n">
        <v>0.124</v>
      </c>
    </row>
    <row r="332" spans="1:13">
      <c r="A332" s="1">
        <f>HYPERLINK("http://www.twitter.com/NathanBLawrence/status/998650430468055043", "998650430468055043")</f>
        <v/>
      </c>
      <c r="B332" s="2" t="n">
        <v>43241.82165509259</v>
      </c>
      <c r="C332" t="n">
        <v>0</v>
      </c>
      <c r="D332" t="n">
        <v>58</v>
      </c>
      <c r="E332" t="s">
        <v>343</v>
      </c>
      <c r="F332" t="s"/>
      <c r="G332" t="s"/>
      <c r="H332" t="s"/>
      <c r="I332" t="s"/>
      <c r="J332" t="n">
        <v>-0.5803</v>
      </c>
      <c r="K332" t="n">
        <v>0.192</v>
      </c>
      <c r="L332" t="n">
        <v>0.8080000000000001</v>
      </c>
      <c r="M332" t="n">
        <v>0</v>
      </c>
    </row>
    <row r="333" spans="1:13">
      <c r="A333" s="1">
        <f>HYPERLINK("http://www.twitter.com/NathanBLawrence/status/998650371877851137", "998650371877851137")</f>
        <v/>
      </c>
      <c r="B333" s="2" t="n">
        <v>43241.82149305556</v>
      </c>
      <c r="C333" t="n">
        <v>1</v>
      </c>
      <c r="D333" t="n">
        <v>0</v>
      </c>
      <c r="E333" t="s">
        <v>344</v>
      </c>
      <c r="F333" t="s"/>
      <c r="G333" t="s"/>
      <c r="H333" t="s"/>
      <c r="I333" t="s"/>
      <c r="J333" t="n">
        <v>0</v>
      </c>
      <c r="K333" t="n">
        <v>0</v>
      </c>
      <c r="L333" t="n">
        <v>1</v>
      </c>
      <c r="M333" t="n">
        <v>0</v>
      </c>
    </row>
    <row r="334" spans="1:13">
      <c r="A334" s="1">
        <f>HYPERLINK("http://www.twitter.com/NathanBLawrence/status/998650335295131648", "998650335295131648")</f>
        <v/>
      </c>
      <c r="B334" s="2" t="n">
        <v>43241.82138888889</v>
      </c>
      <c r="C334" t="n">
        <v>0</v>
      </c>
      <c r="D334" t="n">
        <v>64</v>
      </c>
      <c r="E334" t="s">
        <v>345</v>
      </c>
      <c r="F334" t="s"/>
      <c r="G334" t="s"/>
      <c r="H334" t="s"/>
      <c r="I334" t="s"/>
      <c r="J334" t="n">
        <v>0.8431</v>
      </c>
      <c r="K334" t="n">
        <v>0</v>
      </c>
      <c r="L334" t="n">
        <v>0.677</v>
      </c>
      <c r="M334" t="n">
        <v>0.323</v>
      </c>
    </row>
    <row r="335" spans="1:13">
      <c r="A335" s="1">
        <f>HYPERLINK("http://www.twitter.com/NathanBLawrence/status/998649934453923841", "998649934453923841")</f>
        <v/>
      </c>
      <c r="B335" s="2" t="n">
        <v>43241.82028935185</v>
      </c>
      <c r="C335" t="n">
        <v>6</v>
      </c>
      <c r="D335" t="n">
        <v>0</v>
      </c>
      <c r="E335" t="s">
        <v>346</v>
      </c>
      <c r="F335" t="s"/>
      <c r="G335" t="s"/>
      <c r="H335" t="s"/>
      <c r="I335" t="s"/>
      <c r="J335" t="n">
        <v>0</v>
      </c>
      <c r="K335" t="n">
        <v>0</v>
      </c>
      <c r="L335" t="n">
        <v>1</v>
      </c>
      <c r="M335" t="n">
        <v>0</v>
      </c>
    </row>
    <row r="336" spans="1:13">
      <c r="A336" s="1">
        <f>HYPERLINK("http://www.twitter.com/NathanBLawrence/status/998649024298315776", "998649024298315776")</f>
        <v/>
      </c>
      <c r="B336" s="2" t="n">
        <v>43241.81777777777</v>
      </c>
      <c r="C336" t="n">
        <v>0</v>
      </c>
      <c r="D336" t="n">
        <v>0</v>
      </c>
      <c r="E336" t="s">
        <v>347</v>
      </c>
      <c r="F336" t="s"/>
      <c r="G336" t="s"/>
      <c r="H336" t="s"/>
      <c r="I336" t="s"/>
      <c r="J336" t="n">
        <v>0.024</v>
      </c>
      <c r="K336" t="n">
        <v>0.116</v>
      </c>
      <c r="L336" t="n">
        <v>0.763</v>
      </c>
      <c r="M336" t="n">
        <v>0.12</v>
      </c>
    </row>
    <row r="337" spans="1:13">
      <c r="A337" s="1">
        <f>HYPERLINK("http://www.twitter.com/NathanBLawrence/status/998648028323110912", "998648028323110912")</f>
        <v/>
      </c>
      <c r="B337" s="2" t="n">
        <v>43241.81502314815</v>
      </c>
      <c r="C337" t="n">
        <v>0</v>
      </c>
      <c r="D337" t="n">
        <v>0</v>
      </c>
      <c r="E337" t="s">
        <v>348</v>
      </c>
      <c r="F337" t="s"/>
      <c r="G337" t="s"/>
      <c r="H337" t="s"/>
      <c r="I337" t="s"/>
      <c r="J337" t="n">
        <v>0.024</v>
      </c>
      <c r="K337" t="n">
        <v>0.112</v>
      </c>
      <c r="L337" t="n">
        <v>0.772</v>
      </c>
      <c r="M337" t="n">
        <v>0.116</v>
      </c>
    </row>
    <row r="338" spans="1:13">
      <c r="A338" s="1">
        <f>HYPERLINK("http://www.twitter.com/NathanBLawrence/status/998647376104521729", "998647376104521729")</f>
        <v/>
      </c>
      <c r="B338" s="2" t="n">
        <v>43241.81322916667</v>
      </c>
      <c r="C338" t="n">
        <v>0</v>
      </c>
      <c r="D338" t="n">
        <v>0</v>
      </c>
      <c r="E338" t="s">
        <v>349</v>
      </c>
      <c r="F338" t="s"/>
      <c r="G338" t="s"/>
      <c r="H338" t="s"/>
      <c r="I338" t="s"/>
      <c r="J338" t="n">
        <v>0.0516</v>
      </c>
      <c r="K338" t="n">
        <v>0.109</v>
      </c>
      <c r="L338" t="n">
        <v>0.777</v>
      </c>
      <c r="M338" t="n">
        <v>0.113</v>
      </c>
    </row>
    <row r="339" spans="1:13">
      <c r="A339" s="1">
        <f>HYPERLINK("http://www.twitter.com/NathanBLawrence/status/998646310264868864", "998646310264868864")</f>
        <v/>
      </c>
      <c r="B339" s="2" t="n">
        <v>43241.81027777777</v>
      </c>
      <c r="C339" t="n">
        <v>2</v>
      </c>
      <c r="D339" t="n">
        <v>0</v>
      </c>
      <c r="E339" t="s">
        <v>350</v>
      </c>
      <c r="F339" t="s"/>
      <c r="G339" t="s"/>
      <c r="H339" t="s"/>
      <c r="I339" t="s"/>
      <c r="J339" t="n">
        <v>-0.7319</v>
      </c>
      <c r="K339" t="n">
        <v>0.146</v>
      </c>
      <c r="L339" t="n">
        <v>0.854</v>
      </c>
      <c r="M339" t="n">
        <v>0</v>
      </c>
    </row>
    <row r="340" spans="1:13">
      <c r="A340" s="1">
        <f>HYPERLINK("http://www.twitter.com/NathanBLawrence/status/998645027063697408", "998645027063697408")</f>
        <v/>
      </c>
      <c r="B340" s="2" t="n">
        <v>43241.80674768519</v>
      </c>
      <c r="C340" t="n">
        <v>0</v>
      </c>
      <c r="D340" t="n">
        <v>32</v>
      </c>
      <c r="E340" t="s">
        <v>351</v>
      </c>
      <c r="F340" t="s"/>
      <c r="G340" t="s"/>
      <c r="H340" t="s"/>
      <c r="I340" t="s"/>
      <c r="J340" t="n">
        <v>0</v>
      </c>
      <c r="K340" t="n">
        <v>0</v>
      </c>
      <c r="L340" t="n">
        <v>1</v>
      </c>
      <c r="M340" t="n">
        <v>0</v>
      </c>
    </row>
    <row r="341" spans="1:13">
      <c r="A341" s="1">
        <f>HYPERLINK("http://www.twitter.com/NathanBLawrence/status/998644915079974913", "998644915079974913")</f>
        <v/>
      </c>
      <c r="B341" s="2" t="n">
        <v>43241.80643518519</v>
      </c>
      <c r="C341" t="n">
        <v>0</v>
      </c>
      <c r="D341" t="n">
        <v>5</v>
      </c>
      <c r="E341" t="s">
        <v>352</v>
      </c>
      <c r="F341" t="s"/>
      <c r="G341" t="s"/>
      <c r="H341" t="s"/>
      <c r="I341" t="s"/>
      <c r="J341" t="n">
        <v>0.3418</v>
      </c>
      <c r="K341" t="n">
        <v>0.143</v>
      </c>
      <c r="L341" t="n">
        <v>0.605</v>
      </c>
      <c r="M341" t="n">
        <v>0.252</v>
      </c>
    </row>
    <row r="342" spans="1:13">
      <c r="A342" s="1">
        <f>HYPERLINK("http://www.twitter.com/NathanBLawrence/status/998644439521333253", "998644439521333253")</f>
        <v/>
      </c>
      <c r="B342" s="2" t="n">
        <v>43241.80511574074</v>
      </c>
      <c r="C342" t="n">
        <v>2</v>
      </c>
      <c r="D342" t="n">
        <v>0</v>
      </c>
      <c r="E342" t="s">
        <v>353</v>
      </c>
      <c r="F342" t="s"/>
      <c r="G342" t="s"/>
      <c r="H342" t="s"/>
      <c r="I342" t="s"/>
      <c r="J342" t="n">
        <v>-0.6858</v>
      </c>
      <c r="K342" t="n">
        <v>0.162</v>
      </c>
      <c r="L342" t="n">
        <v>0.738</v>
      </c>
      <c r="M342" t="n">
        <v>0.101</v>
      </c>
    </row>
    <row r="343" spans="1:13">
      <c r="A343" s="1">
        <f>HYPERLINK("http://www.twitter.com/NathanBLawrence/status/998643203883618309", "998643203883618309")</f>
        <v/>
      </c>
      <c r="B343" s="2" t="n">
        <v>43241.80171296297</v>
      </c>
      <c r="C343" t="n">
        <v>0</v>
      </c>
      <c r="D343" t="n">
        <v>0</v>
      </c>
      <c r="E343" t="s">
        <v>354</v>
      </c>
      <c r="F343" t="s"/>
      <c r="G343" t="s"/>
      <c r="H343" t="s"/>
      <c r="I343" t="s"/>
      <c r="J343" t="n">
        <v>0</v>
      </c>
      <c r="K343" t="n">
        <v>0</v>
      </c>
      <c r="L343" t="n">
        <v>1</v>
      </c>
      <c r="M343" t="n">
        <v>0</v>
      </c>
    </row>
    <row r="344" spans="1:13">
      <c r="A344" s="1">
        <f>HYPERLINK("http://www.twitter.com/NathanBLawrence/status/998642768405778435", "998642768405778435")</f>
        <v/>
      </c>
      <c r="B344" s="2" t="n">
        <v>43241.80050925926</v>
      </c>
      <c r="C344" t="n">
        <v>7</v>
      </c>
      <c r="D344" t="n">
        <v>0</v>
      </c>
      <c r="E344" t="s">
        <v>355</v>
      </c>
      <c r="F344" t="s"/>
      <c r="G344" t="s"/>
      <c r="H344" t="s"/>
      <c r="I344" t="s"/>
      <c r="J344" t="n">
        <v>0.6428</v>
      </c>
      <c r="K344" t="n">
        <v>0</v>
      </c>
      <c r="L344" t="n">
        <v>0.793</v>
      </c>
      <c r="M344" t="n">
        <v>0.207</v>
      </c>
    </row>
    <row r="345" spans="1:13">
      <c r="A345" s="1">
        <f>HYPERLINK("http://www.twitter.com/NathanBLawrence/status/998642059220279296", "998642059220279296")</f>
        <v/>
      </c>
      <c r="B345" s="2" t="n">
        <v>43241.79855324074</v>
      </c>
      <c r="C345" t="n">
        <v>1</v>
      </c>
      <c r="D345" t="n">
        <v>0</v>
      </c>
      <c r="E345" t="s">
        <v>356</v>
      </c>
      <c r="F345" t="s"/>
      <c r="G345" t="s"/>
      <c r="H345" t="s"/>
      <c r="I345" t="s"/>
      <c r="J345" t="n">
        <v>0</v>
      </c>
      <c r="K345" t="n">
        <v>0</v>
      </c>
      <c r="L345" t="n">
        <v>1</v>
      </c>
      <c r="M345" t="n">
        <v>0</v>
      </c>
    </row>
    <row r="346" spans="1:13">
      <c r="A346" s="1">
        <f>HYPERLINK("http://www.twitter.com/NathanBLawrence/status/998641825589223424", "998641825589223424")</f>
        <v/>
      </c>
      <c r="B346" s="2" t="n">
        <v>43241.79790509259</v>
      </c>
      <c r="C346" t="n">
        <v>0</v>
      </c>
      <c r="D346" t="n">
        <v>1</v>
      </c>
      <c r="E346" t="s">
        <v>357</v>
      </c>
      <c r="F346" t="s"/>
      <c r="G346" t="s"/>
      <c r="H346" t="s"/>
      <c r="I346" t="s"/>
      <c r="J346" t="n">
        <v>0</v>
      </c>
      <c r="K346" t="n">
        <v>0</v>
      </c>
      <c r="L346" t="n">
        <v>1</v>
      </c>
      <c r="M346" t="n">
        <v>0</v>
      </c>
    </row>
    <row r="347" spans="1:13">
      <c r="A347" s="1">
        <f>HYPERLINK("http://www.twitter.com/NathanBLawrence/status/998641640939106304", "998641640939106304")</f>
        <v/>
      </c>
      <c r="B347" s="2" t="n">
        <v>43241.79739583333</v>
      </c>
      <c r="C347" t="n">
        <v>3</v>
      </c>
      <c r="D347" t="n">
        <v>0</v>
      </c>
      <c r="E347" t="s">
        <v>358</v>
      </c>
      <c r="F347" t="s"/>
      <c r="G347" t="s"/>
      <c r="H347" t="s"/>
      <c r="I347" t="s"/>
      <c r="J347" t="n">
        <v>-0.0516</v>
      </c>
      <c r="K347" t="n">
        <v>0.078</v>
      </c>
      <c r="L347" t="n">
        <v>0.85</v>
      </c>
      <c r="M347" t="n">
        <v>0.07199999999999999</v>
      </c>
    </row>
    <row r="348" spans="1:13">
      <c r="A348" s="1">
        <f>HYPERLINK("http://www.twitter.com/NathanBLawrence/status/998641126486704128", "998641126486704128")</f>
        <v/>
      </c>
      <c r="B348" s="2" t="n">
        <v>43241.7959837963</v>
      </c>
      <c r="C348" t="n">
        <v>0</v>
      </c>
      <c r="D348" t="n">
        <v>0</v>
      </c>
      <c r="E348" t="s">
        <v>359</v>
      </c>
      <c r="F348" t="s"/>
      <c r="G348" t="s"/>
      <c r="H348" t="s"/>
      <c r="I348" t="s"/>
      <c r="J348" t="n">
        <v>-0.9169</v>
      </c>
      <c r="K348" t="n">
        <v>0.45</v>
      </c>
      <c r="L348" t="n">
        <v>0.55</v>
      </c>
      <c r="M348" t="n">
        <v>0</v>
      </c>
    </row>
    <row r="349" spans="1:13">
      <c r="A349" s="1">
        <f>HYPERLINK("http://www.twitter.com/NathanBLawrence/status/998640575883694081", "998640575883694081")</f>
        <v/>
      </c>
      <c r="B349" s="2" t="n">
        <v>43241.79445601852</v>
      </c>
      <c r="C349" t="n">
        <v>0</v>
      </c>
      <c r="D349" t="n">
        <v>0</v>
      </c>
      <c r="E349" t="s">
        <v>360</v>
      </c>
      <c r="F349" t="s"/>
      <c r="G349" t="s"/>
      <c r="H349" t="s"/>
      <c r="I349" t="s"/>
      <c r="J349" t="n">
        <v>0.2023</v>
      </c>
      <c r="K349" t="n">
        <v>0</v>
      </c>
      <c r="L349" t="n">
        <v>0.93</v>
      </c>
      <c r="M349" t="n">
        <v>0.07000000000000001</v>
      </c>
    </row>
    <row r="350" spans="1:13">
      <c r="A350" s="1">
        <f>HYPERLINK("http://www.twitter.com/NathanBLawrence/status/998639701304242177", "998639701304242177")</f>
        <v/>
      </c>
      <c r="B350" s="2" t="n">
        <v>43241.79204861111</v>
      </c>
      <c r="C350" t="n">
        <v>0</v>
      </c>
      <c r="D350" t="n">
        <v>1</v>
      </c>
      <c r="E350" t="s">
        <v>361</v>
      </c>
      <c r="F350" t="s"/>
      <c r="G350" t="s"/>
      <c r="H350" t="s"/>
      <c r="I350" t="s"/>
      <c r="J350" t="n">
        <v>-0.34</v>
      </c>
      <c r="K350" t="n">
        <v>0.118</v>
      </c>
      <c r="L350" t="n">
        <v>0.882</v>
      </c>
      <c r="M350" t="n">
        <v>0</v>
      </c>
    </row>
    <row r="351" spans="1:13">
      <c r="A351" s="1">
        <f>HYPERLINK("http://www.twitter.com/NathanBLawrence/status/998639607821619201", "998639607821619201")</f>
        <v/>
      </c>
      <c r="B351" s="2" t="n">
        <v>43241.79178240741</v>
      </c>
      <c r="C351" t="n">
        <v>0</v>
      </c>
      <c r="D351" t="n">
        <v>1</v>
      </c>
      <c r="E351" t="s">
        <v>362</v>
      </c>
      <c r="F351" t="s"/>
      <c r="G351" t="s"/>
      <c r="H351" t="s"/>
      <c r="I351" t="s"/>
      <c r="J351" t="n">
        <v>0</v>
      </c>
      <c r="K351" t="n">
        <v>0</v>
      </c>
      <c r="L351" t="n">
        <v>1</v>
      </c>
      <c r="M351" t="n">
        <v>0</v>
      </c>
    </row>
    <row r="352" spans="1:13">
      <c r="A352" s="1">
        <f>HYPERLINK("http://www.twitter.com/NathanBLawrence/status/998638256504926208", "998638256504926208")</f>
        <v/>
      </c>
      <c r="B352" s="2" t="n">
        <v>43241.78805555555</v>
      </c>
      <c r="C352" t="n">
        <v>2</v>
      </c>
      <c r="D352" t="n">
        <v>0</v>
      </c>
      <c r="E352" t="s">
        <v>363</v>
      </c>
      <c r="F352" t="s"/>
      <c r="G352" t="s"/>
      <c r="H352" t="s"/>
      <c r="I352" t="s"/>
      <c r="J352" t="n">
        <v>0.4019</v>
      </c>
      <c r="K352" t="n">
        <v>0</v>
      </c>
      <c r="L352" t="n">
        <v>0.6899999999999999</v>
      </c>
      <c r="M352" t="n">
        <v>0.31</v>
      </c>
    </row>
    <row r="353" spans="1:13">
      <c r="A353" s="1">
        <f>HYPERLINK("http://www.twitter.com/NathanBLawrence/status/998637770204688385", "998637770204688385")</f>
        <v/>
      </c>
      <c r="B353" s="2" t="n">
        <v>43241.78671296296</v>
      </c>
      <c r="C353" t="n">
        <v>1</v>
      </c>
      <c r="D353" t="n">
        <v>0</v>
      </c>
      <c r="E353" t="s">
        <v>364</v>
      </c>
      <c r="F353" t="s"/>
      <c r="G353" t="s"/>
      <c r="H353" t="s"/>
      <c r="I353" t="s"/>
      <c r="J353" t="n">
        <v>0.7256</v>
      </c>
      <c r="K353" t="n">
        <v>0</v>
      </c>
      <c r="L353" t="n">
        <v>0.247</v>
      </c>
      <c r="M353" t="n">
        <v>0.753</v>
      </c>
    </row>
    <row r="354" spans="1:13">
      <c r="A354" s="1">
        <f>HYPERLINK("http://www.twitter.com/NathanBLawrence/status/998636562803027968", "998636562803027968")</f>
        <v/>
      </c>
      <c r="B354" s="2" t="n">
        <v>43241.78337962963</v>
      </c>
      <c r="C354" t="n">
        <v>0</v>
      </c>
      <c r="D354" t="n">
        <v>3</v>
      </c>
      <c r="E354" t="s">
        <v>365</v>
      </c>
      <c r="F354" t="s"/>
      <c r="G354" t="s"/>
      <c r="H354" t="s"/>
      <c r="I354" t="s"/>
      <c r="J354" t="n">
        <v>0</v>
      </c>
      <c r="K354" t="n">
        <v>0</v>
      </c>
      <c r="L354" t="n">
        <v>1</v>
      </c>
      <c r="M354" t="n">
        <v>0</v>
      </c>
    </row>
    <row r="355" spans="1:13">
      <c r="A355" s="1">
        <f>HYPERLINK("http://www.twitter.com/NathanBLawrence/status/998635552445554689", "998635552445554689")</f>
        <v/>
      </c>
      <c r="B355" s="2" t="n">
        <v>43241.78060185185</v>
      </c>
      <c r="C355" t="n">
        <v>3</v>
      </c>
      <c r="D355" t="n">
        <v>0</v>
      </c>
      <c r="E355" t="s">
        <v>366</v>
      </c>
      <c r="F355" t="s"/>
      <c r="G355" t="s"/>
      <c r="H355" t="s"/>
      <c r="I355" t="s"/>
      <c r="J355" t="n">
        <v>0</v>
      </c>
      <c r="K355" t="n">
        <v>0</v>
      </c>
      <c r="L355" t="n">
        <v>1</v>
      </c>
      <c r="M355" t="n">
        <v>0</v>
      </c>
    </row>
    <row r="356" spans="1:13">
      <c r="A356" s="1">
        <f>HYPERLINK("http://www.twitter.com/NathanBLawrence/status/998634842987343872", "998634842987343872")</f>
        <v/>
      </c>
      <c r="B356" s="2" t="n">
        <v>43241.77863425926</v>
      </c>
      <c r="C356" t="n">
        <v>5</v>
      </c>
      <c r="D356" t="n">
        <v>0</v>
      </c>
      <c r="E356" t="s">
        <v>367</v>
      </c>
      <c r="F356" t="s"/>
      <c r="G356" t="s"/>
      <c r="H356" t="s"/>
      <c r="I356" t="s"/>
      <c r="J356" t="n">
        <v>0.128</v>
      </c>
      <c r="K356" t="n">
        <v>0</v>
      </c>
      <c r="L356" t="n">
        <v>0.88</v>
      </c>
      <c r="M356" t="n">
        <v>0.12</v>
      </c>
    </row>
    <row r="357" spans="1:13">
      <c r="A357" s="1">
        <f>HYPERLINK("http://www.twitter.com/NathanBLawrence/status/998634390791049217", "998634390791049217")</f>
        <v/>
      </c>
      <c r="B357" s="2" t="n">
        <v>43241.77739583333</v>
      </c>
      <c r="C357" t="n">
        <v>0</v>
      </c>
      <c r="D357" t="n">
        <v>1</v>
      </c>
      <c r="E357" t="s">
        <v>368</v>
      </c>
      <c r="F357" t="s"/>
      <c r="G357" t="s"/>
      <c r="H357" t="s"/>
      <c r="I357" t="s"/>
      <c r="J357" t="n">
        <v>0.4215</v>
      </c>
      <c r="K357" t="n">
        <v>0</v>
      </c>
      <c r="L357" t="n">
        <v>0.847</v>
      </c>
      <c r="M357" t="n">
        <v>0.153</v>
      </c>
    </row>
    <row r="358" spans="1:13">
      <c r="A358" s="1">
        <f>HYPERLINK("http://www.twitter.com/NathanBLawrence/status/998633396573233152", "998633396573233152")</f>
        <v/>
      </c>
      <c r="B358" s="2" t="n">
        <v>43241.77465277778</v>
      </c>
      <c r="C358" t="n">
        <v>0</v>
      </c>
      <c r="D358" t="n">
        <v>1</v>
      </c>
      <c r="E358" t="s">
        <v>369</v>
      </c>
      <c r="F358" t="s"/>
      <c r="G358" t="s"/>
      <c r="H358" t="s"/>
      <c r="I358" t="s"/>
      <c r="J358" t="n">
        <v>-0.4767</v>
      </c>
      <c r="K358" t="n">
        <v>0.154</v>
      </c>
      <c r="L358" t="n">
        <v>0.846</v>
      </c>
      <c r="M358" t="n">
        <v>0</v>
      </c>
    </row>
    <row r="359" spans="1:13">
      <c r="A359" s="1">
        <f>HYPERLINK("http://www.twitter.com/NathanBLawrence/status/998633232601149440", "998633232601149440")</f>
        <v/>
      </c>
      <c r="B359" s="2" t="n">
        <v>43241.77420138889</v>
      </c>
      <c r="C359" t="n">
        <v>0</v>
      </c>
      <c r="D359" t="n">
        <v>1</v>
      </c>
      <c r="E359" t="s">
        <v>370</v>
      </c>
      <c r="F359" t="s"/>
      <c r="G359" t="s"/>
      <c r="H359" t="s"/>
      <c r="I359" t="s"/>
      <c r="J359" t="n">
        <v>0.4019</v>
      </c>
      <c r="K359" t="n">
        <v>0</v>
      </c>
      <c r="L359" t="n">
        <v>0.769</v>
      </c>
      <c r="M359" t="n">
        <v>0.231</v>
      </c>
    </row>
    <row r="360" spans="1:13">
      <c r="A360" s="1">
        <f>HYPERLINK("http://www.twitter.com/NathanBLawrence/status/998632876697702400", "998632876697702400")</f>
        <v/>
      </c>
      <c r="B360" s="2" t="n">
        <v>43241.77321759259</v>
      </c>
      <c r="C360" t="n">
        <v>4</v>
      </c>
      <c r="D360" t="n">
        <v>0</v>
      </c>
      <c r="E360" t="s">
        <v>371</v>
      </c>
      <c r="F360" t="s"/>
      <c r="G360" t="s"/>
      <c r="H360" t="s"/>
      <c r="I360" t="s"/>
      <c r="J360" t="n">
        <v>0.8221000000000001</v>
      </c>
      <c r="K360" t="n">
        <v>0</v>
      </c>
      <c r="L360" t="n">
        <v>0.677</v>
      </c>
      <c r="M360" t="n">
        <v>0.323</v>
      </c>
    </row>
    <row r="361" spans="1:13">
      <c r="A361" s="1">
        <f>HYPERLINK("http://www.twitter.com/NathanBLawrence/status/998632280951263232", "998632280951263232")</f>
        <v/>
      </c>
      <c r="B361" s="2" t="n">
        <v>43241.77157407408</v>
      </c>
      <c r="C361" t="n">
        <v>0</v>
      </c>
      <c r="D361" t="n">
        <v>1</v>
      </c>
      <c r="E361" t="s">
        <v>372</v>
      </c>
      <c r="F361" t="s"/>
      <c r="G361" t="s"/>
      <c r="H361" t="s"/>
      <c r="I361" t="s"/>
      <c r="J361" t="n">
        <v>-0.4927</v>
      </c>
      <c r="K361" t="n">
        <v>0.21</v>
      </c>
      <c r="L361" t="n">
        <v>0.79</v>
      </c>
      <c r="M361" t="n">
        <v>0</v>
      </c>
    </row>
    <row r="362" spans="1:13">
      <c r="A362" s="1">
        <f>HYPERLINK("http://www.twitter.com/NathanBLawrence/status/998632202496770048", "998632202496770048")</f>
        <v/>
      </c>
      <c r="B362" s="2" t="n">
        <v>43241.77135416667</v>
      </c>
      <c r="C362" t="n">
        <v>8</v>
      </c>
      <c r="D362" t="n">
        <v>1</v>
      </c>
      <c r="E362" t="s">
        <v>373</v>
      </c>
      <c r="F362" t="s"/>
      <c r="G362" t="s"/>
      <c r="H362" t="s"/>
      <c r="I362" t="s"/>
      <c r="J362" t="n">
        <v>0.128</v>
      </c>
      <c r="K362" t="n">
        <v>0</v>
      </c>
      <c r="L362" t="n">
        <v>0.945</v>
      </c>
      <c r="M362" t="n">
        <v>0.055</v>
      </c>
    </row>
    <row r="363" spans="1:13">
      <c r="A363" s="1">
        <f>HYPERLINK("http://www.twitter.com/NathanBLawrence/status/998631507760730112", "998631507760730112")</f>
        <v/>
      </c>
      <c r="B363" s="2" t="n">
        <v>43241.76943287037</v>
      </c>
      <c r="C363" t="n">
        <v>1</v>
      </c>
      <c r="D363" t="n">
        <v>0</v>
      </c>
      <c r="E363" t="s">
        <v>374</v>
      </c>
      <c r="F363" t="s"/>
      <c r="G363" t="s"/>
      <c r="H363" t="s"/>
      <c r="I363" t="s"/>
      <c r="J363" t="n">
        <v>0</v>
      </c>
      <c r="K363" t="n">
        <v>0</v>
      </c>
      <c r="L363" t="n">
        <v>1</v>
      </c>
      <c r="M363" t="n">
        <v>0</v>
      </c>
    </row>
    <row r="364" spans="1:13">
      <c r="A364" s="1">
        <f>HYPERLINK("http://www.twitter.com/NathanBLawrence/status/998631479499517953", "998631479499517953")</f>
        <v/>
      </c>
      <c r="B364" s="2" t="n">
        <v>43241.76936342593</v>
      </c>
      <c r="C364" t="n">
        <v>0</v>
      </c>
      <c r="D364" t="n">
        <v>2</v>
      </c>
      <c r="E364" t="s">
        <v>375</v>
      </c>
      <c r="F364" t="s"/>
      <c r="G364" t="s"/>
      <c r="H364" t="s"/>
      <c r="I364" t="s"/>
      <c r="J364" t="n">
        <v>-0.34</v>
      </c>
      <c r="K364" t="n">
        <v>0.255</v>
      </c>
      <c r="L364" t="n">
        <v>0.745</v>
      </c>
      <c r="M364" t="n">
        <v>0</v>
      </c>
    </row>
    <row r="365" spans="1:13">
      <c r="A365" s="1">
        <f>HYPERLINK("http://www.twitter.com/NathanBLawrence/status/998631394967465984", "998631394967465984")</f>
        <v/>
      </c>
      <c r="B365" s="2" t="n">
        <v>43241.76912037037</v>
      </c>
      <c r="C365" t="n">
        <v>0</v>
      </c>
      <c r="D365" t="n">
        <v>0</v>
      </c>
      <c r="E365" t="s">
        <v>376</v>
      </c>
      <c r="F365" t="s"/>
      <c r="G365" t="s"/>
      <c r="H365" t="s"/>
      <c r="I365" t="s"/>
      <c r="J365" t="n">
        <v>-0.4588</v>
      </c>
      <c r="K365" t="n">
        <v>0.08799999999999999</v>
      </c>
      <c r="L365" t="n">
        <v>0.912</v>
      </c>
      <c r="M365" t="n">
        <v>0</v>
      </c>
    </row>
    <row r="366" spans="1:13">
      <c r="A366" s="1">
        <f>HYPERLINK("http://www.twitter.com/NathanBLawrence/status/998629723134623750", "998629723134623750")</f>
        <v/>
      </c>
      <c r="B366" s="2" t="n">
        <v>43241.76451388889</v>
      </c>
      <c r="C366" t="n">
        <v>0</v>
      </c>
      <c r="D366" t="n">
        <v>0</v>
      </c>
      <c r="E366" t="s">
        <v>377</v>
      </c>
      <c r="F366" t="s"/>
      <c r="G366" t="s"/>
      <c r="H366" t="s"/>
      <c r="I366" t="s"/>
      <c r="J366" t="n">
        <v>-0.5423</v>
      </c>
      <c r="K366" t="n">
        <v>0.184</v>
      </c>
      <c r="L366" t="n">
        <v>0.8159999999999999</v>
      </c>
      <c r="M366" t="n">
        <v>0</v>
      </c>
    </row>
    <row r="367" spans="1:13">
      <c r="A367" s="1">
        <f>HYPERLINK("http://www.twitter.com/NathanBLawrence/status/998629158849859584", "998629158849859584")</f>
        <v/>
      </c>
      <c r="B367" s="2" t="n">
        <v>43241.76295138889</v>
      </c>
      <c r="C367" t="n">
        <v>0</v>
      </c>
      <c r="D367" t="n">
        <v>60</v>
      </c>
      <c r="E367" t="s">
        <v>378</v>
      </c>
      <c r="F367" t="s"/>
      <c r="G367" t="s"/>
      <c r="H367" t="s"/>
      <c r="I367" t="s"/>
      <c r="J367" t="n">
        <v>-0.656</v>
      </c>
      <c r="K367" t="n">
        <v>0.214</v>
      </c>
      <c r="L367" t="n">
        <v>0.786</v>
      </c>
      <c r="M367" t="n">
        <v>0</v>
      </c>
    </row>
    <row r="368" spans="1:13">
      <c r="A368" s="1">
        <f>HYPERLINK("http://www.twitter.com/NathanBLawrence/status/997959744542466048", "997959744542466048")</f>
        <v/>
      </c>
      <c r="B368" s="2" t="n">
        <v>43239.91571759259</v>
      </c>
      <c r="C368" t="n">
        <v>0</v>
      </c>
      <c r="D368" t="n">
        <v>6</v>
      </c>
      <c r="E368" t="s">
        <v>379</v>
      </c>
      <c r="F368">
        <f>HYPERLINK("http://pbs.twimg.com/media/DWMamGWU0AEyChj.jpg", "http://pbs.twimg.com/media/DWMamGWU0AEyChj.jpg")</f>
        <v/>
      </c>
      <c r="G368" t="s"/>
      <c r="H368" t="s"/>
      <c r="I368" t="s"/>
      <c r="J368" t="n">
        <v>0</v>
      </c>
      <c r="K368" t="n">
        <v>0</v>
      </c>
      <c r="L368" t="n">
        <v>1</v>
      </c>
      <c r="M368" t="n">
        <v>0</v>
      </c>
    </row>
    <row r="369" spans="1:13">
      <c r="A369" s="1">
        <f>HYPERLINK("http://www.twitter.com/NathanBLawrence/status/997959705803837440", "997959705803837440")</f>
        <v/>
      </c>
      <c r="B369" s="2" t="n">
        <v>43239.91561342592</v>
      </c>
      <c r="C369" t="n">
        <v>0</v>
      </c>
      <c r="D369" t="n">
        <v>3</v>
      </c>
      <c r="E369" t="s">
        <v>380</v>
      </c>
      <c r="F369" t="s"/>
      <c r="G369" t="s"/>
      <c r="H369" t="s"/>
      <c r="I369" t="s"/>
      <c r="J369" t="n">
        <v>0</v>
      </c>
      <c r="K369" t="n">
        <v>0</v>
      </c>
      <c r="L369" t="n">
        <v>1</v>
      </c>
      <c r="M369" t="n">
        <v>0</v>
      </c>
    </row>
    <row r="370" spans="1:13">
      <c r="A370" s="1">
        <f>HYPERLINK("http://www.twitter.com/NathanBLawrence/status/997959646513172480", "997959646513172480")</f>
        <v/>
      </c>
      <c r="B370" s="2" t="n">
        <v>43239.91545138889</v>
      </c>
      <c r="C370" t="n">
        <v>0</v>
      </c>
      <c r="D370" t="n">
        <v>1</v>
      </c>
      <c r="E370" t="s">
        <v>381</v>
      </c>
      <c r="F370" t="s"/>
      <c r="G370" t="s"/>
      <c r="H370" t="s"/>
      <c r="I370" t="s"/>
      <c r="J370" t="n">
        <v>0.0772</v>
      </c>
      <c r="K370" t="n">
        <v>0.168</v>
      </c>
      <c r="L370" t="n">
        <v>0.619</v>
      </c>
      <c r="M370" t="n">
        <v>0.213</v>
      </c>
    </row>
    <row r="371" spans="1:13">
      <c r="A371" s="1">
        <f>HYPERLINK("http://www.twitter.com/NathanBLawrence/status/997958170885705728", "997958170885705728")</f>
        <v/>
      </c>
      <c r="B371" s="2" t="n">
        <v>43239.91137731481</v>
      </c>
      <c r="C371" t="n">
        <v>0</v>
      </c>
      <c r="D371" t="n">
        <v>0</v>
      </c>
      <c r="E371" t="s">
        <v>382</v>
      </c>
      <c r="F371" t="s"/>
      <c r="G371" t="s"/>
      <c r="H371" t="s"/>
      <c r="I371" t="s"/>
      <c r="J371" t="n">
        <v>0.8465</v>
      </c>
      <c r="K371" t="n">
        <v>0</v>
      </c>
      <c r="L371" t="n">
        <v>0.551</v>
      </c>
      <c r="M371" t="n">
        <v>0.449</v>
      </c>
    </row>
    <row r="372" spans="1:13">
      <c r="A372" s="1">
        <f>HYPERLINK("http://www.twitter.com/NathanBLawrence/status/997957686854668288", "997957686854668288")</f>
        <v/>
      </c>
      <c r="B372" s="2" t="n">
        <v>43239.9100462963</v>
      </c>
      <c r="C372" t="n">
        <v>0</v>
      </c>
      <c r="D372" t="n">
        <v>0</v>
      </c>
      <c r="E372" t="s">
        <v>383</v>
      </c>
      <c r="F372" t="s"/>
      <c r="G372" t="s"/>
      <c r="H372" t="s"/>
      <c r="I372" t="s"/>
      <c r="J372" t="n">
        <v>0</v>
      </c>
      <c r="K372" t="n">
        <v>0</v>
      </c>
      <c r="L372" t="n">
        <v>1</v>
      </c>
      <c r="M372" t="n">
        <v>0</v>
      </c>
    </row>
    <row r="373" spans="1:13">
      <c r="A373" s="1">
        <f>HYPERLINK("http://www.twitter.com/NathanBLawrence/status/997957603115356162", "997957603115356162")</f>
        <v/>
      </c>
      <c r="B373" s="2" t="n">
        <v>43239.90981481481</v>
      </c>
      <c r="C373" t="n">
        <v>0</v>
      </c>
      <c r="D373" t="n">
        <v>0</v>
      </c>
      <c r="E373" t="s">
        <v>384</v>
      </c>
      <c r="F373" t="s"/>
      <c r="G373" t="s"/>
      <c r="H373" t="s"/>
      <c r="I373" t="s"/>
      <c r="J373" t="n">
        <v>0.4588</v>
      </c>
      <c r="K373" t="n">
        <v>0</v>
      </c>
      <c r="L373" t="n">
        <v>0.5</v>
      </c>
      <c r="M373" t="n">
        <v>0.5</v>
      </c>
    </row>
    <row r="374" spans="1:13">
      <c r="A374" s="1">
        <f>HYPERLINK("http://www.twitter.com/NathanBLawrence/status/997880896803033088", "997880896803033088")</f>
        <v/>
      </c>
      <c r="B374" s="2" t="n">
        <v>43239.69814814815</v>
      </c>
      <c r="C374" t="n">
        <v>0</v>
      </c>
      <c r="D374" t="n">
        <v>433</v>
      </c>
      <c r="E374" t="s">
        <v>385</v>
      </c>
      <c r="F374">
        <f>HYPERLINK("http://pbs.twimg.com/media/DdkhjhnVMAAfMs2.jpg", "http://pbs.twimg.com/media/DdkhjhnVMAAfMs2.jpg")</f>
        <v/>
      </c>
      <c r="G374">
        <f>HYPERLINK("http://pbs.twimg.com/media/DdkhjhnUwAAl8el.jpg", "http://pbs.twimg.com/media/DdkhjhnUwAAl8el.jpg")</f>
        <v/>
      </c>
      <c r="H374" t="s"/>
      <c r="I374" t="s"/>
      <c r="J374" t="n">
        <v>0.7351</v>
      </c>
      <c r="K374" t="n">
        <v>0</v>
      </c>
      <c r="L374" t="n">
        <v>0.721</v>
      </c>
      <c r="M374" t="n">
        <v>0.279</v>
      </c>
    </row>
    <row r="375" spans="1:13">
      <c r="A375" s="1">
        <f>HYPERLINK("http://www.twitter.com/NathanBLawrence/status/997880782449446912", "997880782449446912")</f>
        <v/>
      </c>
      <c r="B375" s="2" t="n">
        <v>43239.69782407407</v>
      </c>
      <c r="C375" t="n">
        <v>0</v>
      </c>
      <c r="D375" t="n">
        <v>296</v>
      </c>
      <c r="E375" t="s">
        <v>386</v>
      </c>
      <c r="F375" t="s"/>
      <c r="G375" t="s"/>
      <c r="H375" t="s"/>
      <c r="I375" t="s"/>
      <c r="J375" t="n">
        <v>0</v>
      </c>
      <c r="K375" t="n">
        <v>0</v>
      </c>
      <c r="L375" t="n">
        <v>1</v>
      </c>
      <c r="M375" t="n">
        <v>0</v>
      </c>
    </row>
    <row r="376" spans="1:13">
      <c r="A376" s="1">
        <f>HYPERLINK("http://www.twitter.com/NathanBLawrence/status/997880711867707392", "997880711867707392")</f>
        <v/>
      </c>
      <c r="B376" s="2" t="n">
        <v>43239.69763888889</v>
      </c>
      <c r="C376" t="n">
        <v>0</v>
      </c>
      <c r="D376" t="n">
        <v>680</v>
      </c>
      <c r="E376" t="s">
        <v>387</v>
      </c>
      <c r="F376" t="s"/>
      <c r="G376" t="s"/>
      <c r="H376" t="s"/>
      <c r="I376" t="s"/>
      <c r="J376" t="n">
        <v>-0.25</v>
      </c>
      <c r="K376" t="n">
        <v>0.171</v>
      </c>
      <c r="L376" t="n">
        <v>0.702</v>
      </c>
      <c r="M376" t="n">
        <v>0.127</v>
      </c>
    </row>
    <row r="377" spans="1:13">
      <c r="A377" s="1">
        <f>HYPERLINK("http://www.twitter.com/NathanBLawrence/status/997879693675294720", "997879693675294720")</f>
        <v/>
      </c>
      <c r="B377" s="2" t="n">
        <v>43239.69482638889</v>
      </c>
      <c r="C377" t="n">
        <v>0</v>
      </c>
      <c r="D377" t="n">
        <v>149</v>
      </c>
      <c r="E377" t="s">
        <v>388</v>
      </c>
      <c r="F377" t="s"/>
      <c r="G377" t="s"/>
      <c r="H377" t="s"/>
      <c r="I377" t="s"/>
      <c r="J377" t="n">
        <v>-0.3071</v>
      </c>
      <c r="K377" t="n">
        <v>0.176</v>
      </c>
      <c r="L377" t="n">
        <v>0.706</v>
      </c>
      <c r="M377" t="n">
        <v>0.118</v>
      </c>
    </row>
    <row r="378" spans="1:13">
      <c r="A378" s="1">
        <f>HYPERLINK("http://www.twitter.com/NathanBLawrence/status/997879565509955584", "997879565509955584")</f>
        <v/>
      </c>
      <c r="B378" s="2" t="n">
        <v>43239.69446759259</v>
      </c>
      <c r="C378" t="n">
        <v>0</v>
      </c>
      <c r="D378" t="n">
        <v>2137</v>
      </c>
      <c r="E378" t="s">
        <v>389</v>
      </c>
      <c r="F378">
        <f>HYPERLINK("https://video.twimg.com/ext_tw_video/997295712390950913/pu/vid/640x360/wWP2p8HdHdEXDwTC.mp4?tag=3", "https://video.twimg.com/ext_tw_video/997295712390950913/pu/vid/640x360/wWP2p8HdHdEXDwTC.mp4?tag=3")</f>
        <v/>
      </c>
      <c r="G378" t="s"/>
      <c r="H378" t="s"/>
      <c r="I378" t="s"/>
      <c r="J378" t="n">
        <v>0.0772</v>
      </c>
      <c r="K378" t="n">
        <v>0</v>
      </c>
      <c r="L378" t="n">
        <v>0.949</v>
      </c>
      <c r="M378" t="n">
        <v>0.051</v>
      </c>
    </row>
    <row r="379" spans="1:13">
      <c r="A379" s="1">
        <f>HYPERLINK("http://www.twitter.com/NathanBLawrence/status/997879492738723840", "997879492738723840")</f>
        <v/>
      </c>
      <c r="B379" s="2" t="n">
        <v>43239.69427083333</v>
      </c>
      <c r="C379" t="n">
        <v>0</v>
      </c>
      <c r="D379" t="n">
        <v>256</v>
      </c>
      <c r="E379" t="s">
        <v>390</v>
      </c>
      <c r="F379" t="s"/>
      <c r="G379" t="s"/>
      <c r="H379" t="s"/>
      <c r="I379" t="s"/>
      <c r="J379" t="n">
        <v>0.4939</v>
      </c>
      <c r="K379" t="n">
        <v>0</v>
      </c>
      <c r="L379" t="n">
        <v>0.758</v>
      </c>
      <c r="M379" t="n">
        <v>0.242</v>
      </c>
    </row>
    <row r="380" spans="1:13">
      <c r="A380" s="1">
        <f>HYPERLINK("http://www.twitter.com/NathanBLawrence/status/997878673658335232", "997878673658335232")</f>
        <v/>
      </c>
      <c r="B380" s="2" t="n">
        <v>43239.69201388889</v>
      </c>
      <c r="C380" t="n">
        <v>0</v>
      </c>
      <c r="D380" t="n">
        <v>5</v>
      </c>
      <c r="E380" t="s">
        <v>391</v>
      </c>
      <c r="F380" t="s"/>
      <c r="G380" t="s"/>
      <c r="H380" t="s"/>
      <c r="I380" t="s"/>
      <c r="J380" t="n">
        <v>0.4003</v>
      </c>
      <c r="K380" t="n">
        <v>0.08500000000000001</v>
      </c>
      <c r="L380" t="n">
        <v>0.719</v>
      </c>
      <c r="M380" t="n">
        <v>0.196</v>
      </c>
    </row>
    <row r="381" spans="1:13">
      <c r="A381" s="1">
        <f>HYPERLINK("http://www.twitter.com/NathanBLawrence/status/997878628653457409", "997878628653457409")</f>
        <v/>
      </c>
      <c r="B381" s="2" t="n">
        <v>43239.69188657407</v>
      </c>
      <c r="C381" t="n">
        <v>0</v>
      </c>
      <c r="D381" t="n">
        <v>1</v>
      </c>
      <c r="E381" t="s">
        <v>392</v>
      </c>
      <c r="F381" t="s"/>
      <c r="G381" t="s"/>
      <c r="H381" t="s"/>
      <c r="I381" t="s"/>
      <c r="J381" t="n">
        <v>-0.8270999999999999</v>
      </c>
      <c r="K381" t="n">
        <v>0.3</v>
      </c>
      <c r="L381" t="n">
        <v>0.7</v>
      </c>
      <c r="M381" t="n">
        <v>0</v>
      </c>
    </row>
    <row r="382" spans="1:13">
      <c r="A382" s="1">
        <f>HYPERLINK("http://www.twitter.com/NathanBLawrence/status/997878291532050433", "997878291532050433")</f>
        <v/>
      </c>
      <c r="B382" s="2" t="n">
        <v>43239.69096064815</v>
      </c>
      <c r="C382" t="n">
        <v>0</v>
      </c>
      <c r="D382" t="n">
        <v>4</v>
      </c>
      <c r="E382" t="s">
        <v>393</v>
      </c>
      <c r="F382" t="s"/>
      <c r="G382" t="s"/>
      <c r="H382" t="s"/>
      <c r="I382" t="s"/>
      <c r="J382" t="n">
        <v>0</v>
      </c>
      <c r="K382" t="n">
        <v>0</v>
      </c>
      <c r="L382" t="n">
        <v>1</v>
      </c>
      <c r="M382" t="n">
        <v>0</v>
      </c>
    </row>
    <row r="383" spans="1:13">
      <c r="A383" s="1">
        <f>HYPERLINK("http://www.twitter.com/NathanBLawrence/status/997878137735303168", "997878137735303168")</f>
        <v/>
      </c>
      <c r="B383" s="2" t="n">
        <v>43239.69053240741</v>
      </c>
      <c r="C383" t="n">
        <v>0</v>
      </c>
      <c r="D383" t="n">
        <v>9</v>
      </c>
      <c r="E383" t="s">
        <v>394</v>
      </c>
      <c r="F383">
        <f>HYPERLINK("http://pbs.twimg.com/media/DdkrDg0V4AAXBLa.jpg", "http://pbs.twimg.com/media/DdkrDg0V4AAXBLa.jpg")</f>
        <v/>
      </c>
      <c r="G383" t="s"/>
      <c r="H383" t="s"/>
      <c r="I383" t="s"/>
      <c r="J383" t="n">
        <v>0</v>
      </c>
      <c r="K383" t="n">
        <v>0</v>
      </c>
      <c r="L383" t="n">
        <v>1</v>
      </c>
      <c r="M383" t="n">
        <v>0</v>
      </c>
    </row>
    <row r="384" spans="1:13">
      <c r="A384" s="1">
        <f>HYPERLINK("http://www.twitter.com/NathanBLawrence/status/997877794276364296", "997877794276364296")</f>
        <v/>
      </c>
      <c r="B384" s="2" t="n">
        <v>43239.68958333333</v>
      </c>
      <c r="C384" t="n">
        <v>3</v>
      </c>
      <c r="D384" t="n">
        <v>0</v>
      </c>
      <c r="E384" t="s">
        <v>395</v>
      </c>
      <c r="F384" t="s"/>
      <c r="G384" t="s"/>
      <c r="H384" t="s"/>
      <c r="I384" t="s"/>
      <c r="J384" t="n">
        <v>-0.3962</v>
      </c>
      <c r="K384" t="n">
        <v>0.221</v>
      </c>
      <c r="L384" t="n">
        <v>0.649</v>
      </c>
      <c r="M384" t="n">
        <v>0.13</v>
      </c>
    </row>
    <row r="385" spans="1:13">
      <c r="A385" s="1">
        <f>HYPERLINK("http://www.twitter.com/NathanBLawrence/status/997875213877563394", "997875213877563394")</f>
        <v/>
      </c>
      <c r="B385" s="2" t="n">
        <v>43239.68246527778</v>
      </c>
      <c r="C385" t="n">
        <v>0</v>
      </c>
      <c r="D385" t="n">
        <v>67</v>
      </c>
      <c r="E385" t="s">
        <v>396</v>
      </c>
      <c r="F385" t="s"/>
      <c r="G385" t="s"/>
      <c r="H385" t="s"/>
      <c r="I385" t="s"/>
      <c r="J385" t="n">
        <v>-0.5574</v>
      </c>
      <c r="K385" t="n">
        <v>0.278</v>
      </c>
      <c r="L385" t="n">
        <v>0.598</v>
      </c>
      <c r="M385" t="n">
        <v>0.124</v>
      </c>
    </row>
    <row r="386" spans="1:13">
      <c r="A386" s="1">
        <f>HYPERLINK("http://www.twitter.com/NathanBLawrence/status/997874878291292167", "997874878291292167")</f>
        <v/>
      </c>
      <c r="B386" s="2" t="n">
        <v>43239.68153935186</v>
      </c>
      <c r="C386" t="n">
        <v>0</v>
      </c>
      <c r="D386" t="n">
        <v>164</v>
      </c>
      <c r="E386" t="s">
        <v>397</v>
      </c>
      <c r="F386" t="s"/>
      <c r="G386" t="s"/>
      <c r="H386" t="s"/>
      <c r="I386" t="s"/>
      <c r="J386" t="n">
        <v>0.5023</v>
      </c>
      <c r="K386" t="n">
        <v>0</v>
      </c>
      <c r="L386" t="n">
        <v>0.881</v>
      </c>
      <c r="M386" t="n">
        <v>0.119</v>
      </c>
    </row>
    <row r="387" spans="1:13">
      <c r="A387" s="1">
        <f>HYPERLINK("http://www.twitter.com/NathanBLawrence/status/997874719427911683", "997874719427911683")</f>
        <v/>
      </c>
      <c r="B387" s="2" t="n">
        <v>43239.68109953704</v>
      </c>
      <c r="C387" t="n">
        <v>0</v>
      </c>
      <c r="D387" t="n">
        <v>9250</v>
      </c>
      <c r="E387" t="s">
        <v>398</v>
      </c>
      <c r="F387" t="s"/>
      <c r="G387" t="s"/>
      <c r="H387" t="s"/>
      <c r="I387" t="s"/>
      <c r="J387" t="n">
        <v>0</v>
      </c>
      <c r="K387" t="n">
        <v>0</v>
      </c>
      <c r="L387" t="n">
        <v>1</v>
      </c>
      <c r="M387" t="n">
        <v>0</v>
      </c>
    </row>
    <row r="388" spans="1:13">
      <c r="A388" s="1">
        <f>HYPERLINK("http://www.twitter.com/NathanBLawrence/status/997874145512820737", "997874145512820737")</f>
        <v/>
      </c>
      <c r="B388" s="2" t="n">
        <v>43239.67951388889</v>
      </c>
      <c r="C388" t="n">
        <v>0</v>
      </c>
      <c r="D388" t="n">
        <v>222</v>
      </c>
      <c r="E388" t="s">
        <v>399</v>
      </c>
      <c r="F388" t="s"/>
      <c r="G388" t="s"/>
      <c r="H388" t="s"/>
      <c r="I388" t="s"/>
      <c r="J388" t="n">
        <v>0.0516</v>
      </c>
      <c r="K388" t="n">
        <v>0.103</v>
      </c>
      <c r="L388" t="n">
        <v>0.785</v>
      </c>
      <c r="M388" t="n">
        <v>0.112</v>
      </c>
    </row>
    <row r="389" spans="1:13">
      <c r="A389" s="1">
        <f>HYPERLINK("http://www.twitter.com/NathanBLawrence/status/997873524936204288", "997873524936204288")</f>
        <v/>
      </c>
      <c r="B389" s="2" t="n">
        <v>43239.67780092593</v>
      </c>
      <c r="C389" t="n">
        <v>0</v>
      </c>
      <c r="D389" t="n">
        <v>4338</v>
      </c>
      <c r="E389" t="s">
        <v>400</v>
      </c>
      <c r="F389" t="s"/>
      <c r="G389" t="s"/>
      <c r="H389" t="s"/>
      <c r="I389" t="s"/>
      <c r="J389" t="n">
        <v>-0.1179</v>
      </c>
      <c r="K389" t="n">
        <v>0.127</v>
      </c>
      <c r="L389" t="n">
        <v>0.799</v>
      </c>
      <c r="M389" t="n">
        <v>0.074</v>
      </c>
    </row>
    <row r="390" spans="1:13">
      <c r="A390" s="1">
        <f>HYPERLINK("http://www.twitter.com/NathanBLawrence/status/997873304412262402", "997873304412262402")</f>
        <v/>
      </c>
      <c r="B390" s="2" t="n">
        <v>43239.67719907407</v>
      </c>
      <c r="C390" t="n">
        <v>0</v>
      </c>
      <c r="D390" t="n">
        <v>4</v>
      </c>
      <c r="E390" t="s">
        <v>401</v>
      </c>
      <c r="F390">
        <f>HYPERLINK("http://pbs.twimg.com/media/DVx-nnOUQAEV5ap.jpg", "http://pbs.twimg.com/media/DVx-nnOUQAEV5ap.jpg")</f>
        <v/>
      </c>
      <c r="G390" t="s"/>
      <c r="H390" t="s"/>
      <c r="I390" t="s"/>
      <c r="J390" t="n">
        <v>-0.5266999999999999</v>
      </c>
      <c r="K390" t="n">
        <v>0.159</v>
      </c>
      <c r="L390" t="n">
        <v>0.841</v>
      </c>
      <c r="M390" t="n">
        <v>0</v>
      </c>
    </row>
    <row r="391" spans="1:13">
      <c r="A391" s="1">
        <f>HYPERLINK("http://www.twitter.com/NathanBLawrence/status/997873029597327361", "997873029597327361")</f>
        <v/>
      </c>
      <c r="B391" s="2" t="n">
        <v>43239.67643518518</v>
      </c>
      <c r="C391" t="n">
        <v>0</v>
      </c>
      <c r="D391" t="n">
        <v>2746</v>
      </c>
      <c r="E391" t="s">
        <v>402</v>
      </c>
      <c r="F391" t="s"/>
      <c r="G391" t="s"/>
      <c r="H391" t="s"/>
      <c r="I391" t="s"/>
      <c r="J391" t="n">
        <v>-0.34</v>
      </c>
      <c r="K391" t="n">
        <v>0.091</v>
      </c>
      <c r="L391" t="n">
        <v>0.909</v>
      </c>
      <c r="M391" t="n">
        <v>0</v>
      </c>
    </row>
    <row r="392" spans="1:13">
      <c r="A392" s="1">
        <f>HYPERLINK("http://www.twitter.com/NathanBLawrence/status/997872916850184192", "997872916850184192")</f>
        <v/>
      </c>
      <c r="B392" s="2" t="n">
        <v>43239.67612268519</v>
      </c>
      <c r="C392" t="n">
        <v>0</v>
      </c>
      <c r="D392" t="n">
        <v>1628</v>
      </c>
      <c r="E392" t="s">
        <v>403</v>
      </c>
      <c r="F392" t="s"/>
      <c r="G392" t="s"/>
      <c r="H392" t="s"/>
      <c r="I392" t="s"/>
      <c r="J392" t="n">
        <v>-0.2808</v>
      </c>
      <c r="K392" t="n">
        <v>0.221</v>
      </c>
      <c r="L392" t="n">
        <v>0.592</v>
      </c>
      <c r="M392" t="n">
        <v>0.187</v>
      </c>
    </row>
    <row r="393" spans="1:13">
      <c r="A393" s="1">
        <f>HYPERLINK("http://www.twitter.com/NathanBLawrence/status/997872865340022785", "997872865340022785")</f>
        <v/>
      </c>
      <c r="B393" s="2" t="n">
        <v>43239.6759837963</v>
      </c>
      <c r="C393" t="n">
        <v>0</v>
      </c>
      <c r="D393" t="n">
        <v>496</v>
      </c>
      <c r="E393" t="s">
        <v>404</v>
      </c>
      <c r="F393">
        <f>HYPERLINK("http://pbs.twimg.com/media/DdgqRLYX4AA9tIm.jpg", "http://pbs.twimg.com/media/DdgqRLYX4AA9tIm.jpg")</f>
        <v/>
      </c>
      <c r="G393" t="s"/>
      <c r="H393" t="s"/>
      <c r="I393" t="s"/>
      <c r="J393" t="n">
        <v>-0.296</v>
      </c>
      <c r="K393" t="n">
        <v>0.215</v>
      </c>
      <c r="L393" t="n">
        <v>0.609</v>
      </c>
      <c r="M393" t="n">
        <v>0.176</v>
      </c>
    </row>
    <row r="394" spans="1:13">
      <c r="A394" s="1">
        <f>HYPERLINK("http://www.twitter.com/NathanBLawrence/status/997872767369465857", "997872767369465857")</f>
        <v/>
      </c>
      <c r="B394" s="2" t="n">
        <v>43239.67570601852</v>
      </c>
      <c r="C394" t="n">
        <v>0</v>
      </c>
      <c r="D394" t="n">
        <v>84</v>
      </c>
      <c r="E394" t="s">
        <v>405</v>
      </c>
      <c r="F394">
        <f>HYPERLINK("http://pbs.twimg.com/media/Dde6RrtUQAEX4Bt.jpg", "http://pbs.twimg.com/media/Dde6RrtUQAEX4Bt.jpg")</f>
        <v/>
      </c>
      <c r="G394" t="s"/>
      <c r="H394" t="s"/>
      <c r="I394" t="s"/>
      <c r="J394" t="n">
        <v>0.4019</v>
      </c>
      <c r="K394" t="n">
        <v>0</v>
      </c>
      <c r="L394" t="n">
        <v>0.803</v>
      </c>
      <c r="M394" t="n">
        <v>0.197</v>
      </c>
    </row>
    <row r="395" spans="1:13">
      <c r="A395" s="1">
        <f>HYPERLINK("http://www.twitter.com/NathanBLawrence/status/997872708632358912", "997872708632358912")</f>
        <v/>
      </c>
      <c r="B395" s="2" t="n">
        <v>43239.67554398148</v>
      </c>
      <c r="C395" t="n">
        <v>0</v>
      </c>
      <c r="D395" t="n">
        <v>1170</v>
      </c>
      <c r="E395" t="s">
        <v>406</v>
      </c>
      <c r="F395">
        <f>HYPERLINK("http://pbs.twimg.com/media/DdhT1LfWsAAXU28.jpg", "http://pbs.twimg.com/media/DdhT1LfWsAAXU28.jpg")</f>
        <v/>
      </c>
      <c r="G395" t="s"/>
      <c r="H395" t="s"/>
      <c r="I395" t="s"/>
      <c r="J395" t="n">
        <v>0</v>
      </c>
      <c r="K395" t="n">
        <v>0</v>
      </c>
      <c r="L395" t="n">
        <v>1</v>
      </c>
      <c r="M395" t="n">
        <v>0</v>
      </c>
    </row>
    <row r="396" spans="1:13">
      <c r="A396" s="1">
        <f>HYPERLINK("http://www.twitter.com/NathanBLawrence/status/997872603397263366", "997872603397263366")</f>
        <v/>
      </c>
      <c r="B396" s="2" t="n">
        <v>43239.67525462963</v>
      </c>
      <c r="C396" t="n">
        <v>0</v>
      </c>
      <c r="D396" t="n">
        <v>386</v>
      </c>
      <c r="E396" t="s">
        <v>407</v>
      </c>
      <c r="F396" t="s"/>
      <c r="G396" t="s"/>
      <c r="H396" t="s"/>
      <c r="I396" t="s"/>
      <c r="J396" t="n">
        <v>0.4019</v>
      </c>
      <c r="K396" t="n">
        <v>0.196</v>
      </c>
      <c r="L396" t="n">
        <v>0.528</v>
      </c>
      <c r="M396" t="n">
        <v>0.276</v>
      </c>
    </row>
    <row r="397" spans="1:13">
      <c r="A397" s="1">
        <f>HYPERLINK("http://www.twitter.com/NathanBLawrence/status/997872167634329605", "997872167634329605")</f>
        <v/>
      </c>
      <c r="B397" s="2" t="n">
        <v>43239.67405092593</v>
      </c>
      <c r="C397" t="n">
        <v>0</v>
      </c>
      <c r="D397" t="n">
        <v>430</v>
      </c>
      <c r="E397" t="s">
        <v>408</v>
      </c>
      <c r="F397" t="s"/>
      <c r="G397" t="s"/>
      <c r="H397" t="s"/>
      <c r="I397" t="s"/>
      <c r="J397" t="n">
        <v>0.0258</v>
      </c>
      <c r="K397" t="n">
        <v>0.08599999999999999</v>
      </c>
      <c r="L397" t="n">
        <v>0.824</v>
      </c>
      <c r="M397" t="n">
        <v>0.09</v>
      </c>
    </row>
    <row r="398" spans="1:13">
      <c r="A398" s="1">
        <f>HYPERLINK("http://www.twitter.com/NathanBLawrence/status/997872027380961280", "997872027380961280")</f>
        <v/>
      </c>
      <c r="B398" s="2" t="n">
        <v>43239.67366898148</v>
      </c>
      <c r="C398" t="n">
        <v>0</v>
      </c>
      <c r="D398" t="n">
        <v>7439</v>
      </c>
      <c r="E398" t="s">
        <v>409</v>
      </c>
      <c r="F398">
        <f>HYPERLINK("http://pbs.twimg.com/media/DdFvbyrXkAEFW5r.jpg", "http://pbs.twimg.com/media/DdFvbyrXkAEFW5r.jpg")</f>
        <v/>
      </c>
      <c r="G398" t="s"/>
      <c r="H398" t="s"/>
      <c r="I398" t="s"/>
      <c r="J398" t="n">
        <v>0</v>
      </c>
      <c r="K398" t="n">
        <v>0</v>
      </c>
      <c r="L398" t="n">
        <v>1</v>
      </c>
      <c r="M398" t="n">
        <v>0</v>
      </c>
    </row>
    <row r="399" spans="1:13">
      <c r="A399" s="1">
        <f>HYPERLINK("http://www.twitter.com/NathanBLawrence/status/997871838381400064", "997871838381400064")</f>
        <v/>
      </c>
      <c r="B399" s="2" t="n">
        <v>43239.67314814815</v>
      </c>
      <c r="C399" t="n">
        <v>0</v>
      </c>
      <c r="D399" t="n">
        <v>412</v>
      </c>
      <c r="E399" t="s">
        <v>410</v>
      </c>
      <c r="F399" t="s"/>
      <c r="G399" t="s"/>
      <c r="H399" t="s"/>
      <c r="I399" t="s"/>
      <c r="J399" t="n">
        <v>0</v>
      </c>
      <c r="K399" t="n">
        <v>0</v>
      </c>
      <c r="L399" t="n">
        <v>1</v>
      </c>
      <c r="M399" t="n">
        <v>0</v>
      </c>
    </row>
    <row r="400" spans="1:13">
      <c r="A400" s="1">
        <f>HYPERLINK("http://www.twitter.com/NathanBLawrence/status/997871709221945344", "997871709221945344")</f>
        <v/>
      </c>
      <c r="B400" s="2" t="n">
        <v>43239.67278935185</v>
      </c>
      <c r="C400" t="n">
        <v>0</v>
      </c>
      <c r="D400" t="n">
        <v>247</v>
      </c>
      <c r="E400" t="s">
        <v>411</v>
      </c>
      <c r="F400">
        <f>HYPERLINK("http://pbs.twimg.com/media/DdiPzHRX4AEnV--.jpg", "http://pbs.twimg.com/media/DdiPzHRX4AEnV--.jpg")</f>
        <v/>
      </c>
      <c r="G400" t="s"/>
      <c r="H400" t="s"/>
      <c r="I400" t="s"/>
      <c r="J400" t="n">
        <v>0</v>
      </c>
      <c r="K400" t="n">
        <v>0</v>
      </c>
      <c r="L400" t="n">
        <v>1</v>
      </c>
      <c r="M400" t="n">
        <v>0</v>
      </c>
    </row>
    <row r="401" spans="1:13">
      <c r="A401" s="1">
        <f>HYPERLINK("http://www.twitter.com/NathanBLawrence/status/997871560487788544", "997871560487788544")</f>
        <v/>
      </c>
      <c r="B401" s="2" t="n">
        <v>43239.67238425926</v>
      </c>
      <c r="C401" t="n">
        <v>0</v>
      </c>
      <c r="D401" t="n">
        <v>1369</v>
      </c>
      <c r="E401" t="s">
        <v>412</v>
      </c>
      <c r="F401" t="s"/>
      <c r="G401" t="s"/>
      <c r="H401" t="s"/>
      <c r="I401" t="s"/>
      <c r="J401" t="n">
        <v>0</v>
      </c>
      <c r="K401" t="n">
        <v>0</v>
      </c>
      <c r="L401" t="n">
        <v>1</v>
      </c>
      <c r="M401" t="n">
        <v>0</v>
      </c>
    </row>
    <row r="402" spans="1:13">
      <c r="A402" s="1">
        <f>HYPERLINK("http://www.twitter.com/NathanBLawrence/status/997871283827339273", "997871283827339273")</f>
        <v/>
      </c>
      <c r="B402" s="2" t="n">
        <v>43239.67162037037</v>
      </c>
      <c r="C402" t="n">
        <v>0</v>
      </c>
      <c r="D402" t="n">
        <v>753</v>
      </c>
      <c r="E402" t="s">
        <v>413</v>
      </c>
      <c r="F402" t="s"/>
      <c r="G402" t="s"/>
      <c r="H402" t="s"/>
      <c r="I402" t="s"/>
      <c r="J402" t="n">
        <v>-0.4995</v>
      </c>
      <c r="K402" t="n">
        <v>0.199</v>
      </c>
      <c r="L402" t="n">
        <v>0.719</v>
      </c>
      <c r="M402" t="n">
        <v>0.083</v>
      </c>
    </row>
    <row r="403" spans="1:13">
      <c r="A403" s="1">
        <f>HYPERLINK("http://www.twitter.com/NathanBLawrence/status/997870834403463169", "997870834403463169")</f>
        <v/>
      </c>
      <c r="B403" s="2" t="n">
        <v>43239.67038194444</v>
      </c>
      <c r="C403" t="n">
        <v>0</v>
      </c>
      <c r="D403" t="n">
        <v>2628</v>
      </c>
      <c r="E403" t="s">
        <v>414</v>
      </c>
      <c r="F403" t="s"/>
      <c r="G403" t="s"/>
      <c r="H403" t="s"/>
      <c r="I403" t="s"/>
      <c r="J403" t="n">
        <v>0</v>
      </c>
      <c r="K403" t="n">
        <v>0</v>
      </c>
      <c r="L403" t="n">
        <v>1</v>
      </c>
      <c r="M403" t="n">
        <v>0</v>
      </c>
    </row>
    <row r="404" spans="1:13">
      <c r="A404" s="1">
        <f>HYPERLINK("http://www.twitter.com/NathanBLawrence/status/997870787578212352", "997870787578212352")</f>
        <v/>
      </c>
      <c r="B404" s="2" t="n">
        <v>43239.67024305555</v>
      </c>
      <c r="C404" t="n">
        <v>0</v>
      </c>
      <c r="D404" t="n">
        <v>1236</v>
      </c>
      <c r="E404" t="s">
        <v>415</v>
      </c>
      <c r="F404" t="s"/>
      <c r="G404" t="s"/>
      <c r="H404" t="s"/>
      <c r="I404" t="s"/>
      <c r="J404" t="n">
        <v>0.34</v>
      </c>
      <c r="K404" t="n">
        <v>0</v>
      </c>
      <c r="L404" t="n">
        <v>0.862</v>
      </c>
      <c r="M404" t="n">
        <v>0.138</v>
      </c>
    </row>
    <row r="405" spans="1:13">
      <c r="A405" s="1">
        <f>HYPERLINK("http://www.twitter.com/NathanBLawrence/status/997870736617459713", "997870736617459713")</f>
        <v/>
      </c>
      <c r="B405" s="2" t="n">
        <v>43239.67010416667</v>
      </c>
      <c r="C405" t="n">
        <v>0</v>
      </c>
      <c r="D405" t="n">
        <v>49</v>
      </c>
      <c r="E405" t="s">
        <v>416</v>
      </c>
      <c r="F405" t="s"/>
      <c r="G405" t="s"/>
      <c r="H405" t="s"/>
      <c r="I405" t="s"/>
      <c r="J405" t="n">
        <v>0.3612</v>
      </c>
      <c r="K405" t="n">
        <v>0</v>
      </c>
      <c r="L405" t="n">
        <v>0.894</v>
      </c>
      <c r="M405" t="n">
        <v>0.106</v>
      </c>
    </row>
    <row r="406" spans="1:13">
      <c r="A406" s="1">
        <f>HYPERLINK("http://www.twitter.com/NathanBLawrence/status/997870650302914560", "997870650302914560")</f>
        <v/>
      </c>
      <c r="B406" s="2" t="n">
        <v>43239.66987268518</v>
      </c>
      <c r="C406" t="n">
        <v>0</v>
      </c>
      <c r="D406" t="n">
        <v>4262</v>
      </c>
      <c r="E406" t="s">
        <v>417</v>
      </c>
      <c r="F406" t="s"/>
      <c r="G406" t="s"/>
      <c r="H406" t="s"/>
      <c r="I406" t="s"/>
      <c r="J406" t="n">
        <v>0.4995</v>
      </c>
      <c r="K406" t="n">
        <v>0</v>
      </c>
      <c r="L406" t="n">
        <v>0.877</v>
      </c>
      <c r="M406" t="n">
        <v>0.123</v>
      </c>
    </row>
    <row r="407" spans="1:13">
      <c r="A407" s="1">
        <f>HYPERLINK("http://www.twitter.com/NathanBLawrence/status/997870603083440128", "997870603083440128")</f>
        <v/>
      </c>
      <c r="B407" s="2" t="n">
        <v>43239.6697337963</v>
      </c>
      <c r="C407" t="n">
        <v>0</v>
      </c>
      <c r="D407" t="n">
        <v>620</v>
      </c>
      <c r="E407" t="s">
        <v>418</v>
      </c>
      <c r="F407" t="s"/>
      <c r="G407" t="s"/>
      <c r="H407" t="s"/>
      <c r="I407" t="s"/>
      <c r="J407" t="n">
        <v>-0.4767</v>
      </c>
      <c r="K407" t="n">
        <v>0.134</v>
      </c>
      <c r="L407" t="n">
        <v>0.866</v>
      </c>
      <c r="M407" t="n">
        <v>0</v>
      </c>
    </row>
    <row r="408" spans="1:13">
      <c r="A408" s="1">
        <f>HYPERLINK("http://www.twitter.com/NathanBLawrence/status/997870016887513089", "997870016887513089")</f>
        <v/>
      </c>
      <c r="B408" s="2" t="n">
        <v>43239.668125</v>
      </c>
      <c r="C408" t="n">
        <v>0</v>
      </c>
      <c r="D408" t="n">
        <v>648</v>
      </c>
      <c r="E408" t="s">
        <v>419</v>
      </c>
      <c r="F408" t="s"/>
      <c r="G408" t="s"/>
      <c r="H408" t="s"/>
      <c r="I408" t="s"/>
      <c r="J408" t="n">
        <v>-0.7906</v>
      </c>
      <c r="K408" t="n">
        <v>0.25</v>
      </c>
      <c r="L408" t="n">
        <v>0.75</v>
      </c>
      <c r="M408" t="n">
        <v>0</v>
      </c>
    </row>
    <row r="409" spans="1:13">
      <c r="A409" s="1">
        <f>HYPERLINK("http://www.twitter.com/NathanBLawrence/status/997869812431966208", "997869812431966208")</f>
        <v/>
      </c>
      <c r="B409" s="2" t="n">
        <v>43239.66755787037</v>
      </c>
      <c r="C409" t="n">
        <v>0</v>
      </c>
      <c r="D409" t="n">
        <v>5091</v>
      </c>
      <c r="E409" t="s">
        <v>420</v>
      </c>
      <c r="F409" t="s"/>
      <c r="G409" t="s"/>
      <c r="H409" t="s"/>
      <c r="I409" t="s"/>
      <c r="J409" t="n">
        <v>-0.3182</v>
      </c>
      <c r="K409" t="n">
        <v>0.15</v>
      </c>
      <c r="L409" t="n">
        <v>0.85</v>
      </c>
      <c r="M409" t="n">
        <v>0</v>
      </c>
    </row>
    <row r="410" spans="1:13">
      <c r="A410" s="1">
        <f>HYPERLINK("http://www.twitter.com/NathanBLawrence/status/997869775358496768", "997869775358496768")</f>
        <v/>
      </c>
      <c r="B410" s="2" t="n">
        <v>43239.6674537037</v>
      </c>
      <c r="C410" t="n">
        <v>0</v>
      </c>
      <c r="D410" t="n">
        <v>25</v>
      </c>
      <c r="E410" t="s">
        <v>421</v>
      </c>
      <c r="F410" t="s"/>
      <c r="G410" t="s"/>
      <c r="H410" t="s"/>
      <c r="I410" t="s"/>
      <c r="J410" t="n">
        <v>0.0516</v>
      </c>
      <c r="K410" t="n">
        <v>0.119</v>
      </c>
      <c r="L410" t="n">
        <v>0.752</v>
      </c>
      <c r="M410" t="n">
        <v>0.128</v>
      </c>
    </row>
    <row r="411" spans="1:13">
      <c r="A411" s="1">
        <f>HYPERLINK("http://www.twitter.com/NathanBLawrence/status/997869135483883520", "997869135483883520")</f>
        <v/>
      </c>
      <c r="B411" s="2" t="n">
        <v>43239.66569444445</v>
      </c>
      <c r="C411" t="n">
        <v>0</v>
      </c>
      <c r="D411" t="n">
        <v>260</v>
      </c>
      <c r="E411" t="s">
        <v>422</v>
      </c>
      <c r="F411">
        <f>HYPERLINK("http://pbs.twimg.com/media/DdNkbooVMAAGjkp.jpg", "http://pbs.twimg.com/media/DdNkbooVMAAGjkp.jpg")</f>
        <v/>
      </c>
      <c r="G411" t="s"/>
      <c r="H411" t="s"/>
      <c r="I411" t="s"/>
      <c r="J411" t="n">
        <v>0</v>
      </c>
      <c r="K411" t="n">
        <v>0</v>
      </c>
      <c r="L411" t="n">
        <v>1</v>
      </c>
      <c r="M411" t="n">
        <v>0</v>
      </c>
    </row>
    <row r="412" spans="1:13">
      <c r="A412" s="1">
        <f>HYPERLINK("http://www.twitter.com/NathanBLawrence/status/997868907351429121", "997868907351429121")</f>
        <v/>
      </c>
      <c r="B412" s="2" t="n">
        <v>43239.66505787037</v>
      </c>
      <c r="C412" t="n">
        <v>0</v>
      </c>
      <c r="D412" t="n">
        <v>128</v>
      </c>
      <c r="E412" t="s">
        <v>423</v>
      </c>
      <c r="F412" t="s"/>
      <c r="G412" t="s"/>
      <c r="H412" t="s"/>
      <c r="I412" t="s"/>
      <c r="J412" t="n">
        <v>0.5106000000000001</v>
      </c>
      <c r="K412" t="n">
        <v>0</v>
      </c>
      <c r="L412" t="n">
        <v>0.864</v>
      </c>
      <c r="M412" t="n">
        <v>0.136</v>
      </c>
    </row>
    <row r="413" spans="1:13">
      <c r="A413" s="1">
        <f>HYPERLINK("http://www.twitter.com/NathanBLawrence/status/997867233568284672", "997867233568284672")</f>
        <v/>
      </c>
      <c r="B413" s="2" t="n">
        <v>43239.66043981481</v>
      </c>
      <c r="C413" t="n">
        <v>0</v>
      </c>
      <c r="D413" t="n">
        <v>129</v>
      </c>
      <c r="E413" t="s">
        <v>424</v>
      </c>
      <c r="F413">
        <f>HYPERLINK("http://pbs.twimg.com/media/DdCkWUjXkAA7C_q.jpg", "http://pbs.twimg.com/media/DdCkWUjXkAA7C_q.jpg")</f>
        <v/>
      </c>
      <c r="G413" t="s"/>
      <c r="H413" t="s"/>
      <c r="I413" t="s"/>
      <c r="J413" t="n">
        <v>-0.0516</v>
      </c>
      <c r="K413" t="n">
        <v>0.116</v>
      </c>
      <c r="L413" t="n">
        <v>0.775</v>
      </c>
      <c r="M413" t="n">
        <v>0.109</v>
      </c>
    </row>
    <row r="414" spans="1:13">
      <c r="A414" s="1">
        <f>HYPERLINK("http://www.twitter.com/NathanBLawrence/status/997866510113755136", "997866510113755136")</f>
        <v/>
      </c>
      <c r="B414" s="2" t="n">
        <v>43239.65844907407</v>
      </c>
      <c r="C414" t="n">
        <v>0</v>
      </c>
      <c r="D414" t="n">
        <v>3</v>
      </c>
      <c r="E414" t="s">
        <v>425</v>
      </c>
      <c r="F414" t="s"/>
      <c r="G414" t="s"/>
      <c r="H414" t="s"/>
      <c r="I414" t="s"/>
      <c r="J414" t="n">
        <v>0</v>
      </c>
      <c r="K414" t="n">
        <v>0</v>
      </c>
      <c r="L414" t="n">
        <v>1</v>
      </c>
      <c r="M414" t="n">
        <v>0</v>
      </c>
    </row>
    <row r="415" spans="1:13">
      <c r="A415" s="1">
        <f>HYPERLINK("http://www.twitter.com/NathanBLawrence/status/997866033091407872", "997866033091407872")</f>
        <v/>
      </c>
      <c r="B415" s="2" t="n">
        <v>43239.65712962963</v>
      </c>
      <c r="C415" t="n">
        <v>0</v>
      </c>
      <c r="D415" t="n">
        <v>3</v>
      </c>
      <c r="E415" t="s">
        <v>426</v>
      </c>
      <c r="F415" t="s"/>
      <c r="G415" t="s"/>
      <c r="H415" t="s"/>
      <c r="I415" t="s"/>
      <c r="J415" t="n">
        <v>-0.498</v>
      </c>
      <c r="K415" t="n">
        <v>0.209</v>
      </c>
      <c r="L415" t="n">
        <v>0.695</v>
      </c>
      <c r="M415" t="n">
        <v>0.096</v>
      </c>
    </row>
    <row r="416" spans="1:13">
      <c r="A416" s="1">
        <f>HYPERLINK("http://www.twitter.com/NathanBLawrence/status/997865784964677632", "997865784964677632")</f>
        <v/>
      </c>
      <c r="B416" s="2" t="n">
        <v>43239.65644675926</v>
      </c>
      <c r="C416" t="n">
        <v>0</v>
      </c>
      <c r="D416" t="n">
        <v>1</v>
      </c>
      <c r="E416" t="s">
        <v>427</v>
      </c>
      <c r="F416" t="s"/>
      <c r="G416" t="s"/>
      <c r="H416" t="s"/>
      <c r="I416" t="s"/>
      <c r="J416" t="n">
        <v>0</v>
      </c>
      <c r="K416" t="n">
        <v>0</v>
      </c>
      <c r="L416" t="n">
        <v>1</v>
      </c>
      <c r="M416" t="n">
        <v>0</v>
      </c>
    </row>
    <row r="417" spans="1:13">
      <c r="A417" s="1">
        <f>HYPERLINK("http://www.twitter.com/NathanBLawrence/status/997865718510161926", "997865718510161926")</f>
        <v/>
      </c>
      <c r="B417" s="2" t="n">
        <v>43239.65626157408</v>
      </c>
      <c r="C417" t="n">
        <v>0</v>
      </c>
      <c r="D417" t="n">
        <v>4</v>
      </c>
      <c r="E417" t="s">
        <v>428</v>
      </c>
      <c r="F417" t="s"/>
      <c r="G417" t="s"/>
      <c r="H417" t="s"/>
      <c r="I417" t="s"/>
      <c r="J417" t="n">
        <v>0</v>
      </c>
      <c r="K417" t="n">
        <v>0</v>
      </c>
      <c r="L417" t="n">
        <v>1</v>
      </c>
      <c r="M417" t="n">
        <v>0</v>
      </c>
    </row>
    <row r="418" spans="1:13">
      <c r="A418" s="1">
        <f>HYPERLINK("http://www.twitter.com/NathanBLawrence/status/997862793914220544", "997862793914220544")</f>
        <v/>
      </c>
      <c r="B418" s="2" t="n">
        <v>43239.64819444445</v>
      </c>
      <c r="C418" t="n">
        <v>0</v>
      </c>
      <c r="D418" t="n">
        <v>8</v>
      </c>
      <c r="E418" t="s">
        <v>429</v>
      </c>
      <c r="F418">
        <f>HYPERLINK("http://pbs.twimg.com/media/DdfQ_e3UwAMar0N.jpg", "http://pbs.twimg.com/media/DdfQ_e3UwAMar0N.jpg")</f>
        <v/>
      </c>
      <c r="G418" t="s"/>
      <c r="H418" t="s"/>
      <c r="I418" t="s"/>
      <c r="J418" t="n">
        <v>-0.2942</v>
      </c>
      <c r="K418" t="n">
        <v>0.097</v>
      </c>
      <c r="L418" t="n">
        <v>0.853</v>
      </c>
      <c r="M418" t="n">
        <v>0.05</v>
      </c>
    </row>
    <row r="419" spans="1:13">
      <c r="A419" s="1">
        <f>HYPERLINK("http://www.twitter.com/NathanBLawrence/status/997862698711953408", "997862698711953408")</f>
        <v/>
      </c>
      <c r="B419" s="2" t="n">
        <v>43239.64792824074</v>
      </c>
      <c r="C419" t="n">
        <v>0</v>
      </c>
      <c r="D419" t="n">
        <v>23</v>
      </c>
      <c r="E419" t="s">
        <v>430</v>
      </c>
      <c r="F419">
        <f>HYPERLINK("http://pbs.twimg.com/media/DdKCbiHVQAAZH_p.jpg", "http://pbs.twimg.com/media/DdKCbiHVQAAZH_p.jpg")</f>
        <v/>
      </c>
      <c r="G419" t="s"/>
      <c r="H419" t="s"/>
      <c r="I419" t="s"/>
      <c r="J419" t="n">
        <v>-0.6874</v>
      </c>
      <c r="K419" t="n">
        <v>0.25</v>
      </c>
      <c r="L419" t="n">
        <v>0.75</v>
      </c>
      <c r="M419" t="n">
        <v>0</v>
      </c>
    </row>
    <row r="420" spans="1:13">
      <c r="A420" s="1">
        <f>HYPERLINK("http://www.twitter.com/NathanBLawrence/status/997861421470842880", "997861421470842880")</f>
        <v/>
      </c>
      <c r="B420" s="2" t="n">
        <v>43239.64439814815</v>
      </c>
      <c r="C420" t="n">
        <v>0</v>
      </c>
      <c r="D420" t="n">
        <v>1</v>
      </c>
      <c r="E420" t="s">
        <v>431</v>
      </c>
      <c r="F420" t="s"/>
      <c r="G420" t="s"/>
      <c r="H420" t="s"/>
      <c r="I420" t="s"/>
      <c r="J420" t="n">
        <v>-0.2714</v>
      </c>
      <c r="K420" t="n">
        <v>0.186</v>
      </c>
      <c r="L420" t="n">
        <v>0.707</v>
      </c>
      <c r="M420" t="n">
        <v>0.108</v>
      </c>
    </row>
    <row r="421" spans="1:13">
      <c r="A421" s="1">
        <f>HYPERLINK("http://www.twitter.com/NathanBLawrence/status/997861319322816512", "997861319322816512")</f>
        <v/>
      </c>
      <c r="B421" s="2" t="n">
        <v>43239.64412037037</v>
      </c>
      <c r="C421" t="n">
        <v>0</v>
      </c>
      <c r="D421" t="n">
        <v>38</v>
      </c>
      <c r="E421" t="s">
        <v>432</v>
      </c>
      <c r="F421" t="s"/>
      <c r="G421" t="s"/>
      <c r="H421" t="s"/>
      <c r="I421" t="s"/>
      <c r="J421" t="n">
        <v>0.2732</v>
      </c>
      <c r="K421" t="n">
        <v>0</v>
      </c>
      <c r="L421" t="n">
        <v>0.877</v>
      </c>
      <c r="M421" t="n">
        <v>0.123</v>
      </c>
    </row>
    <row r="422" spans="1:13">
      <c r="A422" s="1">
        <f>HYPERLINK("http://www.twitter.com/NathanBLawrence/status/997861244806811648", "997861244806811648")</f>
        <v/>
      </c>
      <c r="B422" s="2" t="n">
        <v>43239.64391203703</v>
      </c>
      <c r="C422" t="n">
        <v>0</v>
      </c>
      <c r="D422" t="n">
        <v>35</v>
      </c>
      <c r="E422" t="s">
        <v>433</v>
      </c>
      <c r="F422" t="s"/>
      <c r="G422" t="s"/>
      <c r="H422" t="s"/>
      <c r="I422" t="s"/>
      <c r="J422" t="n">
        <v>-0.2462</v>
      </c>
      <c r="K422" t="n">
        <v>0.135</v>
      </c>
      <c r="L422" t="n">
        <v>0.777</v>
      </c>
      <c r="M422" t="n">
        <v>0.08699999999999999</v>
      </c>
    </row>
    <row r="423" spans="1:13">
      <c r="A423" s="1">
        <f>HYPERLINK("http://www.twitter.com/NathanBLawrence/status/997861179119882242", "997861179119882242")</f>
        <v/>
      </c>
      <c r="B423" s="2" t="n">
        <v>43239.64373842593</v>
      </c>
      <c r="C423" t="n">
        <v>0</v>
      </c>
      <c r="D423" t="n">
        <v>2</v>
      </c>
      <c r="E423" t="s">
        <v>434</v>
      </c>
      <c r="F423" t="s"/>
      <c r="G423" t="s"/>
      <c r="H423" t="s"/>
      <c r="I423" t="s"/>
      <c r="J423" t="n">
        <v>0</v>
      </c>
      <c r="K423" t="n">
        <v>0</v>
      </c>
      <c r="L423" t="n">
        <v>1</v>
      </c>
      <c r="M423" t="n">
        <v>0</v>
      </c>
    </row>
    <row r="424" spans="1:13">
      <c r="A424" s="1">
        <f>HYPERLINK("http://www.twitter.com/NathanBLawrence/status/997861101541974017", "997861101541974017")</f>
        <v/>
      </c>
      <c r="B424" s="2" t="n">
        <v>43239.64351851852</v>
      </c>
      <c r="C424" t="n">
        <v>0</v>
      </c>
      <c r="D424" t="n">
        <v>2</v>
      </c>
      <c r="E424" t="s">
        <v>435</v>
      </c>
      <c r="F424" t="s"/>
      <c r="G424" t="s"/>
      <c r="H424" t="s"/>
      <c r="I424" t="s"/>
      <c r="J424" t="n">
        <v>-0.3804</v>
      </c>
      <c r="K424" t="n">
        <v>0.11</v>
      </c>
      <c r="L424" t="n">
        <v>0.89</v>
      </c>
      <c r="M424" t="n">
        <v>0</v>
      </c>
    </row>
    <row r="425" spans="1:13">
      <c r="A425" s="1">
        <f>HYPERLINK("http://www.twitter.com/NathanBLawrence/status/997861042008088577", "997861042008088577")</f>
        <v/>
      </c>
      <c r="B425" s="2" t="n">
        <v>43239.64335648148</v>
      </c>
      <c r="C425" t="n">
        <v>0</v>
      </c>
      <c r="D425" t="n">
        <v>98</v>
      </c>
      <c r="E425" t="s">
        <v>436</v>
      </c>
      <c r="F425" t="s"/>
      <c r="G425" t="s"/>
      <c r="H425" t="s"/>
      <c r="I425" t="s"/>
      <c r="J425" t="n">
        <v>0.7845</v>
      </c>
      <c r="K425" t="n">
        <v>0</v>
      </c>
      <c r="L425" t="n">
        <v>0.761</v>
      </c>
      <c r="M425" t="n">
        <v>0.239</v>
      </c>
    </row>
    <row r="426" spans="1:13">
      <c r="A426" s="1">
        <f>HYPERLINK("http://www.twitter.com/NathanBLawrence/status/997859590220976128", "997859590220976128")</f>
        <v/>
      </c>
      <c r="B426" s="2" t="n">
        <v>43239.63935185185</v>
      </c>
      <c r="C426" t="n">
        <v>0</v>
      </c>
      <c r="D426" t="n">
        <v>5</v>
      </c>
      <c r="E426" t="s">
        <v>437</v>
      </c>
      <c r="F426" t="s"/>
      <c r="G426" t="s"/>
      <c r="H426" t="s"/>
      <c r="I426" t="s"/>
      <c r="J426" t="n">
        <v>0.4939</v>
      </c>
      <c r="K426" t="n">
        <v>0.089</v>
      </c>
      <c r="L426" t="n">
        <v>0.6909999999999999</v>
      </c>
      <c r="M426" t="n">
        <v>0.22</v>
      </c>
    </row>
    <row r="427" spans="1:13">
      <c r="A427" s="1">
        <f>HYPERLINK("http://www.twitter.com/NathanBLawrence/status/997859495475863552", "997859495475863552")</f>
        <v/>
      </c>
      <c r="B427" s="2" t="n">
        <v>43239.63908564814</v>
      </c>
      <c r="C427" t="n">
        <v>0</v>
      </c>
      <c r="D427" t="n">
        <v>7</v>
      </c>
      <c r="E427" t="s">
        <v>438</v>
      </c>
      <c r="F427" t="s"/>
      <c r="G427" t="s"/>
      <c r="H427" t="s"/>
      <c r="I427" t="s"/>
      <c r="J427" t="n">
        <v>-0.6808</v>
      </c>
      <c r="K427" t="n">
        <v>0.258</v>
      </c>
      <c r="L427" t="n">
        <v>0.66</v>
      </c>
      <c r="M427" t="n">
        <v>0.082</v>
      </c>
    </row>
    <row r="428" spans="1:13">
      <c r="A428" s="1">
        <f>HYPERLINK("http://www.twitter.com/NathanBLawrence/status/997859412390895616", "997859412390895616")</f>
        <v/>
      </c>
      <c r="B428" s="2" t="n">
        <v>43239.63885416667</v>
      </c>
      <c r="C428" t="n">
        <v>0</v>
      </c>
      <c r="D428" t="n">
        <v>9</v>
      </c>
      <c r="E428" t="s">
        <v>439</v>
      </c>
      <c r="F428" t="s"/>
      <c r="G428" t="s"/>
      <c r="H428" t="s"/>
      <c r="I428" t="s"/>
      <c r="J428" t="n">
        <v>0.2023</v>
      </c>
      <c r="K428" t="n">
        <v>0</v>
      </c>
      <c r="L428" t="n">
        <v>0.878</v>
      </c>
      <c r="M428" t="n">
        <v>0.122</v>
      </c>
    </row>
    <row r="429" spans="1:13">
      <c r="A429" s="1">
        <f>HYPERLINK("http://www.twitter.com/NathanBLawrence/status/997859339418431488", "997859339418431488")</f>
        <v/>
      </c>
      <c r="B429" s="2" t="n">
        <v>43239.63865740741</v>
      </c>
      <c r="C429" t="n">
        <v>0</v>
      </c>
      <c r="D429" t="n">
        <v>24</v>
      </c>
      <c r="E429" t="s">
        <v>440</v>
      </c>
      <c r="F429" t="s"/>
      <c r="G429" t="s"/>
      <c r="H429" t="s"/>
      <c r="I429" t="s"/>
      <c r="J429" t="n">
        <v>0.4926</v>
      </c>
      <c r="K429" t="n">
        <v>0.054</v>
      </c>
      <c r="L429" t="n">
        <v>0.8080000000000001</v>
      </c>
      <c r="M429" t="n">
        <v>0.138</v>
      </c>
    </row>
    <row r="430" spans="1:13">
      <c r="A430" s="1">
        <f>HYPERLINK("http://www.twitter.com/NathanBLawrence/status/997859291888578561", "997859291888578561")</f>
        <v/>
      </c>
      <c r="B430" s="2" t="n">
        <v>43239.63853009259</v>
      </c>
      <c r="C430" t="n">
        <v>0</v>
      </c>
      <c r="D430" t="n">
        <v>21</v>
      </c>
      <c r="E430" t="s">
        <v>441</v>
      </c>
      <c r="F430" t="s"/>
      <c r="G430" t="s"/>
      <c r="H430" t="s"/>
      <c r="I430" t="s"/>
      <c r="J430" t="n">
        <v>0.34</v>
      </c>
      <c r="K430" t="n">
        <v>0</v>
      </c>
      <c r="L430" t="n">
        <v>0.897</v>
      </c>
      <c r="M430" t="n">
        <v>0.103</v>
      </c>
    </row>
    <row r="431" spans="1:13">
      <c r="A431" s="1">
        <f>HYPERLINK("http://www.twitter.com/NathanBLawrence/status/997859161063985152", "997859161063985152")</f>
        <v/>
      </c>
      <c r="B431" s="2" t="n">
        <v>43239.63815972222</v>
      </c>
      <c r="C431" t="n">
        <v>0</v>
      </c>
      <c r="D431" t="n">
        <v>25</v>
      </c>
      <c r="E431" t="s">
        <v>442</v>
      </c>
      <c r="F431" t="s"/>
      <c r="G431" t="s"/>
      <c r="H431" t="s"/>
      <c r="I431" t="s"/>
      <c r="J431" t="n">
        <v>0.5719</v>
      </c>
      <c r="K431" t="n">
        <v>0</v>
      </c>
      <c r="L431" t="n">
        <v>0.824</v>
      </c>
      <c r="M431" t="n">
        <v>0.176</v>
      </c>
    </row>
    <row r="432" spans="1:13">
      <c r="A432" s="1">
        <f>HYPERLINK("http://www.twitter.com/NathanBLawrence/status/997859026829529089", "997859026829529089")</f>
        <v/>
      </c>
      <c r="B432" s="2" t="n">
        <v>43239.63778935185</v>
      </c>
      <c r="C432" t="n">
        <v>0</v>
      </c>
      <c r="D432" t="n">
        <v>17</v>
      </c>
      <c r="E432" t="s">
        <v>443</v>
      </c>
      <c r="F432" t="s"/>
      <c r="G432" t="s"/>
      <c r="H432" t="s"/>
      <c r="I432" t="s"/>
      <c r="J432" t="n">
        <v>0</v>
      </c>
      <c r="K432" t="n">
        <v>0</v>
      </c>
      <c r="L432" t="n">
        <v>1</v>
      </c>
      <c r="M432" t="n">
        <v>0</v>
      </c>
    </row>
    <row r="433" spans="1:13">
      <c r="A433" s="1">
        <f>HYPERLINK("http://www.twitter.com/NathanBLawrence/status/997858977730957313", "997858977730957313")</f>
        <v/>
      </c>
      <c r="B433" s="2" t="n">
        <v>43239.63766203704</v>
      </c>
      <c r="C433" t="n">
        <v>0</v>
      </c>
      <c r="D433" t="n">
        <v>4</v>
      </c>
      <c r="E433" t="s">
        <v>444</v>
      </c>
      <c r="F433" t="s"/>
      <c r="G433" t="s"/>
      <c r="H433" t="s"/>
      <c r="I433" t="s"/>
      <c r="J433" t="n">
        <v>0</v>
      </c>
      <c r="K433" t="n">
        <v>0</v>
      </c>
      <c r="L433" t="n">
        <v>1</v>
      </c>
      <c r="M433" t="n">
        <v>0</v>
      </c>
    </row>
    <row r="434" spans="1:13">
      <c r="A434" s="1">
        <f>HYPERLINK("http://www.twitter.com/NathanBLawrence/status/997858921502138369", "997858921502138369")</f>
        <v/>
      </c>
      <c r="B434" s="2" t="n">
        <v>43239.6375</v>
      </c>
      <c r="C434" t="n">
        <v>0</v>
      </c>
      <c r="D434" t="n">
        <v>6</v>
      </c>
      <c r="E434" t="s">
        <v>445</v>
      </c>
      <c r="F434" t="s"/>
      <c r="G434" t="s"/>
      <c r="H434" t="s"/>
      <c r="I434" t="s"/>
      <c r="J434" t="n">
        <v>0.8044</v>
      </c>
      <c r="K434" t="n">
        <v>0.054</v>
      </c>
      <c r="L434" t="n">
        <v>0.654</v>
      </c>
      <c r="M434" t="n">
        <v>0.291</v>
      </c>
    </row>
    <row r="435" spans="1:13">
      <c r="A435" s="1">
        <f>HYPERLINK("http://www.twitter.com/NathanBLawrence/status/997858829676285954", "997858829676285954")</f>
        <v/>
      </c>
      <c r="B435" s="2" t="n">
        <v>43239.63724537037</v>
      </c>
      <c r="C435" t="n">
        <v>0</v>
      </c>
      <c r="D435" t="n">
        <v>6</v>
      </c>
      <c r="E435" t="s">
        <v>446</v>
      </c>
      <c r="F435" t="s"/>
      <c r="G435" t="s"/>
      <c r="H435" t="s"/>
      <c r="I435" t="s"/>
      <c r="J435" t="n">
        <v>0</v>
      </c>
      <c r="K435" t="n">
        <v>0</v>
      </c>
      <c r="L435" t="n">
        <v>1</v>
      </c>
      <c r="M435" t="n">
        <v>0</v>
      </c>
    </row>
    <row r="436" spans="1:13">
      <c r="A436" s="1">
        <f>HYPERLINK("http://www.twitter.com/NathanBLawrence/status/997858616416915456", "997858616416915456")</f>
        <v/>
      </c>
      <c r="B436" s="2" t="n">
        <v>43239.63666666667</v>
      </c>
      <c r="C436" t="n">
        <v>0</v>
      </c>
      <c r="D436" t="n">
        <v>3</v>
      </c>
      <c r="E436" t="s">
        <v>447</v>
      </c>
      <c r="F436" t="s"/>
      <c r="G436" t="s"/>
      <c r="H436" t="s"/>
      <c r="I436" t="s"/>
      <c r="J436" t="n">
        <v>-0.296</v>
      </c>
      <c r="K436" t="n">
        <v>0.08699999999999999</v>
      </c>
      <c r="L436" t="n">
        <v>0.913</v>
      </c>
      <c r="M436" t="n">
        <v>0</v>
      </c>
    </row>
    <row r="437" spans="1:13">
      <c r="A437" s="1">
        <f>HYPERLINK("http://www.twitter.com/NathanBLawrence/status/997858562541047809", "997858562541047809")</f>
        <v/>
      </c>
      <c r="B437" s="2" t="n">
        <v>43239.6365162037</v>
      </c>
      <c r="C437" t="n">
        <v>0</v>
      </c>
      <c r="D437" t="n">
        <v>6</v>
      </c>
      <c r="E437" t="s">
        <v>448</v>
      </c>
      <c r="F437" t="s"/>
      <c r="G437" t="s"/>
      <c r="H437" t="s"/>
      <c r="I437" t="s"/>
      <c r="J437" t="n">
        <v>0.4019</v>
      </c>
      <c r="K437" t="n">
        <v>0</v>
      </c>
      <c r="L437" t="n">
        <v>0.876</v>
      </c>
      <c r="M437" t="n">
        <v>0.124</v>
      </c>
    </row>
    <row r="438" spans="1:13">
      <c r="A438" s="1">
        <f>HYPERLINK("http://www.twitter.com/NathanBLawrence/status/997858455150055425", "997858455150055425")</f>
        <v/>
      </c>
      <c r="B438" s="2" t="n">
        <v>43239.63621527778</v>
      </c>
      <c r="C438" t="n">
        <v>0</v>
      </c>
      <c r="D438" t="n">
        <v>11</v>
      </c>
      <c r="E438" t="s">
        <v>449</v>
      </c>
      <c r="F438" t="s"/>
      <c r="G438" t="s"/>
      <c r="H438" t="s"/>
      <c r="I438" t="s"/>
      <c r="J438" t="n">
        <v>0.3612</v>
      </c>
      <c r="K438" t="n">
        <v>0</v>
      </c>
      <c r="L438" t="n">
        <v>0.906</v>
      </c>
      <c r="M438" t="n">
        <v>0.094</v>
      </c>
    </row>
    <row r="439" spans="1:13">
      <c r="A439" s="1">
        <f>HYPERLINK("http://www.twitter.com/NathanBLawrence/status/997858278632718336", "997858278632718336")</f>
        <v/>
      </c>
      <c r="B439" s="2" t="n">
        <v>43239.63572916666</v>
      </c>
      <c r="C439" t="n">
        <v>0</v>
      </c>
      <c r="D439" t="n">
        <v>1</v>
      </c>
      <c r="E439" t="s">
        <v>450</v>
      </c>
      <c r="F439" t="s"/>
      <c r="G439" t="s"/>
      <c r="H439" t="s"/>
      <c r="I439" t="s"/>
      <c r="J439" t="n">
        <v>0.2263</v>
      </c>
      <c r="K439" t="n">
        <v>0.143</v>
      </c>
      <c r="L439" t="n">
        <v>0.673</v>
      </c>
      <c r="M439" t="n">
        <v>0.184</v>
      </c>
    </row>
    <row r="440" spans="1:13">
      <c r="A440" s="1">
        <f>HYPERLINK("http://www.twitter.com/NathanBLawrence/status/997858191194181632", "997858191194181632")</f>
        <v/>
      </c>
      <c r="B440" s="2" t="n">
        <v>43239.63548611111</v>
      </c>
      <c r="C440" t="n">
        <v>0</v>
      </c>
      <c r="D440" t="n">
        <v>1</v>
      </c>
      <c r="E440" t="s">
        <v>451</v>
      </c>
      <c r="F440" t="s"/>
      <c r="G440" t="s"/>
      <c r="H440" t="s"/>
      <c r="I440" t="s"/>
      <c r="J440" t="n">
        <v>-0.5423</v>
      </c>
      <c r="K440" t="n">
        <v>0.156</v>
      </c>
      <c r="L440" t="n">
        <v>0.844</v>
      </c>
      <c r="M440" t="n">
        <v>0</v>
      </c>
    </row>
    <row r="441" spans="1:13">
      <c r="A441" s="1">
        <f>HYPERLINK("http://www.twitter.com/NathanBLawrence/status/997857826365198336", "997857826365198336")</f>
        <v/>
      </c>
      <c r="B441" s="2" t="n">
        <v>43239.63447916666</v>
      </c>
      <c r="C441" t="n">
        <v>0</v>
      </c>
      <c r="D441" t="n">
        <v>7</v>
      </c>
      <c r="E441" t="s">
        <v>452</v>
      </c>
      <c r="F441" t="s"/>
      <c r="G441" t="s"/>
      <c r="H441" t="s"/>
      <c r="I441" t="s"/>
      <c r="J441" t="n">
        <v>-0.7882</v>
      </c>
      <c r="K441" t="n">
        <v>0.303</v>
      </c>
      <c r="L441" t="n">
        <v>0.697</v>
      </c>
      <c r="M441" t="n">
        <v>0</v>
      </c>
    </row>
    <row r="442" spans="1:13">
      <c r="A442" s="1">
        <f>HYPERLINK("http://www.twitter.com/NathanBLawrence/status/997857781209329666", "997857781209329666")</f>
        <v/>
      </c>
      <c r="B442" s="2" t="n">
        <v>43239.63435185186</v>
      </c>
      <c r="C442" t="n">
        <v>0</v>
      </c>
      <c r="D442" t="n">
        <v>11</v>
      </c>
      <c r="E442" t="s">
        <v>453</v>
      </c>
      <c r="F442">
        <f>HYPERLINK("http://pbs.twimg.com/media/Dcnt56NVAAABA8g.jpg", "http://pbs.twimg.com/media/Dcnt56NVAAABA8g.jpg")</f>
        <v/>
      </c>
      <c r="G442" t="s"/>
      <c r="H442" t="s"/>
      <c r="I442" t="s"/>
      <c r="J442" t="n">
        <v>0.5052</v>
      </c>
      <c r="K442" t="n">
        <v>0.108</v>
      </c>
      <c r="L442" t="n">
        <v>0.627</v>
      </c>
      <c r="M442" t="n">
        <v>0.265</v>
      </c>
    </row>
    <row r="443" spans="1:13">
      <c r="A443" s="1">
        <f>HYPERLINK("http://www.twitter.com/NathanBLawrence/status/997857701785989121", "997857701785989121")</f>
        <v/>
      </c>
      <c r="B443" s="2" t="n">
        <v>43239.63414351852</v>
      </c>
      <c r="C443" t="n">
        <v>0</v>
      </c>
      <c r="D443" t="n">
        <v>11</v>
      </c>
      <c r="E443" t="s">
        <v>454</v>
      </c>
      <c r="F443">
        <f>HYPERLINK("http://pbs.twimg.com/media/Dcns-1xVAAACqzL.jpg", "http://pbs.twimg.com/media/Dcns-1xVAAACqzL.jpg")</f>
        <v/>
      </c>
      <c r="G443" t="s"/>
      <c r="H443" t="s"/>
      <c r="I443" t="s"/>
      <c r="J443" t="n">
        <v>-0.4278</v>
      </c>
      <c r="K443" t="n">
        <v>0.196</v>
      </c>
      <c r="L443" t="n">
        <v>0.702</v>
      </c>
      <c r="M443" t="n">
        <v>0.101</v>
      </c>
    </row>
    <row r="444" spans="1:13">
      <c r="A444" s="1">
        <f>HYPERLINK("http://www.twitter.com/NathanBLawrence/status/997857584345427968", "997857584345427968")</f>
        <v/>
      </c>
      <c r="B444" s="2" t="n">
        <v>43239.63381944445</v>
      </c>
      <c r="C444" t="n">
        <v>0</v>
      </c>
      <c r="D444" t="n">
        <v>4</v>
      </c>
      <c r="E444" t="s">
        <v>455</v>
      </c>
      <c r="F444">
        <f>HYPERLINK("http://pbs.twimg.com/media/DcnptSOV4AEsclj.jpg", "http://pbs.twimg.com/media/DcnptSOV4AEsclj.jpg")</f>
        <v/>
      </c>
      <c r="G444" t="s"/>
      <c r="H444" t="s"/>
      <c r="I444" t="s"/>
      <c r="J444" t="n">
        <v>0</v>
      </c>
      <c r="K444" t="n">
        <v>0</v>
      </c>
      <c r="L444" t="n">
        <v>1</v>
      </c>
      <c r="M444" t="n">
        <v>0</v>
      </c>
    </row>
    <row r="445" spans="1:13">
      <c r="A445" s="1">
        <f>HYPERLINK("http://www.twitter.com/NathanBLawrence/status/997857519451234306", "997857519451234306")</f>
        <v/>
      </c>
      <c r="B445" s="2" t="n">
        <v>43239.63363425926</v>
      </c>
      <c r="C445" t="n">
        <v>0</v>
      </c>
      <c r="D445" t="n">
        <v>8</v>
      </c>
      <c r="E445" t="s">
        <v>456</v>
      </c>
      <c r="F445">
        <f>HYPERLINK("http://pbs.twimg.com/media/Dcnom7LV0AMeSHp.jpg", "http://pbs.twimg.com/media/Dcnom7LV0AMeSHp.jpg")</f>
        <v/>
      </c>
      <c r="G445" t="s"/>
      <c r="H445" t="s"/>
      <c r="I445" t="s"/>
      <c r="J445" t="n">
        <v>-0.3818</v>
      </c>
      <c r="K445" t="n">
        <v>0.115</v>
      </c>
      <c r="L445" t="n">
        <v>0.885</v>
      </c>
      <c r="M445" t="n">
        <v>0</v>
      </c>
    </row>
    <row r="446" spans="1:13">
      <c r="A446" s="1">
        <f>HYPERLINK("http://www.twitter.com/NathanBLawrence/status/997857439994261504", "997857439994261504")</f>
        <v/>
      </c>
      <c r="B446" s="2" t="n">
        <v>43239.63341435185</v>
      </c>
      <c r="C446" t="n">
        <v>0</v>
      </c>
      <c r="D446" t="n">
        <v>6</v>
      </c>
      <c r="E446" t="s">
        <v>457</v>
      </c>
      <c r="F446">
        <f>HYPERLINK("http://pbs.twimg.com/media/Dcnn6IiUQAAqMSn.jpg", "http://pbs.twimg.com/media/Dcnn6IiUQAAqMSn.jpg")</f>
        <v/>
      </c>
      <c r="G446" t="s"/>
      <c r="H446" t="s"/>
      <c r="I446" t="s"/>
      <c r="J446" t="n">
        <v>-0.5266999999999999</v>
      </c>
      <c r="K446" t="n">
        <v>0.139</v>
      </c>
      <c r="L446" t="n">
        <v>0.861</v>
      </c>
      <c r="M446" t="n">
        <v>0</v>
      </c>
    </row>
    <row r="447" spans="1:13">
      <c r="A447" s="1">
        <f>HYPERLINK("http://www.twitter.com/NathanBLawrence/status/997857362684858370", "997857362684858370")</f>
        <v/>
      </c>
      <c r="B447" s="2" t="n">
        <v>43239.63320601852</v>
      </c>
      <c r="C447" t="n">
        <v>0</v>
      </c>
      <c r="D447" t="n">
        <v>5</v>
      </c>
      <c r="E447" t="s">
        <v>458</v>
      </c>
      <c r="F447">
        <f>HYPERLINK("http://pbs.twimg.com/media/DcnmnoTUwAAazhw.jpg", "http://pbs.twimg.com/media/DcnmnoTUwAAazhw.jpg")</f>
        <v/>
      </c>
      <c r="G447" t="s"/>
      <c r="H447" t="s"/>
      <c r="I447" t="s"/>
      <c r="J447" t="n">
        <v>0</v>
      </c>
      <c r="K447" t="n">
        <v>0</v>
      </c>
      <c r="L447" t="n">
        <v>1</v>
      </c>
      <c r="M447" t="n">
        <v>0</v>
      </c>
    </row>
    <row r="448" spans="1:13">
      <c r="A448" s="1">
        <f>HYPERLINK("http://www.twitter.com/NathanBLawrence/status/997857285908156420", "997857285908156420")</f>
        <v/>
      </c>
      <c r="B448" s="2" t="n">
        <v>43239.63298611111</v>
      </c>
      <c r="C448" t="n">
        <v>0</v>
      </c>
      <c r="D448" t="n">
        <v>18</v>
      </c>
      <c r="E448" t="s">
        <v>459</v>
      </c>
      <c r="F448">
        <f>HYPERLINK("http://pbs.twimg.com/media/DcnlwuYV0AE_eoy.jpg", "http://pbs.twimg.com/media/DcnlwuYV0AE_eoy.jpg")</f>
        <v/>
      </c>
      <c r="G448" t="s"/>
      <c r="H448" t="s"/>
      <c r="I448" t="s"/>
      <c r="J448" t="n">
        <v>-0.5423</v>
      </c>
      <c r="K448" t="n">
        <v>0.156</v>
      </c>
      <c r="L448" t="n">
        <v>0.844</v>
      </c>
      <c r="M448" t="n">
        <v>0</v>
      </c>
    </row>
    <row r="449" spans="1:13">
      <c r="A449" s="1">
        <f>HYPERLINK("http://www.twitter.com/NathanBLawrence/status/997857015128084481", "997857015128084481")</f>
        <v/>
      </c>
      <c r="B449" s="2" t="n">
        <v>43239.63224537037</v>
      </c>
      <c r="C449" t="n">
        <v>0</v>
      </c>
      <c r="D449" t="n">
        <v>1</v>
      </c>
      <c r="E449" t="s">
        <v>460</v>
      </c>
      <c r="F449" t="s"/>
      <c r="G449" t="s"/>
      <c r="H449" t="s"/>
      <c r="I449" t="s"/>
      <c r="J449" t="n">
        <v>-0.5719</v>
      </c>
      <c r="K449" t="n">
        <v>0.156</v>
      </c>
      <c r="L449" t="n">
        <v>0.844</v>
      </c>
      <c r="M449" t="n">
        <v>0</v>
      </c>
    </row>
    <row r="450" spans="1:13">
      <c r="A450" s="1">
        <f>HYPERLINK("http://www.twitter.com/NathanBLawrence/status/997856932848431107", "997856932848431107")</f>
        <v/>
      </c>
      <c r="B450" s="2" t="n">
        <v>43239.63201388889</v>
      </c>
      <c r="C450" t="n">
        <v>0</v>
      </c>
      <c r="D450" t="n">
        <v>6</v>
      </c>
      <c r="E450" t="s">
        <v>461</v>
      </c>
      <c r="F450" t="s"/>
      <c r="G450" t="s"/>
      <c r="H450" t="s"/>
      <c r="I450" t="s"/>
      <c r="J450" t="n">
        <v>0</v>
      </c>
      <c r="K450" t="n">
        <v>0</v>
      </c>
      <c r="L450" t="n">
        <v>1</v>
      </c>
      <c r="M450" t="n">
        <v>0</v>
      </c>
    </row>
    <row r="451" spans="1:13">
      <c r="A451" s="1">
        <f>HYPERLINK("http://www.twitter.com/NathanBLawrence/status/997856484703854593", "997856484703854593")</f>
        <v/>
      </c>
      <c r="B451" s="2" t="n">
        <v>43239.63077546296</v>
      </c>
      <c r="C451" t="n">
        <v>0</v>
      </c>
      <c r="D451" t="n">
        <v>3</v>
      </c>
      <c r="E451" t="s">
        <v>462</v>
      </c>
      <c r="F451" t="s"/>
      <c r="G451" t="s"/>
      <c r="H451" t="s"/>
      <c r="I451" t="s"/>
      <c r="J451" t="n">
        <v>0</v>
      </c>
      <c r="K451" t="n">
        <v>0</v>
      </c>
      <c r="L451" t="n">
        <v>1</v>
      </c>
      <c r="M451" t="n">
        <v>0</v>
      </c>
    </row>
    <row r="452" spans="1:13">
      <c r="A452" s="1">
        <f>HYPERLINK("http://www.twitter.com/NathanBLawrence/status/997856433713577984", "997856433713577984")</f>
        <v/>
      </c>
      <c r="B452" s="2" t="n">
        <v>43239.63063657407</v>
      </c>
      <c r="C452" t="n">
        <v>0</v>
      </c>
      <c r="D452" t="n">
        <v>15</v>
      </c>
      <c r="E452" t="s">
        <v>463</v>
      </c>
      <c r="F452" t="s"/>
      <c r="G452" t="s"/>
      <c r="H452" t="s"/>
      <c r="I452" t="s"/>
      <c r="J452" t="n">
        <v>0.8469</v>
      </c>
      <c r="K452" t="n">
        <v>0</v>
      </c>
      <c r="L452" t="n">
        <v>0.72</v>
      </c>
      <c r="M452" t="n">
        <v>0.28</v>
      </c>
    </row>
    <row r="453" spans="1:13">
      <c r="A453" s="1">
        <f>HYPERLINK("http://www.twitter.com/NathanBLawrence/status/997856373416263680", "997856373416263680")</f>
        <v/>
      </c>
      <c r="B453" s="2" t="n">
        <v>43239.63047453704</v>
      </c>
      <c r="C453" t="n">
        <v>0</v>
      </c>
      <c r="D453" t="n">
        <v>2</v>
      </c>
      <c r="E453" t="s">
        <v>464</v>
      </c>
      <c r="F453" t="s"/>
      <c r="G453" t="s"/>
      <c r="H453" t="s"/>
      <c r="I453" t="s"/>
      <c r="J453" t="n">
        <v>-0.7845</v>
      </c>
      <c r="K453" t="n">
        <v>0.535</v>
      </c>
      <c r="L453" t="n">
        <v>0.465</v>
      </c>
      <c r="M453" t="n">
        <v>0</v>
      </c>
    </row>
    <row r="454" spans="1:13">
      <c r="A454" s="1">
        <f>HYPERLINK("http://www.twitter.com/NathanBLawrence/status/997856319821541376", "997856319821541376")</f>
        <v/>
      </c>
      <c r="B454" s="2" t="n">
        <v>43239.63032407407</v>
      </c>
      <c r="C454" t="n">
        <v>0</v>
      </c>
      <c r="D454" t="n">
        <v>2</v>
      </c>
      <c r="E454" t="s">
        <v>465</v>
      </c>
      <c r="F454" t="s"/>
      <c r="G454" t="s"/>
      <c r="H454" t="s"/>
      <c r="I454" t="s"/>
      <c r="J454" t="n">
        <v>0.8689</v>
      </c>
      <c r="K454" t="n">
        <v>0</v>
      </c>
      <c r="L454" t="n">
        <v>0.338</v>
      </c>
      <c r="M454" t="n">
        <v>0.662</v>
      </c>
    </row>
    <row r="455" spans="1:13">
      <c r="A455" s="1">
        <f>HYPERLINK("http://www.twitter.com/NathanBLawrence/status/997856296425705472", "997856296425705472")</f>
        <v/>
      </c>
      <c r="B455" s="2" t="n">
        <v>43239.63025462963</v>
      </c>
      <c r="C455" t="n">
        <v>0</v>
      </c>
      <c r="D455" t="n">
        <v>1</v>
      </c>
      <c r="E455" t="s">
        <v>466</v>
      </c>
      <c r="F455" t="s"/>
      <c r="G455" t="s"/>
      <c r="H455" t="s"/>
      <c r="I455" t="s"/>
      <c r="J455" t="n">
        <v>0.6249</v>
      </c>
      <c r="K455" t="n">
        <v>0</v>
      </c>
      <c r="L455" t="n">
        <v>0.549</v>
      </c>
      <c r="M455" t="n">
        <v>0.451</v>
      </c>
    </row>
    <row r="456" spans="1:13">
      <c r="A456" s="1">
        <f>HYPERLINK("http://www.twitter.com/NathanBLawrence/status/997856280080510977", "997856280080510977")</f>
        <v/>
      </c>
      <c r="B456" s="2" t="n">
        <v>43239.63021990741</v>
      </c>
      <c r="C456" t="n">
        <v>0</v>
      </c>
      <c r="D456" t="n">
        <v>7</v>
      </c>
      <c r="E456" t="s">
        <v>467</v>
      </c>
      <c r="F456" t="s"/>
      <c r="G456" t="s"/>
      <c r="H456" t="s"/>
      <c r="I456" t="s"/>
      <c r="J456" t="n">
        <v>0.888</v>
      </c>
      <c r="K456" t="n">
        <v>0</v>
      </c>
      <c r="L456" t="n">
        <v>0.699</v>
      </c>
      <c r="M456" t="n">
        <v>0.301</v>
      </c>
    </row>
    <row r="457" spans="1:13">
      <c r="A457" s="1">
        <f>HYPERLINK("http://www.twitter.com/NathanBLawrence/status/997856033040023554", "997856033040023554")</f>
        <v/>
      </c>
      <c r="B457" s="2" t="n">
        <v>43239.62953703704</v>
      </c>
      <c r="C457" t="n">
        <v>0</v>
      </c>
      <c r="D457" t="n">
        <v>3</v>
      </c>
      <c r="E457" t="s">
        <v>468</v>
      </c>
      <c r="F457">
        <f>HYPERLINK("http://pbs.twimg.com/media/DdiZO4LU0AEHJSY.jpg", "http://pbs.twimg.com/media/DdiZO4LU0AEHJSY.jpg")</f>
        <v/>
      </c>
      <c r="G457" t="s"/>
      <c r="H457" t="s"/>
      <c r="I457" t="s"/>
      <c r="J457" t="n">
        <v>0.6705</v>
      </c>
      <c r="K457" t="n">
        <v>0.062</v>
      </c>
      <c r="L457" t="n">
        <v>0.742</v>
      </c>
      <c r="M457" t="n">
        <v>0.196</v>
      </c>
    </row>
    <row r="458" spans="1:13">
      <c r="A458" s="1">
        <f>HYPERLINK("http://www.twitter.com/NathanBLawrence/status/997855909652172808", "997855909652172808")</f>
        <v/>
      </c>
      <c r="B458" s="2" t="n">
        <v>43239.62918981481</v>
      </c>
      <c r="C458" t="n">
        <v>0</v>
      </c>
      <c r="D458" t="n">
        <v>8</v>
      </c>
      <c r="E458" t="s">
        <v>469</v>
      </c>
      <c r="F458" t="s"/>
      <c r="G458" t="s"/>
      <c r="H458" t="s"/>
      <c r="I458" t="s"/>
      <c r="J458" t="n">
        <v>0.3182</v>
      </c>
      <c r="K458" t="n">
        <v>0</v>
      </c>
      <c r="L458" t="n">
        <v>0.909</v>
      </c>
      <c r="M458" t="n">
        <v>0.091</v>
      </c>
    </row>
    <row r="459" spans="1:13">
      <c r="A459" s="1">
        <f>HYPERLINK("http://www.twitter.com/NathanBLawrence/status/997855287737573377", "997855287737573377")</f>
        <v/>
      </c>
      <c r="B459" s="2" t="n">
        <v>43239.62747685185</v>
      </c>
      <c r="C459" t="n">
        <v>0</v>
      </c>
      <c r="D459" t="n">
        <v>4769</v>
      </c>
      <c r="E459" t="s">
        <v>470</v>
      </c>
      <c r="F459" t="s"/>
      <c r="G459" t="s"/>
      <c r="H459" t="s"/>
      <c r="I459" t="s"/>
      <c r="J459" t="n">
        <v>-0.7096</v>
      </c>
      <c r="K459" t="n">
        <v>0.341</v>
      </c>
      <c r="L459" t="n">
        <v>0.5570000000000001</v>
      </c>
      <c r="M459" t="n">
        <v>0.101</v>
      </c>
    </row>
    <row r="460" spans="1:13">
      <c r="A460" s="1">
        <f>HYPERLINK("http://www.twitter.com/NathanBLawrence/status/997855230510460929", "997855230510460929")</f>
        <v/>
      </c>
      <c r="B460" s="2" t="n">
        <v>43239.62731481482</v>
      </c>
      <c r="C460" t="n">
        <v>0</v>
      </c>
      <c r="D460" t="n">
        <v>1406</v>
      </c>
      <c r="E460" t="s">
        <v>471</v>
      </c>
      <c r="F460" t="s"/>
      <c r="G460" t="s"/>
      <c r="H460" t="s"/>
      <c r="I460" t="s"/>
      <c r="J460" t="n">
        <v>-0.5994</v>
      </c>
      <c r="K460" t="n">
        <v>0.178</v>
      </c>
      <c r="L460" t="n">
        <v>0.822</v>
      </c>
      <c r="M460" t="n">
        <v>0</v>
      </c>
    </row>
    <row r="461" spans="1:13">
      <c r="A461" s="1">
        <f>HYPERLINK("http://www.twitter.com/NathanBLawrence/status/997855172918423553", "997855172918423553")</f>
        <v/>
      </c>
      <c r="B461" s="2" t="n">
        <v>43239.62716435185</v>
      </c>
      <c r="C461" t="n">
        <v>0</v>
      </c>
      <c r="D461" t="n">
        <v>30198</v>
      </c>
      <c r="E461" t="s">
        <v>472</v>
      </c>
      <c r="F461" t="s"/>
      <c r="G461" t="s"/>
      <c r="H461" t="s"/>
      <c r="I461" t="s"/>
      <c r="J461" t="n">
        <v>0.765</v>
      </c>
      <c r="K461" t="n">
        <v>0.08699999999999999</v>
      </c>
      <c r="L461" t="n">
        <v>0.629</v>
      </c>
      <c r="M461" t="n">
        <v>0.283</v>
      </c>
    </row>
    <row r="462" spans="1:13">
      <c r="A462" s="1">
        <f>HYPERLINK("http://www.twitter.com/NathanBLawrence/status/997855104941330432", "997855104941330432")</f>
        <v/>
      </c>
      <c r="B462" s="2" t="n">
        <v>43239.62696759259</v>
      </c>
      <c r="C462" t="n">
        <v>0</v>
      </c>
      <c r="D462" t="n">
        <v>2612</v>
      </c>
      <c r="E462" t="s">
        <v>473</v>
      </c>
      <c r="F462">
        <f>HYPERLINK("http://pbs.twimg.com/media/DdaoJLhVMAAPKkr.jpg", "http://pbs.twimg.com/media/DdaoJLhVMAAPKkr.jpg")</f>
        <v/>
      </c>
      <c r="G462" t="s"/>
      <c r="H462" t="s"/>
      <c r="I462" t="s"/>
      <c r="J462" t="n">
        <v>0</v>
      </c>
      <c r="K462" t="n">
        <v>0</v>
      </c>
      <c r="L462" t="n">
        <v>1</v>
      </c>
      <c r="M462" t="n">
        <v>0</v>
      </c>
    </row>
    <row r="463" spans="1:13">
      <c r="A463" s="1">
        <f>HYPERLINK("http://www.twitter.com/NathanBLawrence/status/997855034657341440", "997855034657341440")</f>
        <v/>
      </c>
      <c r="B463" s="2" t="n">
        <v>43239.62678240741</v>
      </c>
      <c r="C463" t="n">
        <v>0</v>
      </c>
      <c r="D463" t="n">
        <v>5120</v>
      </c>
      <c r="E463" t="s">
        <v>474</v>
      </c>
      <c r="F463" t="s"/>
      <c r="G463" t="s"/>
      <c r="H463" t="s"/>
      <c r="I463" t="s"/>
      <c r="J463" t="n">
        <v>0.5994</v>
      </c>
      <c r="K463" t="n">
        <v>0</v>
      </c>
      <c r="L463" t="n">
        <v>0.843</v>
      </c>
      <c r="M463" t="n">
        <v>0.157</v>
      </c>
    </row>
    <row r="464" spans="1:13">
      <c r="A464" s="1">
        <f>HYPERLINK("http://www.twitter.com/NathanBLawrence/status/997854989270835201", "997854989270835201")</f>
        <v/>
      </c>
      <c r="B464" s="2" t="n">
        <v>43239.62665509259</v>
      </c>
      <c r="C464" t="n">
        <v>0</v>
      </c>
      <c r="D464" t="n">
        <v>37871</v>
      </c>
      <c r="E464" t="s">
        <v>475</v>
      </c>
      <c r="F464">
        <f>HYPERLINK("https://video.twimg.com/amplify_video/997254877536337920/vid/1280x720/TSJtH8_nin4tftoO.mp4?tag=2", "https://video.twimg.com/amplify_video/997254877536337920/vid/1280x720/TSJtH8_nin4tftoO.mp4?tag=2")</f>
        <v/>
      </c>
      <c r="G464" t="s"/>
      <c r="H464" t="s"/>
      <c r="I464" t="s"/>
      <c r="J464" t="n">
        <v>0</v>
      </c>
      <c r="K464" t="n">
        <v>0</v>
      </c>
      <c r="L464" t="n">
        <v>1</v>
      </c>
      <c r="M464" t="n">
        <v>0</v>
      </c>
    </row>
    <row r="465" spans="1:13">
      <c r="A465" s="1">
        <f>HYPERLINK("http://www.twitter.com/NathanBLawrence/status/997854912405962753", "997854912405962753")</f>
        <v/>
      </c>
      <c r="B465" s="2" t="n">
        <v>43239.62644675926</v>
      </c>
      <c r="C465" t="n">
        <v>0</v>
      </c>
      <c r="D465" t="n">
        <v>2548</v>
      </c>
      <c r="E465" t="s">
        <v>476</v>
      </c>
      <c r="F465" t="s"/>
      <c r="G465" t="s"/>
      <c r="H465" t="s"/>
      <c r="I465" t="s"/>
      <c r="J465" t="n">
        <v>-0.4215</v>
      </c>
      <c r="K465" t="n">
        <v>0.149</v>
      </c>
      <c r="L465" t="n">
        <v>0.851</v>
      </c>
      <c r="M465" t="n">
        <v>0</v>
      </c>
    </row>
    <row r="466" spans="1:13">
      <c r="A466" s="1">
        <f>HYPERLINK("http://www.twitter.com/NathanBLawrence/status/997854848409272320", "997854848409272320")</f>
        <v/>
      </c>
      <c r="B466" s="2" t="n">
        <v>43239.62626157407</v>
      </c>
      <c r="C466" t="n">
        <v>0</v>
      </c>
      <c r="D466" t="n">
        <v>21456</v>
      </c>
      <c r="E466" t="s">
        <v>477</v>
      </c>
      <c r="F466" t="s"/>
      <c r="G466" t="s"/>
      <c r="H466" t="s"/>
      <c r="I466" t="s"/>
      <c r="J466" t="n">
        <v>0</v>
      </c>
      <c r="K466" t="n">
        <v>0</v>
      </c>
      <c r="L466" t="n">
        <v>1</v>
      </c>
      <c r="M466" t="n">
        <v>0</v>
      </c>
    </row>
    <row r="467" spans="1:13">
      <c r="A467" s="1">
        <f>HYPERLINK("http://www.twitter.com/NathanBLawrence/status/997854798488723456", "997854798488723456")</f>
        <v/>
      </c>
      <c r="B467" s="2" t="n">
        <v>43239.62612268519</v>
      </c>
      <c r="C467" t="n">
        <v>0</v>
      </c>
      <c r="D467" t="n">
        <v>43387</v>
      </c>
      <c r="E467" t="s">
        <v>478</v>
      </c>
      <c r="F467" t="s"/>
      <c r="G467" t="s"/>
      <c r="H467" t="s"/>
      <c r="I467" t="s"/>
      <c r="J467" t="n">
        <v>-0.92</v>
      </c>
      <c r="K467" t="n">
        <v>0.45</v>
      </c>
      <c r="L467" t="n">
        <v>0.55</v>
      </c>
      <c r="M467" t="n">
        <v>0</v>
      </c>
    </row>
    <row r="468" spans="1:13">
      <c r="A468" s="1">
        <f>HYPERLINK("http://www.twitter.com/NathanBLawrence/status/997854714925547525", "997854714925547525")</f>
        <v/>
      </c>
      <c r="B468" s="2" t="n">
        <v>43239.6258912037</v>
      </c>
      <c r="C468" t="n">
        <v>0</v>
      </c>
      <c r="D468" t="n">
        <v>1618</v>
      </c>
      <c r="E468" t="s">
        <v>479</v>
      </c>
      <c r="F468" t="s"/>
      <c r="G468" t="s"/>
      <c r="H468" t="s"/>
      <c r="I468" t="s"/>
      <c r="J468" t="n">
        <v>0</v>
      </c>
      <c r="K468" t="n">
        <v>0</v>
      </c>
      <c r="L468" t="n">
        <v>1</v>
      </c>
      <c r="M468" t="n">
        <v>0</v>
      </c>
    </row>
    <row r="469" spans="1:13">
      <c r="A469" s="1">
        <f>HYPERLINK("http://www.twitter.com/NathanBLawrence/status/997854665755807744", "997854665755807744")</f>
        <v/>
      </c>
      <c r="B469" s="2" t="n">
        <v>43239.62576388889</v>
      </c>
      <c r="C469" t="n">
        <v>0</v>
      </c>
      <c r="D469" t="n">
        <v>27117</v>
      </c>
      <c r="E469" t="s">
        <v>480</v>
      </c>
      <c r="F469" t="s"/>
      <c r="G469" t="s"/>
      <c r="H469" t="s"/>
      <c r="I469" t="s"/>
      <c r="J469" t="n">
        <v>0</v>
      </c>
      <c r="K469" t="n">
        <v>0</v>
      </c>
      <c r="L469" t="n">
        <v>1</v>
      </c>
      <c r="M469" t="n">
        <v>0</v>
      </c>
    </row>
    <row r="470" spans="1:13">
      <c r="A470" s="1">
        <f>HYPERLINK("http://www.twitter.com/NathanBLawrence/status/997854501481664513", "997854501481664513")</f>
        <v/>
      </c>
      <c r="B470" s="2" t="n">
        <v>43239.6253125</v>
      </c>
      <c r="C470" t="n">
        <v>0</v>
      </c>
      <c r="D470" t="n">
        <v>17837</v>
      </c>
      <c r="E470" t="s">
        <v>481</v>
      </c>
      <c r="F470">
        <f>HYPERLINK("https://video.twimg.com/ext_tw_video/997515433052782592/pu/vid/1280x720/kwZGuEmzbU7629sF.mp4?tag=3", "https://video.twimg.com/ext_tw_video/997515433052782592/pu/vid/1280x720/kwZGuEmzbU7629sF.mp4?tag=3")</f>
        <v/>
      </c>
      <c r="G470" t="s"/>
      <c r="H470" t="s"/>
      <c r="I470" t="s"/>
      <c r="J470" t="n">
        <v>-0.8074</v>
      </c>
      <c r="K470" t="n">
        <v>0.414</v>
      </c>
      <c r="L470" t="n">
        <v>0.409</v>
      </c>
      <c r="M470" t="n">
        <v>0.176</v>
      </c>
    </row>
    <row r="471" spans="1:13">
      <c r="A471" s="1">
        <f>HYPERLINK("http://www.twitter.com/NathanBLawrence/status/997854405666975744", "997854405666975744")</f>
        <v/>
      </c>
      <c r="B471" s="2" t="n">
        <v>43239.6250462963</v>
      </c>
      <c r="C471" t="n">
        <v>0</v>
      </c>
      <c r="D471" t="n">
        <v>6238</v>
      </c>
      <c r="E471" t="s">
        <v>482</v>
      </c>
      <c r="F471">
        <f>HYPERLINK("https://video.twimg.com/amplify_video/997569450068103170/vid/1280x720/5WauE9VUnkTf7o86.mp4?tag=2", "https://video.twimg.com/amplify_video/997569450068103170/vid/1280x720/5WauE9VUnkTf7o86.mp4?tag=2")</f>
        <v/>
      </c>
      <c r="G471" t="s"/>
      <c r="H471" t="s"/>
      <c r="I471" t="s"/>
      <c r="J471" t="n">
        <v>-0.4215</v>
      </c>
      <c r="K471" t="n">
        <v>0.188</v>
      </c>
      <c r="L471" t="n">
        <v>0.719</v>
      </c>
      <c r="M471" t="n">
        <v>0.092</v>
      </c>
    </row>
    <row r="472" spans="1:13">
      <c r="A472" s="1">
        <f>HYPERLINK("http://www.twitter.com/NathanBLawrence/status/997854190813810688", "997854190813810688")</f>
        <v/>
      </c>
      <c r="B472" s="2" t="n">
        <v>43239.62444444445</v>
      </c>
      <c r="C472" t="n">
        <v>0</v>
      </c>
      <c r="D472" t="n">
        <v>5</v>
      </c>
      <c r="E472" t="s">
        <v>483</v>
      </c>
      <c r="F472" t="s"/>
      <c r="G472" t="s"/>
      <c r="H472" t="s"/>
      <c r="I472" t="s"/>
      <c r="J472" t="n">
        <v>0.3724</v>
      </c>
      <c r="K472" t="n">
        <v>0</v>
      </c>
      <c r="L472" t="n">
        <v>0.876</v>
      </c>
      <c r="M472" t="n">
        <v>0.124</v>
      </c>
    </row>
    <row r="473" spans="1:13">
      <c r="A473" s="1">
        <f>HYPERLINK("http://www.twitter.com/NathanBLawrence/status/997853293438230528", "997853293438230528")</f>
        <v/>
      </c>
      <c r="B473" s="2" t="n">
        <v>43239.62197916667</v>
      </c>
      <c r="C473" t="n">
        <v>0</v>
      </c>
      <c r="D473" t="n">
        <v>1157</v>
      </c>
      <c r="E473" t="s">
        <v>484</v>
      </c>
      <c r="F473">
        <f>HYPERLINK("https://video.twimg.com/amplify_video/996339454540439552/vid/1280x720/1U6P1PzGgwOiYCC-.mp4?tag=2", "https://video.twimg.com/amplify_video/996339454540439552/vid/1280x720/1U6P1PzGgwOiYCC-.mp4?tag=2")</f>
        <v/>
      </c>
      <c r="G473" t="s"/>
      <c r="H473" t="s"/>
      <c r="I473" t="s"/>
      <c r="J473" t="n">
        <v>0.3818</v>
      </c>
      <c r="K473" t="n">
        <v>0</v>
      </c>
      <c r="L473" t="n">
        <v>0.885</v>
      </c>
      <c r="M473" t="n">
        <v>0.115</v>
      </c>
    </row>
    <row r="474" spans="1:13">
      <c r="A474" s="1">
        <f>HYPERLINK("http://www.twitter.com/NathanBLawrence/status/997853264015130624", "997853264015130624")</f>
        <v/>
      </c>
      <c r="B474" s="2" t="n">
        <v>43239.62189814815</v>
      </c>
      <c r="C474" t="n">
        <v>0</v>
      </c>
      <c r="D474" t="n">
        <v>1008</v>
      </c>
      <c r="E474" t="s">
        <v>485</v>
      </c>
      <c r="F474">
        <f>HYPERLINK("http://pbs.twimg.com/media/DdPDYAaXUAAcgDW.jpg", "http://pbs.twimg.com/media/DdPDYAaXUAAcgDW.jpg")</f>
        <v/>
      </c>
      <c r="G474" t="s"/>
      <c r="H474" t="s"/>
      <c r="I474" t="s"/>
      <c r="J474" t="n">
        <v>-0.4215</v>
      </c>
      <c r="K474" t="n">
        <v>0.141</v>
      </c>
      <c r="L474" t="n">
        <v>0.859</v>
      </c>
      <c r="M474" t="n">
        <v>0</v>
      </c>
    </row>
    <row r="475" spans="1:13">
      <c r="A475" s="1">
        <f>HYPERLINK("http://www.twitter.com/NathanBLawrence/status/997853155097481216", "997853155097481216")</f>
        <v/>
      </c>
      <c r="B475" s="2" t="n">
        <v>43239.62159722222</v>
      </c>
      <c r="C475" t="n">
        <v>0</v>
      </c>
      <c r="D475" t="n">
        <v>300</v>
      </c>
      <c r="E475" t="s">
        <v>486</v>
      </c>
      <c r="F475" t="s"/>
      <c r="G475" t="s"/>
      <c r="H475" t="s"/>
      <c r="I475" t="s"/>
      <c r="J475" t="n">
        <v>0.6696</v>
      </c>
      <c r="K475" t="n">
        <v>0</v>
      </c>
      <c r="L475" t="n">
        <v>0.728</v>
      </c>
      <c r="M475" t="n">
        <v>0.272</v>
      </c>
    </row>
    <row r="476" spans="1:13">
      <c r="A476" s="1">
        <f>HYPERLINK("http://www.twitter.com/NathanBLawrence/status/997853101452382210", "997853101452382210")</f>
        <v/>
      </c>
      <c r="B476" s="2" t="n">
        <v>43239.62144675926</v>
      </c>
      <c r="C476" t="n">
        <v>0</v>
      </c>
      <c r="D476" t="n">
        <v>0</v>
      </c>
      <c r="E476" t="s">
        <v>487</v>
      </c>
      <c r="F476" t="s"/>
      <c r="G476" t="s"/>
      <c r="H476" t="s"/>
      <c r="I476" t="s"/>
      <c r="J476" t="n">
        <v>0</v>
      </c>
      <c r="K476" t="n">
        <v>0</v>
      </c>
      <c r="L476" t="n">
        <v>1</v>
      </c>
      <c r="M476" t="n">
        <v>0</v>
      </c>
    </row>
    <row r="477" spans="1:13">
      <c r="A477" s="1">
        <f>HYPERLINK("http://www.twitter.com/NathanBLawrence/status/997852964013400064", "997852964013400064")</f>
        <v/>
      </c>
      <c r="B477" s="2" t="n">
        <v>43239.62106481481</v>
      </c>
      <c r="C477" t="n">
        <v>0</v>
      </c>
      <c r="D477" t="n">
        <v>481</v>
      </c>
      <c r="E477" t="s">
        <v>488</v>
      </c>
      <c r="F477" t="s"/>
      <c r="G477" t="s"/>
      <c r="H477" t="s"/>
      <c r="I477" t="s"/>
      <c r="J477" t="n">
        <v>0.6114000000000001</v>
      </c>
      <c r="K477" t="n">
        <v>0</v>
      </c>
      <c r="L477" t="n">
        <v>0.667</v>
      </c>
      <c r="M477" t="n">
        <v>0.333</v>
      </c>
    </row>
    <row r="478" spans="1:13">
      <c r="A478" s="1">
        <f>HYPERLINK("http://www.twitter.com/NathanBLawrence/status/997852937920671744", "997852937920671744")</f>
        <v/>
      </c>
      <c r="B478" s="2" t="n">
        <v>43239.62099537037</v>
      </c>
      <c r="C478" t="n">
        <v>0</v>
      </c>
      <c r="D478" t="n">
        <v>435</v>
      </c>
      <c r="E478" t="s">
        <v>489</v>
      </c>
      <c r="F478">
        <f>HYPERLINK("https://video.twimg.com/ext_tw_video/996490360439291904/pu/vid/1280x720/uC51gaiTGVLK0MK7.mp4?tag=3", "https://video.twimg.com/ext_tw_video/996490360439291904/pu/vid/1280x720/uC51gaiTGVLK0MK7.mp4?tag=3")</f>
        <v/>
      </c>
      <c r="G478" t="s"/>
      <c r="H478" t="s"/>
      <c r="I478" t="s"/>
      <c r="J478" t="n">
        <v>-0.3164</v>
      </c>
      <c r="K478" t="n">
        <v>0.223</v>
      </c>
      <c r="L478" t="n">
        <v>0.777</v>
      </c>
      <c r="M478" t="n">
        <v>0</v>
      </c>
    </row>
    <row r="479" spans="1:13">
      <c r="A479" s="1">
        <f>HYPERLINK("http://www.twitter.com/NathanBLawrence/status/997852896912904192", "997852896912904192")</f>
        <v/>
      </c>
      <c r="B479" s="2" t="n">
        <v>43239.62087962963</v>
      </c>
      <c r="C479" t="n">
        <v>0</v>
      </c>
      <c r="D479" t="n">
        <v>924</v>
      </c>
      <c r="E479" t="s">
        <v>490</v>
      </c>
      <c r="F479" t="s"/>
      <c r="G479" t="s"/>
      <c r="H479" t="s"/>
      <c r="I479" t="s"/>
      <c r="J479" t="n">
        <v>-0.5266999999999999</v>
      </c>
      <c r="K479" t="n">
        <v>0.137</v>
      </c>
      <c r="L479" t="n">
        <v>0.8149999999999999</v>
      </c>
      <c r="M479" t="n">
        <v>0.048</v>
      </c>
    </row>
    <row r="480" spans="1:13">
      <c r="A480" s="1">
        <f>HYPERLINK("http://www.twitter.com/NathanBLawrence/status/997852783901642752", "997852783901642752")</f>
        <v/>
      </c>
      <c r="B480" s="2" t="n">
        <v>43239.62056712963</v>
      </c>
      <c r="C480" t="n">
        <v>0</v>
      </c>
      <c r="D480" t="n">
        <v>247</v>
      </c>
      <c r="E480" t="s">
        <v>491</v>
      </c>
      <c r="F480">
        <f>HYPERLINK("http://pbs.twimg.com/media/DdTEbf6VAAA5T-m.jpg", "http://pbs.twimg.com/media/DdTEbf6VAAA5T-m.jpg")</f>
        <v/>
      </c>
      <c r="G480" t="s"/>
      <c r="H480" t="s"/>
      <c r="I480" t="s"/>
      <c r="J480" t="n">
        <v>0</v>
      </c>
      <c r="K480" t="n">
        <v>0</v>
      </c>
      <c r="L480" t="n">
        <v>1</v>
      </c>
      <c r="M480" t="n">
        <v>0</v>
      </c>
    </row>
    <row r="481" spans="1:13">
      <c r="A481" s="1">
        <f>HYPERLINK("http://www.twitter.com/NathanBLawrence/status/997852706483134465", "997852706483134465")</f>
        <v/>
      </c>
      <c r="B481" s="2" t="n">
        <v>43239.6203587963</v>
      </c>
      <c r="C481" t="n">
        <v>0</v>
      </c>
      <c r="D481" t="n">
        <v>1061</v>
      </c>
      <c r="E481" t="s">
        <v>492</v>
      </c>
      <c r="F481">
        <f>HYPERLINK("http://pbs.twimg.com/media/DdUacKAXcAAcJGu.jpg", "http://pbs.twimg.com/media/DdUacKAXcAAcJGu.jpg")</f>
        <v/>
      </c>
      <c r="G481" t="s"/>
      <c r="H481" t="s"/>
      <c r="I481" t="s"/>
      <c r="J481" t="n">
        <v>0.5423</v>
      </c>
      <c r="K481" t="n">
        <v>0</v>
      </c>
      <c r="L481" t="n">
        <v>0.8</v>
      </c>
      <c r="M481" t="n">
        <v>0.2</v>
      </c>
    </row>
    <row r="482" spans="1:13">
      <c r="A482" s="1">
        <f>HYPERLINK("http://www.twitter.com/NathanBLawrence/status/997851911037571072", "997851911037571072")</f>
        <v/>
      </c>
      <c r="B482" s="2" t="n">
        <v>43239.61815972222</v>
      </c>
      <c r="C482" t="n">
        <v>0</v>
      </c>
      <c r="D482" t="n">
        <v>207</v>
      </c>
      <c r="E482" t="s">
        <v>493</v>
      </c>
      <c r="F482" t="s"/>
      <c r="G482" t="s"/>
      <c r="H482" t="s"/>
      <c r="I482" t="s"/>
      <c r="J482" t="n">
        <v>0.4199</v>
      </c>
      <c r="K482" t="n">
        <v>0</v>
      </c>
      <c r="L482" t="n">
        <v>0.896</v>
      </c>
      <c r="M482" t="n">
        <v>0.104</v>
      </c>
    </row>
    <row r="483" spans="1:13">
      <c r="A483" s="1">
        <f>HYPERLINK("http://www.twitter.com/NathanBLawrence/status/997851858197721089", "997851858197721089")</f>
        <v/>
      </c>
      <c r="B483" s="2" t="n">
        <v>43239.61800925926</v>
      </c>
      <c r="C483" t="n">
        <v>0</v>
      </c>
      <c r="D483" t="n">
        <v>1388</v>
      </c>
      <c r="E483" t="s">
        <v>494</v>
      </c>
      <c r="F483" t="s"/>
      <c r="G483" t="s"/>
      <c r="H483" t="s"/>
      <c r="I483" t="s"/>
      <c r="J483" t="n">
        <v>-0.2924</v>
      </c>
      <c r="K483" t="n">
        <v>0.103</v>
      </c>
      <c r="L483" t="n">
        <v>0.897</v>
      </c>
      <c r="M483" t="n">
        <v>0</v>
      </c>
    </row>
    <row r="484" spans="1:13">
      <c r="A484" s="1">
        <f>HYPERLINK("http://www.twitter.com/NathanBLawrence/status/997851819396272129", "997851819396272129")</f>
        <v/>
      </c>
      <c r="B484" s="2" t="n">
        <v>43239.61790509259</v>
      </c>
      <c r="C484" t="n">
        <v>0</v>
      </c>
      <c r="D484" t="n">
        <v>450</v>
      </c>
      <c r="E484" t="s">
        <v>495</v>
      </c>
      <c r="F484">
        <f>HYPERLINK("http://pbs.twimg.com/media/DdVORlMVwAEvlGU.jpg", "http://pbs.twimg.com/media/DdVORlMVwAEvlGU.jpg")</f>
        <v/>
      </c>
      <c r="G484" t="s"/>
      <c r="H484" t="s"/>
      <c r="I484" t="s"/>
      <c r="J484" t="n">
        <v>0</v>
      </c>
      <c r="K484" t="n">
        <v>0</v>
      </c>
      <c r="L484" t="n">
        <v>1</v>
      </c>
      <c r="M484" t="n">
        <v>0</v>
      </c>
    </row>
    <row r="485" spans="1:13">
      <c r="A485" s="1">
        <f>HYPERLINK("http://www.twitter.com/NathanBLawrence/status/997851781840465921", "997851781840465921")</f>
        <v/>
      </c>
      <c r="B485" s="2" t="n">
        <v>43239.61780092592</v>
      </c>
      <c r="C485" t="n">
        <v>0</v>
      </c>
      <c r="D485" t="n">
        <v>79</v>
      </c>
      <c r="E485" t="s">
        <v>496</v>
      </c>
      <c r="F485" t="s"/>
      <c r="G485" t="s"/>
      <c r="H485" t="s"/>
      <c r="I485" t="s"/>
      <c r="J485" t="n">
        <v>0</v>
      </c>
      <c r="K485" t="n">
        <v>0</v>
      </c>
      <c r="L485" t="n">
        <v>1</v>
      </c>
      <c r="M485" t="n">
        <v>0</v>
      </c>
    </row>
    <row r="486" spans="1:13">
      <c r="A486" s="1">
        <f>HYPERLINK("http://www.twitter.com/NathanBLawrence/status/997851748290228224", "997851748290228224")</f>
        <v/>
      </c>
      <c r="B486" s="2" t="n">
        <v>43239.61770833333</v>
      </c>
      <c r="C486" t="n">
        <v>0</v>
      </c>
      <c r="D486" t="n">
        <v>502</v>
      </c>
      <c r="E486" t="s">
        <v>497</v>
      </c>
      <c r="F486" t="s"/>
      <c r="G486" t="s"/>
      <c r="H486" t="s"/>
      <c r="I486" t="s"/>
      <c r="J486" t="n">
        <v>-0.5411</v>
      </c>
      <c r="K486" t="n">
        <v>0.262</v>
      </c>
      <c r="L486" t="n">
        <v>0.634</v>
      </c>
      <c r="M486" t="n">
        <v>0.104</v>
      </c>
    </row>
    <row r="487" spans="1:13">
      <c r="A487" s="1">
        <f>HYPERLINK("http://www.twitter.com/NathanBLawrence/status/997851717071929344", "997851717071929344")</f>
        <v/>
      </c>
      <c r="B487" s="2" t="n">
        <v>43239.61762731482</v>
      </c>
      <c r="C487" t="n">
        <v>0</v>
      </c>
      <c r="D487" t="n">
        <v>1255</v>
      </c>
      <c r="E487" t="s">
        <v>498</v>
      </c>
      <c r="F487" t="s"/>
      <c r="G487" t="s"/>
      <c r="H487" t="s"/>
      <c r="I487" t="s"/>
      <c r="J487" t="n">
        <v>0.4912</v>
      </c>
      <c r="K487" t="n">
        <v>0</v>
      </c>
      <c r="L487" t="n">
        <v>0.85</v>
      </c>
      <c r="M487" t="n">
        <v>0.15</v>
      </c>
    </row>
    <row r="488" spans="1:13">
      <c r="A488" s="1">
        <f>HYPERLINK("http://www.twitter.com/NathanBLawrence/status/997851657714241536", "997851657714241536")</f>
        <v/>
      </c>
      <c r="B488" s="2" t="n">
        <v>43239.61746527778</v>
      </c>
      <c r="C488" t="n">
        <v>0</v>
      </c>
      <c r="D488" t="n">
        <v>48</v>
      </c>
      <c r="E488" t="s">
        <v>499</v>
      </c>
      <c r="F488" t="s"/>
      <c r="G488" t="s"/>
      <c r="H488" t="s"/>
      <c r="I488" t="s"/>
      <c r="J488" t="n">
        <v>0.7494</v>
      </c>
      <c r="K488" t="n">
        <v>0</v>
      </c>
      <c r="L488" t="n">
        <v>0.653</v>
      </c>
      <c r="M488" t="n">
        <v>0.347</v>
      </c>
    </row>
    <row r="489" spans="1:13">
      <c r="A489" s="1">
        <f>HYPERLINK("http://www.twitter.com/NathanBLawrence/status/997851599258243078", "997851599258243078")</f>
        <v/>
      </c>
      <c r="B489" s="2" t="n">
        <v>43239.61730324074</v>
      </c>
      <c r="C489" t="n">
        <v>0</v>
      </c>
      <c r="D489" t="n">
        <v>288</v>
      </c>
      <c r="E489" t="s">
        <v>500</v>
      </c>
      <c r="F489">
        <f>HYPERLINK("http://pbs.twimg.com/media/DdbB7-AUQAAqvox.jpg", "http://pbs.twimg.com/media/DdbB7-AUQAAqvox.jpg")</f>
        <v/>
      </c>
      <c r="G489" t="s"/>
      <c r="H489" t="s"/>
      <c r="I489" t="s"/>
      <c r="J489" t="n">
        <v>0.6114000000000001</v>
      </c>
      <c r="K489" t="n">
        <v>0</v>
      </c>
      <c r="L489" t="n">
        <v>0.79</v>
      </c>
      <c r="M489" t="n">
        <v>0.21</v>
      </c>
    </row>
    <row r="490" spans="1:13">
      <c r="A490" s="1">
        <f>HYPERLINK("http://www.twitter.com/NathanBLawrence/status/997851563510157312", "997851563510157312")</f>
        <v/>
      </c>
      <c r="B490" s="2" t="n">
        <v>43239.61719907408</v>
      </c>
      <c r="C490" t="n">
        <v>0</v>
      </c>
      <c r="D490" t="n">
        <v>2034</v>
      </c>
      <c r="E490" t="s">
        <v>501</v>
      </c>
      <c r="F490" t="s"/>
      <c r="G490" t="s"/>
      <c r="H490" t="s"/>
      <c r="I490" t="s"/>
      <c r="J490" t="n">
        <v>-0.5255</v>
      </c>
      <c r="K490" t="n">
        <v>0.274</v>
      </c>
      <c r="L490" t="n">
        <v>0.726</v>
      </c>
      <c r="M490" t="n">
        <v>0</v>
      </c>
    </row>
    <row r="491" spans="1:13">
      <c r="A491" s="1">
        <f>HYPERLINK("http://www.twitter.com/NathanBLawrence/status/997851455989133313", "997851455989133313")</f>
        <v/>
      </c>
      <c r="B491" s="2" t="n">
        <v>43239.61689814815</v>
      </c>
      <c r="C491" t="n">
        <v>0</v>
      </c>
      <c r="D491" t="n">
        <v>471</v>
      </c>
      <c r="E491" t="s">
        <v>502</v>
      </c>
      <c r="F491" t="s"/>
      <c r="G491" t="s"/>
      <c r="H491" t="s"/>
      <c r="I491" t="s"/>
      <c r="J491" t="n">
        <v>-0.489</v>
      </c>
      <c r="K491" t="n">
        <v>0.29</v>
      </c>
      <c r="L491" t="n">
        <v>0.582</v>
      </c>
      <c r="M491" t="n">
        <v>0.128</v>
      </c>
    </row>
    <row r="492" spans="1:13">
      <c r="A492" s="1">
        <f>HYPERLINK("http://www.twitter.com/NathanBLawrence/status/997851400397877251", "997851400397877251")</f>
        <v/>
      </c>
      <c r="B492" s="2" t="n">
        <v>43239.61674768518</v>
      </c>
      <c r="C492" t="n">
        <v>0</v>
      </c>
      <c r="D492" t="n">
        <v>0</v>
      </c>
      <c r="E492" t="s">
        <v>503</v>
      </c>
      <c r="F492" t="s"/>
      <c r="G492" t="s"/>
      <c r="H492" t="s"/>
      <c r="I492" t="s"/>
      <c r="J492" t="n">
        <v>-0.6892</v>
      </c>
      <c r="K492" t="n">
        <v>0.304</v>
      </c>
      <c r="L492" t="n">
        <v>0.696</v>
      </c>
      <c r="M492" t="n">
        <v>0</v>
      </c>
    </row>
    <row r="493" spans="1:13">
      <c r="A493" s="1">
        <f>HYPERLINK("http://www.twitter.com/NathanBLawrence/status/997850672908394497", "997850672908394497")</f>
        <v/>
      </c>
      <c r="B493" s="2" t="n">
        <v>43239.61474537037</v>
      </c>
      <c r="C493" t="n">
        <v>0</v>
      </c>
      <c r="D493" t="n">
        <v>637</v>
      </c>
      <c r="E493" t="s">
        <v>504</v>
      </c>
      <c r="F493" t="s"/>
      <c r="G493" t="s"/>
      <c r="H493" t="s"/>
      <c r="I493" t="s"/>
      <c r="J493" t="n">
        <v>0.7177</v>
      </c>
      <c r="K493" t="n">
        <v>0.099</v>
      </c>
      <c r="L493" t="n">
        <v>0.609</v>
      </c>
      <c r="M493" t="n">
        <v>0.291</v>
      </c>
    </row>
    <row r="494" spans="1:13">
      <c r="A494" s="1">
        <f>HYPERLINK("http://www.twitter.com/NathanBLawrence/status/997850621737865217", "997850621737865217")</f>
        <v/>
      </c>
      <c r="B494" s="2" t="n">
        <v>43239.61460648148</v>
      </c>
      <c r="C494" t="n">
        <v>0</v>
      </c>
      <c r="D494" t="n">
        <v>145</v>
      </c>
      <c r="E494" t="s">
        <v>505</v>
      </c>
      <c r="F494" t="s"/>
      <c r="G494" t="s"/>
      <c r="H494" t="s"/>
      <c r="I494" t="s"/>
      <c r="J494" t="n">
        <v>0.4767</v>
      </c>
      <c r="K494" t="n">
        <v>0</v>
      </c>
      <c r="L494" t="n">
        <v>0.838</v>
      </c>
      <c r="M494" t="n">
        <v>0.162</v>
      </c>
    </row>
    <row r="495" spans="1:13">
      <c r="A495" s="1">
        <f>HYPERLINK("http://www.twitter.com/NathanBLawrence/status/997850521984696320", "997850521984696320")</f>
        <v/>
      </c>
      <c r="B495" s="2" t="n">
        <v>43239.6143287037</v>
      </c>
      <c r="C495" t="n">
        <v>0</v>
      </c>
      <c r="D495" t="n">
        <v>4472</v>
      </c>
      <c r="E495" t="s">
        <v>506</v>
      </c>
      <c r="F495" t="s"/>
      <c r="G495" t="s"/>
      <c r="H495" t="s"/>
      <c r="I495" t="s"/>
      <c r="J495" t="n">
        <v>-0.5093</v>
      </c>
      <c r="K495" t="n">
        <v>0.151</v>
      </c>
      <c r="L495" t="n">
        <v>0.772</v>
      </c>
      <c r="M495" t="n">
        <v>0.077</v>
      </c>
    </row>
    <row r="496" spans="1:13">
      <c r="A496" s="1">
        <f>HYPERLINK("http://www.twitter.com/NathanBLawrence/status/997850177561137157", "997850177561137157")</f>
        <v/>
      </c>
      <c r="B496" s="2" t="n">
        <v>43239.61337962963</v>
      </c>
      <c r="C496" t="n">
        <v>0</v>
      </c>
      <c r="D496" t="n">
        <v>1852</v>
      </c>
      <c r="E496" t="s">
        <v>507</v>
      </c>
      <c r="F496" t="s"/>
      <c r="G496" t="s"/>
      <c r="H496" t="s"/>
      <c r="I496" t="s"/>
      <c r="J496" t="n">
        <v>-0.8551</v>
      </c>
      <c r="K496" t="n">
        <v>0.309</v>
      </c>
      <c r="L496" t="n">
        <v>0.6909999999999999</v>
      </c>
      <c r="M496" t="n">
        <v>0</v>
      </c>
    </row>
    <row r="497" spans="1:13">
      <c r="A497" s="1">
        <f>HYPERLINK("http://www.twitter.com/NathanBLawrence/status/997850047554433024", "997850047554433024")</f>
        <v/>
      </c>
      <c r="B497" s="2" t="n">
        <v>43239.61302083333</v>
      </c>
      <c r="C497" t="n">
        <v>0</v>
      </c>
      <c r="D497" t="n">
        <v>1380</v>
      </c>
      <c r="E497" t="s">
        <v>508</v>
      </c>
      <c r="F497" t="s"/>
      <c r="G497" t="s"/>
      <c r="H497" t="s"/>
      <c r="I497" t="s"/>
      <c r="J497" t="n">
        <v>0.6705</v>
      </c>
      <c r="K497" t="n">
        <v>0</v>
      </c>
      <c r="L497" t="n">
        <v>0.776</v>
      </c>
      <c r="M497" t="n">
        <v>0.224</v>
      </c>
    </row>
    <row r="498" spans="1:13">
      <c r="A498" s="1">
        <f>HYPERLINK("http://www.twitter.com/NathanBLawrence/status/997849989710843904", "997849989710843904")</f>
        <v/>
      </c>
      <c r="B498" s="2" t="n">
        <v>43239.6128587963</v>
      </c>
      <c r="C498" t="n">
        <v>0</v>
      </c>
      <c r="D498" t="n">
        <v>74</v>
      </c>
      <c r="E498" t="s">
        <v>509</v>
      </c>
      <c r="F498" t="s"/>
      <c r="G498" t="s"/>
      <c r="H498" t="s"/>
      <c r="I498" t="s"/>
      <c r="J498" t="n">
        <v>0.9423</v>
      </c>
      <c r="K498" t="n">
        <v>0</v>
      </c>
      <c r="L498" t="n">
        <v>0.531</v>
      </c>
      <c r="M498" t="n">
        <v>0.469</v>
      </c>
    </row>
    <row r="499" spans="1:13">
      <c r="A499" s="1">
        <f>HYPERLINK("http://www.twitter.com/NathanBLawrence/status/997849307016581120", "997849307016581120")</f>
        <v/>
      </c>
      <c r="B499" s="2" t="n">
        <v>43239.61097222222</v>
      </c>
      <c r="C499" t="n">
        <v>0</v>
      </c>
      <c r="D499" t="n">
        <v>1</v>
      </c>
      <c r="E499" t="s">
        <v>510</v>
      </c>
      <c r="F499" t="s"/>
      <c r="G499" t="s"/>
      <c r="H499" t="s"/>
      <c r="I499" t="s"/>
      <c r="J499" t="n">
        <v>0</v>
      </c>
      <c r="K499" t="n">
        <v>0</v>
      </c>
      <c r="L499" t="n">
        <v>1</v>
      </c>
      <c r="M499" t="n">
        <v>0</v>
      </c>
    </row>
    <row r="500" spans="1:13">
      <c r="A500" s="1">
        <f>HYPERLINK("http://www.twitter.com/NathanBLawrence/status/997849246186557444", "997849246186557444")</f>
        <v/>
      </c>
      <c r="B500" s="2" t="n">
        <v>43239.61081018519</v>
      </c>
      <c r="C500" t="n">
        <v>0</v>
      </c>
      <c r="D500" t="n">
        <v>1</v>
      </c>
      <c r="E500" t="s">
        <v>511</v>
      </c>
      <c r="F500" t="s"/>
      <c r="G500" t="s"/>
      <c r="H500" t="s"/>
      <c r="I500" t="s"/>
      <c r="J500" t="n">
        <v>-0.1705</v>
      </c>
      <c r="K500" t="n">
        <v>0.123</v>
      </c>
      <c r="L500" t="n">
        <v>0.877</v>
      </c>
      <c r="M500" t="n">
        <v>0</v>
      </c>
    </row>
    <row r="501" spans="1:13">
      <c r="A501" s="1">
        <f>HYPERLINK("http://www.twitter.com/NathanBLawrence/status/997849049750491141", "997849049750491141")</f>
        <v/>
      </c>
      <c r="B501" s="2" t="n">
        <v>43239.6102662037</v>
      </c>
      <c r="C501" t="n">
        <v>0</v>
      </c>
      <c r="D501" t="n">
        <v>2</v>
      </c>
      <c r="E501" t="s">
        <v>512</v>
      </c>
      <c r="F501" t="s"/>
      <c r="G501" t="s"/>
      <c r="H501" t="s"/>
      <c r="I501" t="s"/>
      <c r="J501" t="n">
        <v>-0.6015</v>
      </c>
      <c r="K501" t="n">
        <v>0.27</v>
      </c>
      <c r="L501" t="n">
        <v>0.73</v>
      </c>
      <c r="M501" t="n">
        <v>0</v>
      </c>
    </row>
    <row r="502" spans="1:13">
      <c r="A502" s="1">
        <f>HYPERLINK("http://www.twitter.com/NathanBLawrence/status/997848451856719873", "997848451856719873")</f>
        <v/>
      </c>
      <c r="B502" s="2" t="n">
        <v>43239.60861111111</v>
      </c>
      <c r="C502" t="n">
        <v>0</v>
      </c>
      <c r="D502" t="n">
        <v>1</v>
      </c>
      <c r="E502" t="s">
        <v>513</v>
      </c>
      <c r="F502" t="s"/>
      <c r="G502" t="s"/>
      <c r="H502" t="s"/>
      <c r="I502" t="s"/>
      <c r="J502" t="n">
        <v>0</v>
      </c>
      <c r="K502" t="n">
        <v>0</v>
      </c>
      <c r="L502" t="n">
        <v>1</v>
      </c>
      <c r="M502" t="n">
        <v>0</v>
      </c>
    </row>
    <row r="503" spans="1:13">
      <c r="A503" s="1">
        <f>HYPERLINK("http://www.twitter.com/NathanBLawrence/status/997848389600587777", "997848389600587777")</f>
        <v/>
      </c>
      <c r="B503" s="2" t="n">
        <v>43239.6084375</v>
      </c>
      <c r="C503" t="n">
        <v>0</v>
      </c>
      <c r="D503" t="n">
        <v>1</v>
      </c>
      <c r="E503" t="s">
        <v>514</v>
      </c>
      <c r="F503" t="s"/>
      <c r="G503" t="s"/>
      <c r="H503" t="s"/>
      <c r="I503" t="s"/>
      <c r="J503" t="n">
        <v>0.4215</v>
      </c>
      <c r="K503" t="n">
        <v>0</v>
      </c>
      <c r="L503" t="n">
        <v>0.887</v>
      </c>
      <c r="M503" t="n">
        <v>0.113</v>
      </c>
    </row>
    <row r="504" spans="1:13">
      <c r="A504" s="1">
        <f>HYPERLINK("http://www.twitter.com/NathanBLawrence/status/997848363734364161", "997848363734364161")</f>
        <v/>
      </c>
      <c r="B504" s="2" t="n">
        <v>43239.60836805555</v>
      </c>
      <c r="C504" t="n">
        <v>0</v>
      </c>
      <c r="D504" t="n">
        <v>3</v>
      </c>
      <c r="E504" t="s">
        <v>515</v>
      </c>
      <c r="F504" t="s"/>
      <c r="G504" t="s"/>
      <c r="H504" t="s"/>
      <c r="I504" t="s"/>
      <c r="J504" t="n">
        <v>0.2732</v>
      </c>
      <c r="K504" t="n">
        <v>0</v>
      </c>
      <c r="L504" t="n">
        <v>0.826</v>
      </c>
      <c r="M504" t="n">
        <v>0.174</v>
      </c>
    </row>
    <row r="505" spans="1:13">
      <c r="A505" s="1">
        <f>HYPERLINK("http://www.twitter.com/NathanBLawrence/status/997848304804417536", "997848304804417536")</f>
        <v/>
      </c>
      <c r="B505" s="2" t="n">
        <v>43239.60820601852</v>
      </c>
      <c r="C505" t="n">
        <v>0</v>
      </c>
      <c r="D505" t="n">
        <v>2</v>
      </c>
      <c r="E505" t="s">
        <v>516</v>
      </c>
      <c r="F505" t="s"/>
      <c r="G505" t="s"/>
      <c r="H505" t="s"/>
      <c r="I505" t="s"/>
      <c r="J505" t="n">
        <v>0</v>
      </c>
      <c r="K505" t="n">
        <v>0</v>
      </c>
      <c r="L505" t="n">
        <v>1</v>
      </c>
      <c r="M505" t="n">
        <v>0</v>
      </c>
    </row>
    <row r="506" spans="1:13">
      <c r="A506" s="1">
        <f>HYPERLINK("http://www.twitter.com/NathanBLawrence/status/997848147207520257", "997848147207520257")</f>
        <v/>
      </c>
      <c r="B506" s="2" t="n">
        <v>43239.60777777778</v>
      </c>
      <c r="C506" t="n">
        <v>0</v>
      </c>
      <c r="D506" t="n">
        <v>1</v>
      </c>
      <c r="E506" t="s">
        <v>517</v>
      </c>
      <c r="F506" t="s"/>
      <c r="G506" t="s"/>
      <c r="H506" t="s"/>
      <c r="I506" t="s"/>
      <c r="J506" t="n">
        <v>0.8531</v>
      </c>
      <c r="K506" t="n">
        <v>0</v>
      </c>
      <c r="L506" t="n">
        <v>0.49</v>
      </c>
      <c r="M506" t="n">
        <v>0.51</v>
      </c>
    </row>
    <row r="507" spans="1:13">
      <c r="A507" s="1">
        <f>HYPERLINK("http://www.twitter.com/NathanBLawrence/status/997847978680479744", "997847978680479744")</f>
        <v/>
      </c>
      <c r="B507" s="2" t="n">
        <v>43239.60730324074</v>
      </c>
      <c r="C507" t="n">
        <v>0</v>
      </c>
      <c r="D507" t="n">
        <v>2</v>
      </c>
      <c r="E507" t="s">
        <v>518</v>
      </c>
      <c r="F507" t="s"/>
      <c r="G507" t="s"/>
      <c r="H507" t="s"/>
      <c r="I507" t="s"/>
      <c r="J507" t="n">
        <v>-0.4939</v>
      </c>
      <c r="K507" t="n">
        <v>0.304</v>
      </c>
      <c r="L507" t="n">
        <v>0.541</v>
      </c>
      <c r="M507" t="n">
        <v>0.155</v>
      </c>
    </row>
    <row r="508" spans="1:13">
      <c r="A508" s="1">
        <f>HYPERLINK("http://www.twitter.com/NathanBLawrence/status/997847948410179585", "997847948410179585")</f>
        <v/>
      </c>
      <c r="B508" s="2" t="n">
        <v>43239.60722222222</v>
      </c>
      <c r="C508" t="n">
        <v>0</v>
      </c>
      <c r="D508" t="n">
        <v>3</v>
      </c>
      <c r="E508" t="s">
        <v>519</v>
      </c>
      <c r="F508" t="s"/>
      <c r="G508" t="s"/>
      <c r="H508" t="s"/>
      <c r="I508" t="s"/>
      <c r="J508" t="n">
        <v>0</v>
      </c>
      <c r="K508" t="n">
        <v>0</v>
      </c>
      <c r="L508" t="n">
        <v>1</v>
      </c>
      <c r="M508" t="n">
        <v>0</v>
      </c>
    </row>
    <row r="509" spans="1:13">
      <c r="A509" s="1">
        <f>HYPERLINK("http://www.twitter.com/NathanBLawrence/status/997847828922847232", "997847828922847232")</f>
        <v/>
      </c>
      <c r="B509" s="2" t="n">
        <v>43239.60689814815</v>
      </c>
      <c r="C509" t="n">
        <v>0</v>
      </c>
      <c r="D509" t="n">
        <v>1</v>
      </c>
      <c r="E509" t="s">
        <v>520</v>
      </c>
      <c r="F509" t="s"/>
      <c r="G509" t="s"/>
      <c r="H509" t="s"/>
      <c r="I509" t="s"/>
      <c r="J509" t="n">
        <v>-0.5859</v>
      </c>
      <c r="K509" t="n">
        <v>0.167</v>
      </c>
      <c r="L509" t="n">
        <v>0.833</v>
      </c>
      <c r="M509" t="n">
        <v>0</v>
      </c>
    </row>
    <row r="510" spans="1:13">
      <c r="A510" s="1">
        <f>HYPERLINK("http://www.twitter.com/NathanBLawrence/status/997847468174905344", "997847468174905344")</f>
        <v/>
      </c>
      <c r="B510" s="2" t="n">
        <v>43239.60590277778</v>
      </c>
      <c r="C510" t="n">
        <v>0</v>
      </c>
      <c r="D510" t="n">
        <v>2</v>
      </c>
      <c r="E510" t="s">
        <v>521</v>
      </c>
      <c r="F510" t="s"/>
      <c r="G510" t="s"/>
      <c r="H510" t="s"/>
      <c r="I510" t="s"/>
      <c r="J510" t="n">
        <v>-0.7964</v>
      </c>
      <c r="K510" t="n">
        <v>0.425</v>
      </c>
      <c r="L510" t="n">
        <v>0.425</v>
      </c>
      <c r="M510" t="n">
        <v>0.151</v>
      </c>
    </row>
    <row r="511" spans="1:13">
      <c r="A511" s="1">
        <f>HYPERLINK("http://www.twitter.com/NathanBLawrence/status/997847371911516162", "997847371911516162")</f>
        <v/>
      </c>
      <c r="B511" s="2" t="n">
        <v>43239.60563657407</v>
      </c>
      <c r="C511" t="n">
        <v>0</v>
      </c>
      <c r="D511" t="n">
        <v>3</v>
      </c>
      <c r="E511" t="s">
        <v>522</v>
      </c>
      <c r="F511" t="s"/>
      <c r="G511" t="s"/>
      <c r="H511" t="s"/>
      <c r="I511" t="s"/>
      <c r="J511" t="n">
        <v>-0.2023</v>
      </c>
      <c r="K511" t="n">
        <v>0.07000000000000001</v>
      </c>
      <c r="L511" t="n">
        <v>0.93</v>
      </c>
      <c r="M511" t="n">
        <v>0</v>
      </c>
    </row>
    <row r="512" spans="1:13">
      <c r="A512" s="1">
        <f>HYPERLINK("http://www.twitter.com/NathanBLawrence/status/997847166256328705", "997847166256328705")</f>
        <v/>
      </c>
      <c r="B512" s="2" t="n">
        <v>43239.60506944444</v>
      </c>
      <c r="C512" t="n">
        <v>0</v>
      </c>
      <c r="D512" t="n">
        <v>142</v>
      </c>
      <c r="E512" t="s">
        <v>523</v>
      </c>
      <c r="F512">
        <f>HYPERLINK("https://video.twimg.com/ext_tw_video/991438000742588416/pu/vid/480x480/KNwPRSobeOsXdY6R.mp4?tag=3", "https://video.twimg.com/ext_tw_video/991438000742588416/pu/vid/480x480/KNwPRSobeOsXdY6R.mp4?tag=3")</f>
        <v/>
      </c>
      <c r="G512" t="s"/>
      <c r="H512" t="s"/>
      <c r="I512" t="s"/>
      <c r="J512" t="n">
        <v>0.3612</v>
      </c>
      <c r="K512" t="n">
        <v>0</v>
      </c>
      <c r="L512" t="n">
        <v>0.8</v>
      </c>
      <c r="M512" t="n">
        <v>0.2</v>
      </c>
    </row>
    <row r="513" spans="1:13">
      <c r="A513" s="1">
        <f>HYPERLINK("http://www.twitter.com/NathanBLawrence/status/997847065962172416", "997847065962172416")</f>
        <v/>
      </c>
      <c r="B513" s="2" t="n">
        <v>43239.60479166666</v>
      </c>
      <c r="C513" t="n">
        <v>0</v>
      </c>
      <c r="D513" t="n">
        <v>7</v>
      </c>
      <c r="E513" t="s">
        <v>524</v>
      </c>
      <c r="F513">
        <f>HYPERLINK("http://pbs.twimg.com/media/DcKj8DYW4AAtv_H.jpg", "http://pbs.twimg.com/media/DcKj8DYW4AAtv_H.jpg")</f>
        <v/>
      </c>
      <c r="G513" t="s"/>
      <c r="H513" t="s"/>
      <c r="I513" t="s"/>
      <c r="J513" t="n">
        <v>0.5242</v>
      </c>
      <c r="K513" t="n">
        <v>0</v>
      </c>
      <c r="L513" t="n">
        <v>0.78</v>
      </c>
      <c r="M513" t="n">
        <v>0.22</v>
      </c>
    </row>
    <row r="514" spans="1:13">
      <c r="A514" s="1">
        <f>HYPERLINK("http://www.twitter.com/NathanBLawrence/status/997847011020943361", "997847011020943361")</f>
        <v/>
      </c>
      <c r="B514" s="2" t="n">
        <v>43239.6046412037</v>
      </c>
      <c r="C514" t="n">
        <v>0</v>
      </c>
      <c r="D514" t="n">
        <v>3</v>
      </c>
      <c r="E514" t="s">
        <v>525</v>
      </c>
      <c r="F514" t="s"/>
      <c r="G514" t="s"/>
      <c r="H514" t="s"/>
      <c r="I514" t="s"/>
      <c r="J514" t="n">
        <v>0</v>
      </c>
      <c r="K514" t="n">
        <v>0</v>
      </c>
      <c r="L514" t="n">
        <v>1</v>
      </c>
      <c r="M514" t="n">
        <v>0</v>
      </c>
    </row>
    <row r="515" spans="1:13">
      <c r="A515" s="1">
        <f>HYPERLINK("http://www.twitter.com/NathanBLawrence/status/997846949998063619", "997846949998063619")</f>
        <v/>
      </c>
      <c r="B515" s="2" t="n">
        <v>43239.6044675926</v>
      </c>
      <c r="C515" t="n">
        <v>1</v>
      </c>
      <c r="D515" t="n">
        <v>0</v>
      </c>
      <c r="E515" t="s">
        <v>526</v>
      </c>
      <c r="F515" t="s"/>
      <c r="G515" t="s"/>
      <c r="H515" t="s"/>
      <c r="I515" t="s"/>
      <c r="J515" t="n">
        <v>0</v>
      </c>
      <c r="K515" t="n">
        <v>0</v>
      </c>
      <c r="L515" t="n">
        <v>1</v>
      </c>
      <c r="M515" t="n">
        <v>0</v>
      </c>
    </row>
    <row r="516" spans="1:13">
      <c r="A516" s="1">
        <f>HYPERLINK("http://www.twitter.com/NathanBLawrence/status/997846868397903872", "997846868397903872")</f>
        <v/>
      </c>
      <c r="B516" s="2" t="n">
        <v>43239.60424768519</v>
      </c>
      <c r="C516" t="n">
        <v>0</v>
      </c>
      <c r="D516" t="n">
        <v>1</v>
      </c>
      <c r="E516" t="s">
        <v>527</v>
      </c>
      <c r="F516" t="s"/>
      <c r="G516" t="s"/>
      <c r="H516" t="s"/>
      <c r="I516" t="s"/>
      <c r="J516" t="n">
        <v>-0.5266999999999999</v>
      </c>
      <c r="K516" t="n">
        <v>0.33</v>
      </c>
      <c r="L516" t="n">
        <v>0.515</v>
      </c>
      <c r="M516" t="n">
        <v>0.155</v>
      </c>
    </row>
    <row r="517" spans="1:13">
      <c r="A517" s="1">
        <f>HYPERLINK("http://www.twitter.com/NathanBLawrence/status/997846667318759424", "997846667318759424")</f>
        <v/>
      </c>
      <c r="B517" s="2" t="n">
        <v>43239.60369212963</v>
      </c>
      <c r="C517" t="n">
        <v>2</v>
      </c>
      <c r="D517" t="n">
        <v>0</v>
      </c>
      <c r="E517" t="s">
        <v>528</v>
      </c>
      <c r="F517" t="s"/>
      <c r="G517" t="s"/>
      <c r="H517" t="s"/>
      <c r="I517" t="s"/>
      <c r="J517" t="n">
        <v>0</v>
      </c>
      <c r="K517" t="n">
        <v>0</v>
      </c>
      <c r="L517" t="n">
        <v>1</v>
      </c>
      <c r="M517" t="n">
        <v>0</v>
      </c>
    </row>
    <row r="518" spans="1:13">
      <c r="A518" s="1">
        <f>HYPERLINK("http://www.twitter.com/NathanBLawrence/status/997846466373799936", "997846466373799936")</f>
        <v/>
      </c>
      <c r="B518" s="2" t="n">
        <v>43239.60313657407</v>
      </c>
      <c r="C518" t="n">
        <v>0</v>
      </c>
      <c r="D518" t="n">
        <v>26</v>
      </c>
      <c r="E518" t="s">
        <v>529</v>
      </c>
      <c r="F518" t="s"/>
      <c r="G518" t="s"/>
      <c r="H518" t="s"/>
      <c r="I518" t="s"/>
      <c r="J518" t="n">
        <v>-0.5719</v>
      </c>
      <c r="K518" t="n">
        <v>0.277</v>
      </c>
      <c r="L518" t="n">
        <v>0.632</v>
      </c>
      <c r="M518" t="n">
        <v>0.091</v>
      </c>
    </row>
    <row r="519" spans="1:13">
      <c r="A519" s="1">
        <f>HYPERLINK("http://www.twitter.com/NathanBLawrence/status/997846414418956288", "997846414418956288")</f>
        <v/>
      </c>
      <c r="B519" s="2" t="n">
        <v>43239.60298611111</v>
      </c>
      <c r="C519" t="n">
        <v>0</v>
      </c>
      <c r="D519" t="n">
        <v>16</v>
      </c>
      <c r="E519" t="s">
        <v>530</v>
      </c>
      <c r="F519">
        <f>HYPERLINK("http://pbs.twimg.com/media/DcJ1qelVQAAxPoJ.jpg", "http://pbs.twimg.com/media/DcJ1qelVQAAxPoJ.jpg")</f>
        <v/>
      </c>
      <c r="G519" t="s"/>
      <c r="H519" t="s"/>
      <c r="I519" t="s"/>
      <c r="J519" t="n">
        <v>0</v>
      </c>
      <c r="K519" t="n">
        <v>0</v>
      </c>
      <c r="L519" t="n">
        <v>1</v>
      </c>
      <c r="M519" t="n">
        <v>0</v>
      </c>
    </row>
    <row r="520" spans="1:13">
      <c r="A520" s="1">
        <f>HYPERLINK("http://www.twitter.com/NathanBLawrence/status/997846273683263488", "997846273683263488")</f>
        <v/>
      </c>
      <c r="B520" s="2" t="n">
        <v>43239.60260416667</v>
      </c>
      <c r="C520" t="n">
        <v>0</v>
      </c>
      <c r="D520" t="n">
        <v>2</v>
      </c>
      <c r="E520" t="s">
        <v>531</v>
      </c>
      <c r="F520" t="s"/>
      <c r="G520" t="s"/>
      <c r="H520" t="s"/>
      <c r="I520" t="s"/>
      <c r="J520" t="n">
        <v>-0.1531</v>
      </c>
      <c r="K520" t="n">
        <v>0.073</v>
      </c>
      <c r="L520" t="n">
        <v>0.878</v>
      </c>
      <c r="M520" t="n">
        <v>0.05</v>
      </c>
    </row>
    <row r="521" spans="1:13">
      <c r="A521" s="1">
        <f>HYPERLINK("http://www.twitter.com/NathanBLawrence/status/997846174198652930", "997846174198652930")</f>
        <v/>
      </c>
      <c r="B521" s="2" t="n">
        <v>43239.60232638889</v>
      </c>
      <c r="C521" t="n">
        <v>0</v>
      </c>
      <c r="D521" t="n">
        <v>6</v>
      </c>
      <c r="E521" t="s">
        <v>532</v>
      </c>
      <c r="F521" t="s"/>
      <c r="G521" t="s"/>
      <c r="H521" t="s"/>
      <c r="I521" t="s"/>
      <c r="J521" t="n">
        <v>-0.8256</v>
      </c>
      <c r="K521" t="n">
        <v>0.277</v>
      </c>
      <c r="L521" t="n">
        <v>0.723</v>
      </c>
      <c r="M521" t="n">
        <v>0</v>
      </c>
    </row>
    <row r="522" spans="1:13">
      <c r="A522" s="1">
        <f>HYPERLINK("http://www.twitter.com/NathanBLawrence/status/997845991998009344", "997845991998009344")</f>
        <v/>
      </c>
      <c r="B522" s="2" t="n">
        <v>43239.6018287037</v>
      </c>
      <c r="C522" t="n">
        <v>0</v>
      </c>
      <c r="D522" t="n">
        <v>2</v>
      </c>
      <c r="E522" t="s">
        <v>533</v>
      </c>
      <c r="F522" t="s"/>
      <c r="G522" t="s"/>
      <c r="H522" t="s"/>
      <c r="I522" t="s"/>
      <c r="J522" t="n">
        <v>0</v>
      </c>
      <c r="K522" t="n">
        <v>0</v>
      </c>
      <c r="L522" t="n">
        <v>1</v>
      </c>
      <c r="M522" t="n">
        <v>0</v>
      </c>
    </row>
    <row r="523" spans="1:13">
      <c r="A523" s="1">
        <f>HYPERLINK("http://www.twitter.com/NathanBLawrence/status/997844222324695042", "997844222324695042")</f>
        <v/>
      </c>
      <c r="B523" s="2" t="n">
        <v>43239.59694444444</v>
      </c>
      <c r="C523" t="n">
        <v>0</v>
      </c>
      <c r="D523" t="n">
        <v>0</v>
      </c>
      <c r="E523" t="s">
        <v>534</v>
      </c>
      <c r="F523" t="s"/>
      <c r="G523" t="s"/>
      <c r="H523" t="s"/>
      <c r="I523" t="s"/>
      <c r="J523" t="n">
        <v>0.717</v>
      </c>
      <c r="K523" t="n">
        <v>0</v>
      </c>
      <c r="L523" t="n">
        <v>0.715</v>
      </c>
      <c r="M523" t="n">
        <v>0.285</v>
      </c>
    </row>
    <row r="524" spans="1:13">
      <c r="A524" s="1">
        <f>HYPERLINK("http://www.twitter.com/NathanBLawrence/status/997842977874694145", "997842977874694145")</f>
        <v/>
      </c>
      <c r="B524" s="2" t="n">
        <v>43239.59350694445</v>
      </c>
      <c r="C524" t="n">
        <v>0</v>
      </c>
      <c r="D524" t="n">
        <v>2</v>
      </c>
      <c r="E524" t="s">
        <v>535</v>
      </c>
      <c r="F524" t="s"/>
      <c r="G524" t="s"/>
      <c r="H524" t="s"/>
      <c r="I524" t="s"/>
      <c r="J524" t="n">
        <v>0.6988</v>
      </c>
      <c r="K524" t="n">
        <v>0</v>
      </c>
      <c r="L524" t="n">
        <v>0.676</v>
      </c>
      <c r="M524" t="n">
        <v>0.324</v>
      </c>
    </row>
    <row r="525" spans="1:13">
      <c r="A525" s="1">
        <f>HYPERLINK("http://www.twitter.com/NathanBLawrence/status/997842941698863104", "997842941698863104")</f>
        <v/>
      </c>
      <c r="B525" s="2" t="n">
        <v>43239.59340277778</v>
      </c>
      <c r="C525" t="n">
        <v>0</v>
      </c>
      <c r="D525" t="n">
        <v>1</v>
      </c>
      <c r="E525" t="s">
        <v>536</v>
      </c>
      <c r="F525" t="s"/>
      <c r="G525" t="s"/>
      <c r="H525" t="s"/>
      <c r="I525" t="s"/>
      <c r="J525" t="n">
        <v>0</v>
      </c>
      <c r="K525" t="n">
        <v>0</v>
      </c>
      <c r="L525" t="n">
        <v>1</v>
      </c>
      <c r="M525" t="n">
        <v>0</v>
      </c>
    </row>
    <row r="526" spans="1:13">
      <c r="A526" s="1">
        <f>HYPERLINK("http://www.twitter.com/NathanBLawrence/status/997842901311873026", "997842901311873026")</f>
        <v/>
      </c>
      <c r="B526" s="2" t="n">
        <v>43239.59329861111</v>
      </c>
      <c r="C526" t="n">
        <v>0</v>
      </c>
      <c r="D526" t="n">
        <v>7</v>
      </c>
      <c r="E526" t="s">
        <v>537</v>
      </c>
      <c r="F526" t="s"/>
      <c r="G526" t="s"/>
      <c r="H526" t="s"/>
      <c r="I526" t="s"/>
      <c r="J526" t="n">
        <v>0.2846</v>
      </c>
      <c r="K526" t="n">
        <v>0</v>
      </c>
      <c r="L526" t="n">
        <v>0.867</v>
      </c>
      <c r="M526" t="n">
        <v>0.133</v>
      </c>
    </row>
    <row r="527" spans="1:13">
      <c r="A527" s="1">
        <f>HYPERLINK("http://www.twitter.com/NathanBLawrence/status/997842489645129729", "997842489645129729")</f>
        <v/>
      </c>
      <c r="B527" s="2" t="n">
        <v>43239.59216435185</v>
      </c>
      <c r="C527" t="n">
        <v>0</v>
      </c>
      <c r="D527" t="n">
        <v>0</v>
      </c>
      <c r="E527" t="s">
        <v>538</v>
      </c>
      <c r="F527" t="s"/>
      <c r="G527" t="s"/>
      <c r="H527" t="s"/>
      <c r="I527" t="s"/>
      <c r="J527" t="n">
        <v>0.5859</v>
      </c>
      <c r="K527" t="n">
        <v>0</v>
      </c>
      <c r="L527" t="n">
        <v>0.676</v>
      </c>
      <c r="M527" t="n">
        <v>0.324</v>
      </c>
    </row>
    <row r="528" spans="1:13">
      <c r="A528" s="1">
        <f>HYPERLINK("http://www.twitter.com/NathanBLawrence/status/997842253585448961", "997842253585448961")</f>
        <v/>
      </c>
      <c r="B528" s="2" t="n">
        <v>43239.59150462963</v>
      </c>
      <c r="C528" t="n">
        <v>0</v>
      </c>
      <c r="D528" t="n">
        <v>2</v>
      </c>
      <c r="E528" t="s">
        <v>539</v>
      </c>
      <c r="F528" t="s"/>
      <c r="G528" t="s"/>
      <c r="H528" t="s"/>
      <c r="I528" t="s"/>
      <c r="J528" t="n">
        <v>0.4588</v>
      </c>
      <c r="K528" t="n">
        <v>0</v>
      </c>
      <c r="L528" t="n">
        <v>0.857</v>
      </c>
      <c r="M528" t="n">
        <v>0.143</v>
      </c>
    </row>
    <row r="529" spans="1:13">
      <c r="A529" s="1">
        <f>HYPERLINK("http://www.twitter.com/NathanBLawrence/status/997842093476335616", "997842093476335616")</f>
        <v/>
      </c>
      <c r="B529" s="2" t="n">
        <v>43239.59106481481</v>
      </c>
      <c r="C529" t="n">
        <v>0</v>
      </c>
      <c r="D529" t="n">
        <v>22</v>
      </c>
      <c r="E529" t="s">
        <v>540</v>
      </c>
      <c r="F529">
        <f>HYPERLINK("http://pbs.twimg.com/media/DdUnEBdVQAIBmBn.jpg", "http://pbs.twimg.com/media/DdUnEBdVQAIBmBn.jpg")</f>
        <v/>
      </c>
      <c r="G529" t="s"/>
      <c r="H529" t="s"/>
      <c r="I529" t="s"/>
      <c r="J529" t="n">
        <v>0.4606</v>
      </c>
      <c r="K529" t="n">
        <v>0</v>
      </c>
      <c r="L529" t="n">
        <v>0.846</v>
      </c>
      <c r="M529" t="n">
        <v>0.154</v>
      </c>
    </row>
    <row r="530" spans="1:13">
      <c r="A530" s="1">
        <f>HYPERLINK("http://www.twitter.com/NathanBLawrence/status/997842014359171072", "997842014359171072")</f>
        <v/>
      </c>
      <c r="B530" s="2" t="n">
        <v>43239.5908449074</v>
      </c>
      <c r="C530" t="n">
        <v>0</v>
      </c>
      <c r="D530" t="n">
        <v>3</v>
      </c>
      <c r="E530" t="s">
        <v>541</v>
      </c>
      <c r="F530" t="s"/>
      <c r="G530" t="s"/>
      <c r="H530" t="s"/>
      <c r="I530" t="s"/>
      <c r="J530" t="n">
        <v>-0.4391</v>
      </c>
      <c r="K530" t="n">
        <v>0.156</v>
      </c>
      <c r="L530" t="n">
        <v>0.844</v>
      </c>
      <c r="M530" t="n">
        <v>0</v>
      </c>
    </row>
    <row r="531" spans="1:13">
      <c r="A531" s="1">
        <f>HYPERLINK("http://www.twitter.com/NathanBLawrence/status/997841907605757953", "997841907605757953")</f>
        <v/>
      </c>
      <c r="B531" s="2" t="n">
        <v>43239.59055555556</v>
      </c>
      <c r="C531" t="n">
        <v>0</v>
      </c>
      <c r="D531" t="n">
        <v>16587</v>
      </c>
      <c r="E531" t="s">
        <v>542</v>
      </c>
      <c r="F531">
        <f>HYPERLINK("https://video.twimg.com/ext_tw_video/996649019316162562/pu/vid/1280x720/fjLjRRqbWR47H3z8.mp4?tag=3", "https://video.twimg.com/ext_tw_video/996649019316162562/pu/vid/1280x720/fjLjRRqbWR47H3z8.mp4?tag=3")</f>
        <v/>
      </c>
      <c r="G531" t="s"/>
      <c r="H531" t="s"/>
      <c r="I531" t="s"/>
      <c r="J531" t="n">
        <v>0</v>
      </c>
      <c r="K531" t="n">
        <v>0</v>
      </c>
      <c r="L531" t="n">
        <v>1</v>
      </c>
      <c r="M531" t="n">
        <v>0</v>
      </c>
    </row>
    <row r="532" spans="1:13">
      <c r="A532" s="1">
        <f>HYPERLINK("http://www.twitter.com/NathanBLawrence/status/997841862496006144", "997841862496006144")</f>
        <v/>
      </c>
      <c r="B532" s="2" t="n">
        <v>43239.59042824074</v>
      </c>
      <c r="C532" t="n">
        <v>0</v>
      </c>
      <c r="D532" t="n">
        <v>10</v>
      </c>
      <c r="E532" t="s">
        <v>543</v>
      </c>
      <c r="F532" t="s"/>
      <c r="G532" t="s"/>
      <c r="H532" t="s"/>
      <c r="I532" t="s"/>
      <c r="J532" t="n">
        <v>-0.7906</v>
      </c>
      <c r="K532" t="n">
        <v>0.252</v>
      </c>
      <c r="L532" t="n">
        <v>0.6830000000000001</v>
      </c>
      <c r="M532" t="n">
        <v>0.065</v>
      </c>
    </row>
    <row r="533" spans="1:13">
      <c r="A533" s="1">
        <f>HYPERLINK("http://www.twitter.com/NathanBLawrence/status/997841827779751936", "997841827779751936")</f>
        <v/>
      </c>
      <c r="B533" s="2" t="n">
        <v>43239.59033564815</v>
      </c>
      <c r="C533" t="n">
        <v>1</v>
      </c>
      <c r="D533" t="n">
        <v>0</v>
      </c>
      <c r="E533" t="s">
        <v>544</v>
      </c>
      <c r="F533" t="s"/>
      <c r="G533" t="s"/>
      <c r="H533" t="s"/>
      <c r="I533" t="s"/>
      <c r="J533" t="n">
        <v>-0.4019</v>
      </c>
      <c r="K533" t="n">
        <v>0.236</v>
      </c>
      <c r="L533" t="n">
        <v>0.615</v>
      </c>
      <c r="M533" t="n">
        <v>0.149</v>
      </c>
    </row>
    <row r="534" spans="1:13">
      <c r="A534" s="1">
        <f>HYPERLINK("http://www.twitter.com/NathanBLawrence/status/997840509757476866", "997840509757476866")</f>
        <v/>
      </c>
      <c r="B534" s="2" t="n">
        <v>43239.58670138889</v>
      </c>
      <c r="C534" t="n">
        <v>0</v>
      </c>
      <c r="D534" t="n">
        <v>3</v>
      </c>
      <c r="E534" t="s">
        <v>545</v>
      </c>
      <c r="F534" t="s"/>
      <c r="G534" t="s"/>
      <c r="H534" t="s"/>
      <c r="I534" t="s"/>
      <c r="J534" t="n">
        <v>-0.7096</v>
      </c>
      <c r="K534" t="n">
        <v>0.247</v>
      </c>
      <c r="L534" t="n">
        <v>0.753</v>
      </c>
      <c r="M534" t="n">
        <v>0</v>
      </c>
    </row>
    <row r="535" spans="1:13">
      <c r="A535" s="1">
        <f>HYPERLINK("http://www.twitter.com/NathanBLawrence/status/997840348843003904", "997840348843003904")</f>
        <v/>
      </c>
      <c r="B535" s="2" t="n">
        <v>43239.58625</v>
      </c>
      <c r="C535" t="n">
        <v>0</v>
      </c>
      <c r="D535" t="n">
        <v>1</v>
      </c>
      <c r="E535" t="s">
        <v>546</v>
      </c>
      <c r="F535" t="s"/>
      <c r="G535" t="s"/>
      <c r="H535" t="s"/>
      <c r="I535" t="s"/>
      <c r="J535" t="n">
        <v>0.3612</v>
      </c>
      <c r="K535" t="n">
        <v>0</v>
      </c>
      <c r="L535" t="n">
        <v>0.889</v>
      </c>
      <c r="M535" t="n">
        <v>0.111</v>
      </c>
    </row>
    <row r="536" spans="1:13">
      <c r="A536" s="1">
        <f>HYPERLINK("http://www.twitter.com/NathanBLawrence/status/997839848823250945", "997839848823250945")</f>
        <v/>
      </c>
      <c r="B536" s="2" t="n">
        <v>43239.58487268518</v>
      </c>
      <c r="C536" t="n">
        <v>0</v>
      </c>
      <c r="D536" t="n">
        <v>2</v>
      </c>
      <c r="E536" t="s">
        <v>547</v>
      </c>
      <c r="F536" t="s"/>
      <c r="G536" t="s"/>
      <c r="H536" t="s"/>
      <c r="I536" t="s"/>
      <c r="J536" t="n">
        <v>0</v>
      </c>
      <c r="K536" t="n">
        <v>0</v>
      </c>
      <c r="L536" t="n">
        <v>1</v>
      </c>
      <c r="M536" t="n">
        <v>0</v>
      </c>
    </row>
    <row r="537" spans="1:13">
      <c r="A537" s="1">
        <f>HYPERLINK("http://www.twitter.com/NathanBLawrence/status/997839758113075201", "997839758113075201")</f>
        <v/>
      </c>
      <c r="B537" s="2" t="n">
        <v>43239.58461805555</v>
      </c>
      <c r="C537" t="n">
        <v>0</v>
      </c>
      <c r="D537" t="n">
        <v>2</v>
      </c>
      <c r="E537" t="s">
        <v>548</v>
      </c>
      <c r="F537" t="s"/>
      <c r="G537" t="s"/>
      <c r="H537" t="s"/>
      <c r="I537" t="s"/>
      <c r="J537" t="n">
        <v>-0.6249</v>
      </c>
      <c r="K537" t="n">
        <v>0.317</v>
      </c>
      <c r="L537" t="n">
        <v>0.6830000000000001</v>
      </c>
      <c r="M537" t="n">
        <v>0</v>
      </c>
    </row>
    <row r="538" spans="1:13">
      <c r="A538" s="1">
        <f>HYPERLINK("http://www.twitter.com/NathanBLawrence/status/997839444311986176", "997839444311986176")</f>
        <v/>
      </c>
      <c r="B538" s="2" t="n">
        <v>43239.58376157407</v>
      </c>
      <c r="C538" t="n">
        <v>0</v>
      </c>
      <c r="D538" t="n">
        <v>1</v>
      </c>
      <c r="E538" t="s">
        <v>549</v>
      </c>
      <c r="F538" t="s"/>
      <c r="G538" t="s"/>
      <c r="H538" t="s"/>
      <c r="I538" t="s"/>
      <c r="J538" t="n">
        <v>-0.8519</v>
      </c>
      <c r="K538" t="n">
        <v>0.344</v>
      </c>
      <c r="L538" t="n">
        <v>0.579</v>
      </c>
      <c r="M538" t="n">
        <v>0.077</v>
      </c>
    </row>
    <row r="539" spans="1:13">
      <c r="A539" s="1">
        <f>HYPERLINK("http://www.twitter.com/NathanBLawrence/status/997839415434207232", "997839415434207232")</f>
        <v/>
      </c>
      <c r="B539" s="2" t="n">
        <v>43239.58368055556</v>
      </c>
      <c r="C539" t="n">
        <v>2</v>
      </c>
      <c r="D539" t="n">
        <v>1</v>
      </c>
      <c r="E539" t="s">
        <v>550</v>
      </c>
      <c r="F539" t="s"/>
      <c r="G539" t="s"/>
      <c r="H539" t="s"/>
      <c r="I539" t="s"/>
      <c r="J539" t="n">
        <v>0.4754</v>
      </c>
      <c r="K539" t="n">
        <v>0</v>
      </c>
      <c r="L539" t="n">
        <v>0.872</v>
      </c>
      <c r="M539" t="n">
        <v>0.128</v>
      </c>
    </row>
    <row r="540" spans="1:13">
      <c r="A540" s="1">
        <f>HYPERLINK("http://www.twitter.com/NathanBLawrence/status/997838817074794496", "997838817074794496")</f>
        <v/>
      </c>
      <c r="B540" s="2" t="n">
        <v>43239.58202546297</v>
      </c>
      <c r="C540" t="n">
        <v>0</v>
      </c>
      <c r="D540" t="n">
        <v>0</v>
      </c>
      <c r="E540" t="s">
        <v>551</v>
      </c>
      <c r="F540" t="s"/>
      <c r="G540" t="s"/>
      <c r="H540" t="s"/>
      <c r="I540" t="s"/>
      <c r="J540" t="n">
        <v>0</v>
      </c>
      <c r="K540" t="n">
        <v>0</v>
      </c>
      <c r="L540" t="n">
        <v>1</v>
      </c>
      <c r="M540" t="n">
        <v>0</v>
      </c>
    </row>
    <row r="541" spans="1:13">
      <c r="A541" s="1">
        <f>HYPERLINK("http://www.twitter.com/NathanBLawrence/status/997837931875328000", "997837931875328000")</f>
        <v/>
      </c>
      <c r="B541" s="2" t="n">
        <v>43239.57958333333</v>
      </c>
      <c r="C541" t="n">
        <v>0</v>
      </c>
      <c r="D541" t="n">
        <v>1</v>
      </c>
      <c r="E541" t="s">
        <v>552</v>
      </c>
      <c r="F541" t="s"/>
      <c r="G541" t="s"/>
      <c r="H541" t="s"/>
      <c r="I541" t="s"/>
      <c r="J541" t="n">
        <v>0</v>
      </c>
      <c r="K541" t="n">
        <v>0</v>
      </c>
      <c r="L541" t="n">
        <v>1</v>
      </c>
      <c r="M541" t="n">
        <v>0</v>
      </c>
    </row>
    <row r="542" spans="1:13">
      <c r="A542" s="1">
        <f>HYPERLINK("http://www.twitter.com/NathanBLawrence/status/997837514089160704", "997837514089160704")</f>
        <v/>
      </c>
      <c r="B542" s="2" t="n">
        <v>43239.57842592592</v>
      </c>
      <c r="C542" t="n">
        <v>0</v>
      </c>
      <c r="D542" t="n">
        <v>264</v>
      </c>
      <c r="E542" t="s">
        <v>553</v>
      </c>
      <c r="F542">
        <f>HYPERLINK("https://video.twimg.com/amplify_video/997292843549982720/vid/1280x720/eMa9DpPOXdFx-rXn.mp4?tag=2", "https://video.twimg.com/amplify_video/997292843549982720/vid/1280x720/eMa9DpPOXdFx-rXn.mp4?tag=2")</f>
        <v/>
      </c>
      <c r="G542" t="s"/>
      <c r="H542" t="s"/>
      <c r="I542" t="s"/>
      <c r="J542" t="n">
        <v>0.25</v>
      </c>
      <c r="K542" t="n">
        <v>0.143</v>
      </c>
      <c r="L542" t="n">
        <v>0.67</v>
      </c>
      <c r="M542" t="n">
        <v>0.188</v>
      </c>
    </row>
    <row r="543" spans="1:13">
      <c r="A543" s="1">
        <f>HYPERLINK("http://www.twitter.com/NathanBLawrence/status/997837396615024640", "997837396615024640")</f>
        <v/>
      </c>
      <c r="B543" s="2" t="n">
        <v>43239.57810185185</v>
      </c>
      <c r="C543" t="n">
        <v>0</v>
      </c>
      <c r="D543" t="n">
        <v>95</v>
      </c>
      <c r="E543" t="s">
        <v>554</v>
      </c>
      <c r="F543" t="s"/>
      <c r="G543" t="s"/>
      <c r="H543" t="s"/>
      <c r="I543" t="s"/>
      <c r="J543" t="n">
        <v>-0.34</v>
      </c>
      <c r="K543" t="n">
        <v>0.138</v>
      </c>
      <c r="L543" t="n">
        <v>0.862</v>
      </c>
      <c r="M543" t="n">
        <v>0</v>
      </c>
    </row>
    <row r="544" spans="1:13">
      <c r="A544" s="1">
        <f>HYPERLINK("http://www.twitter.com/NathanBLawrence/status/997837333394321411", "997837333394321411")</f>
        <v/>
      </c>
      <c r="B544" s="2" t="n">
        <v>43239.57792824074</v>
      </c>
      <c r="C544" t="n">
        <v>0</v>
      </c>
      <c r="D544" t="n">
        <v>1506</v>
      </c>
      <c r="E544" t="s">
        <v>555</v>
      </c>
      <c r="F544">
        <f>HYPERLINK("https://video.twimg.com/ext_tw_video/997703455916490752/pu/vid/1280x720/IdH6RXyxtNqF-Q-G.mp4?tag=3", "https://video.twimg.com/ext_tw_video/997703455916490752/pu/vid/1280x720/IdH6RXyxtNqF-Q-G.mp4?tag=3")</f>
        <v/>
      </c>
      <c r="G544" t="s"/>
      <c r="H544" t="s"/>
      <c r="I544" t="s"/>
      <c r="J544" t="n">
        <v>-0.7717000000000001</v>
      </c>
      <c r="K544" t="n">
        <v>0.278</v>
      </c>
      <c r="L544" t="n">
        <v>0.722</v>
      </c>
      <c r="M544" t="n">
        <v>0</v>
      </c>
    </row>
    <row r="545" spans="1:13">
      <c r="A545" s="1">
        <f>HYPERLINK("http://www.twitter.com/NathanBLawrence/status/997837165844410369", "997837165844410369")</f>
        <v/>
      </c>
      <c r="B545" s="2" t="n">
        <v>43239.57746527778</v>
      </c>
      <c r="C545" t="n">
        <v>0</v>
      </c>
      <c r="D545" t="n">
        <v>1</v>
      </c>
      <c r="E545" t="s">
        <v>556</v>
      </c>
      <c r="F545" t="s"/>
      <c r="G545" t="s"/>
      <c r="H545" t="s"/>
      <c r="I545" t="s"/>
      <c r="J545" t="n">
        <v>-0.5106000000000001</v>
      </c>
      <c r="K545" t="n">
        <v>0.248</v>
      </c>
      <c r="L545" t="n">
        <v>0.752</v>
      </c>
      <c r="M545" t="n">
        <v>0</v>
      </c>
    </row>
    <row r="546" spans="1:13">
      <c r="A546" s="1">
        <f>HYPERLINK("http://www.twitter.com/NathanBLawrence/status/997836412488704000", "997836412488704000")</f>
        <v/>
      </c>
      <c r="B546" s="2" t="n">
        <v>43239.57539351852</v>
      </c>
      <c r="C546" t="n">
        <v>0</v>
      </c>
      <c r="D546" t="n">
        <v>5</v>
      </c>
      <c r="E546" t="s">
        <v>557</v>
      </c>
      <c r="F546" t="s"/>
      <c r="G546" t="s"/>
      <c r="H546" t="s"/>
      <c r="I546" t="s"/>
      <c r="J546" t="n">
        <v>-0.6239</v>
      </c>
      <c r="K546" t="n">
        <v>0.214</v>
      </c>
      <c r="L546" t="n">
        <v>0.786</v>
      </c>
      <c r="M546" t="n">
        <v>0</v>
      </c>
    </row>
    <row r="547" spans="1:13">
      <c r="A547" s="1">
        <f>HYPERLINK("http://www.twitter.com/NathanBLawrence/status/997836255198089218", "997836255198089218")</f>
        <v/>
      </c>
      <c r="B547" s="2" t="n">
        <v>43239.5749537037</v>
      </c>
      <c r="C547" t="n">
        <v>2</v>
      </c>
      <c r="D547" t="n">
        <v>1</v>
      </c>
      <c r="E547" t="s">
        <v>558</v>
      </c>
      <c r="F547" t="s"/>
      <c r="G547" t="s"/>
      <c r="H547" t="s"/>
      <c r="I547" t="s"/>
      <c r="J547" t="n">
        <v>-0.0018</v>
      </c>
      <c r="K547" t="n">
        <v>0.136</v>
      </c>
      <c r="L547" t="n">
        <v>0.728</v>
      </c>
      <c r="M547" t="n">
        <v>0.136</v>
      </c>
    </row>
    <row r="548" spans="1:13">
      <c r="A548" s="1">
        <f>HYPERLINK("http://www.twitter.com/NathanBLawrence/status/997835035171590144", "997835035171590144")</f>
        <v/>
      </c>
      <c r="B548" s="2" t="n">
        <v>43239.57158564815</v>
      </c>
      <c r="C548" t="n">
        <v>0</v>
      </c>
      <c r="D548" t="n">
        <v>1</v>
      </c>
      <c r="E548" t="s">
        <v>559</v>
      </c>
      <c r="F548" t="s"/>
      <c r="G548" t="s"/>
      <c r="H548" t="s"/>
      <c r="I548" t="s"/>
      <c r="J548" t="n">
        <v>0.2023</v>
      </c>
      <c r="K548" t="n">
        <v>0.077</v>
      </c>
      <c r="L548" t="n">
        <v>0.8110000000000001</v>
      </c>
      <c r="M548" t="n">
        <v>0.113</v>
      </c>
    </row>
    <row r="549" spans="1:13">
      <c r="A549" s="1">
        <f>HYPERLINK("http://www.twitter.com/NathanBLawrence/status/997834687132393472", "997834687132393472")</f>
        <v/>
      </c>
      <c r="B549" s="2" t="n">
        <v>43239.570625</v>
      </c>
      <c r="C549" t="n">
        <v>1</v>
      </c>
      <c r="D549" t="n">
        <v>0</v>
      </c>
      <c r="E549" t="s">
        <v>560</v>
      </c>
      <c r="F549" t="s"/>
      <c r="G549" t="s"/>
      <c r="H549" t="s"/>
      <c r="I549" t="s"/>
      <c r="J549" t="n">
        <v>0</v>
      </c>
      <c r="K549" t="n">
        <v>0</v>
      </c>
      <c r="L549" t="n">
        <v>1</v>
      </c>
      <c r="M549" t="n">
        <v>0</v>
      </c>
    </row>
    <row r="550" spans="1:13">
      <c r="A550" s="1">
        <f>HYPERLINK("http://www.twitter.com/NathanBLawrence/status/997834603825127424", "997834603825127424")</f>
        <v/>
      </c>
      <c r="B550" s="2" t="n">
        <v>43239.57040509259</v>
      </c>
      <c r="C550" t="n">
        <v>0</v>
      </c>
      <c r="D550" t="n">
        <v>1</v>
      </c>
      <c r="E550" t="s">
        <v>561</v>
      </c>
      <c r="F550" t="s"/>
      <c r="G550" t="s"/>
      <c r="H550" t="s"/>
      <c r="I550" t="s"/>
      <c r="J550" t="n">
        <v>0.1531</v>
      </c>
      <c r="K550" t="n">
        <v>0.095</v>
      </c>
      <c r="L550" t="n">
        <v>0.785</v>
      </c>
      <c r="M550" t="n">
        <v>0.12</v>
      </c>
    </row>
    <row r="551" spans="1:13">
      <c r="A551" s="1">
        <f>HYPERLINK("http://www.twitter.com/NathanBLawrence/status/997834461248196608", "997834461248196608")</f>
        <v/>
      </c>
      <c r="B551" s="2" t="n">
        <v>43239.57001157408</v>
      </c>
      <c r="C551" t="n">
        <v>0</v>
      </c>
      <c r="D551" t="n">
        <v>0</v>
      </c>
      <c r="E551" t="s">
        <v>562</v>
      </c>
      <c r="F551" t="s"/>
      <c r="G551" t="s"/>
      <c r="H551" t="s"/>
      <c r="I551" t="s"/>
      <c r="J551" t="n">
        <v>0.0772</v>
      </c>
      <c r="K551" t="n">
        <v>0</v>
      </c>
      <c r="L551" t="n">
        <v>0.9389999999999999</v>
      </c>
      <c r="M551" t="n">
        <v>0.061</v>
      </c>
    </row>
    <row r="552" spans="1:13">
      <c r="A552" s="1">
        <f>HYPERLINK("http://www.twitter.com/NathanBLawrence/status/997832997566058496", "997832997566058496")</f>
        <v/>
      </c>
      <c r="B552" s="2" t="n">
        <v>43239.56597222222</v>
      </c>
      <c r="C552" t="n">
        <v>0</v>
      </c>
      <c r="D552" t="n">
        <v>0</v>
      </c>
      <c r="E552" t="s">
        <v>563</v>
      </c>
      <c r="F552" t="s"/>
      <c r="G552" t="s"/>
      <c r="H552" t="s"/>
      <c r="I552" t="s"/>
      <c r="J552" t="n">
        <v>0.6908</v>
      </c>
      <c r="K552" t="n">
        <v>0.054</v>
      </c>
      <c r="L552" t="n">
        <v>0.751</v>
      </c>
      <c r="M552" t="n">
        <v>0.195</v>
      </c>
    </row>
    <row r="553" spans="1:13">
      <c r="A553" s="1">
        <f>HYPERLINK("http://www.twitter.com/NathanBLawrence/status/997831621817618433", "997831621817618433")</f>
        <v/>
      </c>
      <c r="B553" s="2" t="n">
        <v>43239.56217592592</v>
      </c>
      <c r="C553" t="n">
        <v>0</v>
      </c>
      <c r="D553" t="n">
        <v>1</v>
      </c>
      <c r="E553" t="s">
        <v>564</v>
      </c>
      <c r="F553" t="s"/>
      <c r="G553" t="s"/>
      <c r="H553" t="s"/>
      <c r="I553" t="s"/>
      <c r="J553" t="n">
        <v>0</v>
      </c>
      <c r="K553" t="n">
        <v>0</v>
      </c>
      <c r="L553" t="n">
        <v>1</v>
      </c>
      <c r="M553" t="n">
        <v>0</v>
      </c>
    </row>
    <row r="554" spans="1:13">
      <c r="A554" s="1">
        <f>HYPERLINK("http://www.twitter.com/NathanBLawrence/status/997831490766561281", "997831490766561281")</f>
        <v/>
      </c>
      <c r="B554" s="2" t="n">
        <v>43239.56180555555</v>
      </c>
      <c r="C554" t="n">
        <v>0</v>
      </c>
      <c r="D554" t="n">
        <v>1</v>
      </c>
      <c r="E554" t="s">
        <v>565</v>
      </c>
      <c r="F554" t="s"/>
      <c r="G554" t="s"/>
      <c r="H554" t="s"/>
      <c r="I554" t="s"/>
      <c r="J554" t="n">
        <v>0.6808</v>
      </c>
      <c r="K554" t="n">
        <v>0</v>
      </c>
      <c r="L554" t="n">
        <v>0.752</v>
      </c>
      <c r="M554" t="n">
        <v>0.248</v>
      </c>
    </row>
    <row r="555" spans="1:13">
      <c r="A555" s="1">
        <f>HYPERLINK("http://www.twitter.com/NathanBLawrence/status/997831364673196032", "997831364673196032")</f>
        <v/>
      </c>
      <c r="B555" s="2" t="n">
        <v>43239.56145833333</v>
      </c>
      <c r="C555" t="n">
        <v>0</v>
      </c>
      <c r="D555" t="n">
        <v>0</v>
      </c>
      <c r="E555" t="s">
        <v>566</v>
      </c>
      <c r="F555" t="s"/>
      <c r="G555" t="s"/>
      <c r="H555" t="s"/>
      <c r="I555" t="s"/>
      <c r="J555" t="n">
        <v>0.5859</v>
      </c>
      <c r="K555" t="n">
        <v>0</v>
      </c>
      <c r="L555" t="n">
        <v>0.676</v>
      </c>
      <c r="M555" t="n">
        <v>0.324</v>
      </c>
    </row>
    <row r="556" spans="1:13">
      <c r="A556" s="1">
        <f>HYPERLINK("http://www.twitter.com/NathanBLawrence/status/997830692296851456", "997830692296851456")</f>
        <v/>
      </c>
      <c r="B556" s="2" t="n">
        <v>43239.55960648148</v>
      </c>
      <c r="C556" t="n">
        <v>0</v>
      </c>
      <c r="D556" t="n">
        <v>0</v>
      </c>
      <c r="E556" t="s">
        <v>567</v>
      </c>
      <c r="F556" t="s"/>
      <c r="G556" t="s"/>
      <c r="H556" t="s"/>
      <c r="I556" t="s"/>
      <c r="J556" t="n">
        <v>-0.296</v>
      </c>
      <c r="K556" t="n">
        <v>0.268</v>
      </c>
      <c r="L556" t="n">
        <v>0.732</v>
      </c>
      <c r="M556" t="n">
        <v>0</v>
      </c>
    </row>
    <row r="557" spans="1:13">
      <c r="A557" s="1">
        <f>HYPERLINK("http://www.twitter.com/NathanBLawrence/status/997829893374308353", "997829893374308353")</f>
        <v/>
      </c>
      <c r="B557" s="2" t="n">
        <v>43239.55740740741</v>
      </c>
      <c r="C557" t="n">
        <v>0</v>
      </c>
      <c r="D557" t="n">
        <v>2</v>
      </c>
      <c r="E557" t="s">
        <v>568</v>
      </c>
      <c r="F557" t="s"/>
      <c r="G557" t="s"/>
      <c r="H557" t="s"/>
      <c r="I557" t="s"/>
      <c r="J557" t="n">
        <v>0</v>
      </c>
      <c r="K557" t="n">
        <v>0</v>
      </c>
      <c r="L557" t="n">
        <v>1</v>
      </c>
      <c r="M557" t="n">
        <v>0</v>
      </c>
    </row>
    <row r="558" spans="1:13">
      <c r="A558" s="1">
        <f>HYPERLINK("http://www.twitter.com/NathanBLawrence/status/997829872436301825", "997829872436301825")</f>
        <v/>
      </c>
      <c r="B558" s="2" t="n">
        <v>43239.55734953703</v>
      </c>
      <c r="C558" t="n">
        <v>0</v>
      </c>
      <c r="D558" t="n">
        <v>1</v>
      </c>
      <c r="E558" t="s">
        <v>569</v>
      </c>
      <c r="F558" t="s"/>
      <c r="G558" t="s"/>
      <c r="H558" t="s"/>
      <c r="I558" t="s"/>
      <c r="J558" t="n">
        <v>0</v>
      </c>
      <c r="K558" t="n">
        <v>0</v>
      </c>
      <c r="L558" t="n">
        <v>1</v>
      </c>
      <c r="M558" t="n">
        <v>0</v>
      </c>
    </row>
    <row r="559" spans="1:13">
      <c r="A559" s="1">
        <f>HYPERLINK("http://www.twitter.com/NathanBLawrence/status/997829607196971008", "997829607196971008")</f>
        <v/>
      </c>
      <c r="B559" s="2" t="n">
        <v>43239.55660879629</v>
      </c>
      <c r="C559" t="n">
        <v>2</v>
      </c>
      <c r="D559" t="n">
        <v>1</v>
      </c>
      <c r="E559" t="s">
        <v>570</v>
      </c>
      <c r="F559" t="s"/>
      <c r="G559" t="s"/>
      <c r="H559" t="s"/>
      <c r="I559" t="s"/>
      <c r="J559" t="n">
        <v>-0.9081</v>
      </c>
      <c r="K559" t="n">
        <v>0.255</v>
      </c>
      <c r="L559" t="n">
        <v>0.697</v>
      </c>
      <c r="M559" t="n">
        <v>0.048</v>
      </c>
    </row>
    <row r="560" spans="1:13">
      <c r="A560" s="1">
        <f>HYPERLINK("http://www.twitter.com/NathanBLawrence/status/997827908327608321", "997827908327608321")</f>
        <v/>
      </c>
      <c r="B560" s="2" t="n">
        <v>43239.5519212963</v>
      </c>
      <c r="C560" t="n">
        <v>0</v>
      </c>
      <c r="D560" t="n">
        <v>0</v>
      </c>
      <c r="E560" t="s">
        <v>571</v>
      </c>
      <c r="F560" t="s"/>
      <c r="G560" t="s"/>
      <c r="H560" t="s"/>
      <c r="I560" t="s"/>
      <c r="J560" t="n">
        <v>-0.4588</v>
      </c>
      <c r="K560" t="n">
        <v>0.231</v>
      </c>
      <c r="L560" t="n">
        <v>0.769</v>
      </c>
      <c r="M560" t="n">
        <v>0</v>
      </c>
    </row>
    <row r="561" spans="1:13">
      <c r="A561" s="1">
        <f>HYPERLINK("http://www.twitter.com/NathanBLawrence/status/996855818959106048", "996855818959106048")</f>
        <v/>
      </c>
      <c r="B561" s="2" t="n">
        <v>43236.86946759259</v>
      </c>
      <c r="C561" t="n">
        <v>0</v>
      </c>
      <c r="D561" t="n">
        <v>510</v>
      </c>
      <c r="E561" t="s">
        <v>572</v>
      </c>
      <c r="F561">
        <f>HYPERLINK("https://video.twimg.com/amplify_video/996339454603296769/vid/1280x720/cTu2PLNza4JzZQFR.mp4?tag=2", "https://video.twimg.com/amplify_video/996339454603296769/vid/1280x720/cTu2PLNza4JzZQFR.mp4?tag=2")</f>
        <v/>
      </c>
      <c r="G561" t="s"/>
      <c r="H561" t="s"/>
      <c r="I561" t="s"/>
      <c r="J561" t="n">
        <v>-0.4215</v>
      </c>
      <c r="K561" t="n">
        <v>0.117</v>
      </c>
      <c r="L561" t="n">
        <v>0.833</v>
      </c>
      <c r="M561" t="n">
        <v>0.049</v>
      </c>
    </row>
    <row r="562" spans="1:13">
      <c r="A562" s="1">
        <f>HYPERLINK("http://www.twitter.com/NathanBLawrence/status/996855540176359427", "996855540176359427")</f>
        <v/>
      </c>
      <c r="B562" s="2" t="n">
        <v>43236.8687037037</v>
      </c>
      <c r="C562" t="n">
        <v>0</v>
      </c>
      <c r="D562" t="n">
        <v>0</v>
      </c>
      <c r="E562" t="s">
        <v>573</v>
      </c>
      <c r="F562" t="s"/>
      <c r="G562" t="s"/>
      <c r="H562" t="s"/>
      <c r="I562" t="s"/>
      <c r="J562" t="n">
        <v>-0.6249</v>
      </c>
      <c r="K562" t="n">
        <v>0.175</v>
      </c>
      <c r="L562" t="n">
        <v>0.752</v>
      </c>
      <c r="M562" t="n">
        <v>0.073</v>
      </c>
    </row>
    <row r="563" spans="1:13">
      <c r="A563" s="1">
        <f>HYPERLINK("http://www.twitter.com/NathanBLawrence/status/996854880303243265", "996854880303243265")</f>
        <v/>
      </c>
      <c r="B563" s="2" t="n">
        <v>43236.866875</v>
      </c>
      <c r="C563" t="n">
        <v>0</v>
      </c>
      <c r="D563" t="n">
        <v>0</v>
      </c>
      <c r="E563" t="s">
        <v>574</v>
      </c>
      <c r="F563" t="s"/>
      <c r="G563" t="s"/>
      <c r="H563" t="s"/>
      <c r="I563" t="s"/>
      <c r="J563" t="n">
        <v>0</v>
      </c>
      <c r="K563" t="n">
        <v>0</v>
      </c>
      <c r="L563" t="n">
        <v>1</v>
      </c>
      <c r="M563" t="n">
        <v>0</v>
      </c>
    </row>
    <row r="564" spans="1:13">
      <c r="A564" s="1">
        <f>HYPERLINK("http://www.twitter.com/NathanBLawrence/status/996854528464089089", "996854528464089089")</f>
        <v/>
      </c>
      <c r="B564" s="2" t="n">
        <v>43236.86590277778</v>
      </c>
      <c r="C564" t="n">
        <v>0</v>
      </c>
      <c r="D564" t="n">
        <v>3</v>
      </c>
      <c r="E564" t="s">
        <v>575</v>
      </c>
      <c r="F564">
        <f>HYPERLINK("http://pbs.twimg.com/media/DdPl0J5UwAAiQqh.jpg", "http://pbs.twimg.com/media/DdPl0J5UwAAiQqh.jpg")</f>
        <v/>
      </c>
      <c r="G564" t="s"/>
      <c r="H564" t="s"/>
      <c r="I564" t="s"/>
      <c r="J564" t="n">
        <v>0.4404</v>
      </c>
      <c r="K564" t="n">
        <v>0</v>
      </c>
      <c r="L564" t="n">
        <v>0.861</v>
      </c>
      <c r="M564" t="n">
        <v>0.139</v>
      </c>
    </row>
    <row r="565" spans="1:13">
      <c r="A565" s="1">
        <f>HYPERLINK("http://www.twitter.com/NathanBLawrence/status/996844102330265600", "996844102330265600")</f>
        <v/>
      </c>
      <c r="B565" s="2" t="n">
        <v>43236.8371412037</v>
      </c>
      <c r="C565" t="n">
        <v>0</v>
      </c>
      <c r="D565" t="n">
        <v>0</v>
      </c>
      <c r="E565" t="s">
        <v>576</v>
      </c>
      <c r="F565" t="s"/>
      <c r="G565" t="s"/>
      <c r="H565" t="s"/>
      <c r="I565" t="s"/>
      <c r="J565" t="n">
        <v>0</v>
      </c>
      <c r="K565" t="n">
        <v>0</v>
      </c>
      <c r="L565" t="n">
        <v>1</v>
      </c>
      <c r="M565" t="n">
        <v>0</v>
      </c>
    </row>
    <row r="566" spans="1:13">
      <c r="A566" s="1">
        <f>HYPERLINK("http://www.twitter.com/NathanBLawrence/status/996841497499787265", "996841497499787265")</f>
        <v/>
      </c>
      <c r="B566" s="2" t="n">
        <v>43236.8299537037</v>
      </c>
      <c r="C566" t="n">
        <v>0</v>
      </c>
      <c r="D566" t="n">
        <v>1</v>
      </c>
      <c r="E566" t="s">
        <v>577</v>
      </c>
      <c r="F566" t="s"/>
      <c r="G566" t="s"/>
      <c r="H566" t="s"/>
      <c r="I566" t="s"/>
      <c r="J566" t="n">
        <v>-0.34</v>
      </c>
      <c r="K566" t="n">
        <v>0.138</v>
      </c>
      <c r="L566" t="n">
        <v>0.862</v>
      </c>
      <c r="M566" t="n">
        <v>0</v>
      </c>
    </row>
    <row r="567" spans="1:13">
      <c r="A567" s="1">
        <f>HYPERLINK("http://www.twitter.com/NathanBLawrence/status/996841143487823872", "996841143487823872")</f>
        <v/>
      </c>
      <c r="B567" s="2" t="n">
        <v>43236.82896990741</v>
      </c>
      <c r="C567" t="n">
        <v>0</v>
      </c>
      <c r="D567" t="n">
        <v>0</v>
      </c>
      <c r="E567" t="s">
        <v>578</v>
      </c>
      <c r="F567" t="s"/>
      <c r="G567" t="s"/>
      <c r="H567" t="s"/>
      <c r="I567" t="s"/>
      <c r="J567" t="n">
        <v>0</v>
      </c>
      <c r="K567" t="n">
        <v>0</v>
      </c>
      <c r="L567" t="n">
        <v>1</v>
      </c>
      <c r="M567" t="n">
        <v>0</v>
      </c>
    </row>
    <row r="568" spans="1:13">
      <c r="A568" s="1">
        <f>HYPERLINK("http://www.twitter.com/NathanBLawrence/status/996840893008269322", "996840893008269322")</f>
        <v/>
      </c>
      <c r="B568" s="2" t="n">
        <v>43236.82827546296</v>
      </c>
      <c r="C568" t="n">
        <v>1</v>
      </c>
      <c r="D568" t="n">
        <v>0</v>
      </c>
      <c r="E568" t="s">
        <v>579</v>
      </c>
      <c r="F568" t="s"/>
      <c r="G568" t="s"/>
      <c r="H568" t="s"/>
      <c r="I568" t="s"/>
      <c r="J568" t="n">
        <v>0.5686</v>
      </c>
      <c r="K568" t="n">
        <v>0</v>
      </c>
      <c r="L568" t="n">
        <v>0.521</v>
      </c>
      <c r="M568" t="n">
        <v>0.479</v>
      </c>
    </row>
    <row r="569" spans="1:13">
      <c r="A569" s="1">
        <f>HYPERLINK("http://www.twitter.com/NathanBLawrence/status/996840721272528896", "996840721272528896")</f>
        <v/>
      </c>
      <c r="B569" s="2" t="n">
        <v>43236.8278125</v>
      </c>
      <c r="C569" t="n">
        <v>1</v>
      </c>
      <c r="D569" t="n">
        <v>0</v>
      </c>
      <c r="E569" t="s">
        <v>580</v>
      </c>
      <c r="F569" t="s"/>
      <c r="G569" t="s"/>
      <c r="H569" t="s"/>
      <c r="I569" t="s"/>
      <c r="J569" t="n">
        <v>0.5686</v>
      </c>
      <c r="K569" t="n">
        <v>0</v>
      </c>
      <c r="L569" t="n">
        <v>0.449</v>
      </c>
      <c r="M569" t="n">
        <v>0.551</v>
      </c>
    </row>
    <row r="570" spans="1:13">
      <c r="A570" s="1">
        <f>HYPERLINK("http://www.twitter.com/NathanBLawrence/status/996840637755482112", "996840637755482112")</f>
        <v/>
      </c>
      <c r="B570" s="2" t="n">
        <v>43236.82758101852</v>
      </c>
      <c r="C570" t="n">
        <v>0</v>
      </c>
      <c r="D570" t="n">
        <v>18</v>
      </c>
      <c r="E570" t="s">
        <v>581</v>
      </c>
      <c r="F570" t="s"/>
      <c r="G570" t="s"/>
      <c r="H570" t="s"/>
      <c r="I570" t="s"/>
      <c r="J570" t="n">
        <v>-0.6705</v>
      </c>
      <c r="K570" t="n">
        <v>0.224</v>
      </c>
      <c r="L570" t="n">
        <v>0.776</v>
      </c>
      <c r="M570" t="n">
        <v>0</v>
      </c>
    </row>
    <row r="571" spans="1:13">
      <c r="A571" s="1">
        <f>HYPERLINK("http://www.twitter.com/NathanBLawrence/status/996840586572369920", "996840586572369920")</f>
        <v/>
      </c>
      <c r="B571" s="2" t="n">
        <v>43236.82743055555</v>
      </c>
      <c r="C571" t="n">
        <v>1</v>
      </c>
      <c r="D571" t="n">
        <v>0</v>
      </c>
      <c r="E571" t="s">
        <v>582</v>
      </c>
      <c r="F571" t="s"/>
      <c r="G571" t="s"/>
      <c r="H571" t="s"/>
      <c r="I571" t="s"/>
      <c r="J571" t="n">
        <v>0</v>
      </c>
      <c r="K571" t="n">
        <v>0</v>
      </c>
      <c r="L571" t="n">
        <v>1</v>
      </c>
      <c r="M571" t="n">
        <v>0</v>
      </c>
    </row>
    <row r="572" spans="1:13">
      <c r="A572" s="1">
        <f>HYPERLINK("http://www.twitter.com/NathanBLawrence/status/996840471698821132", "996840471698821132")</f>
        <v/>
      </c>
      <c r="B572" s="2" t="n">
        <v>43236.82711805555</v>
      </c>
      <c r="C572" t="n">
        <v>1</v>
      </c>
      <c r="D572" t="n">
        <v>0</v>
      </c>
      <c r="E572" t="s">
        <v>583</v>
      </c>
      <c r="F572" t="s"/>
      <c r="G572" t="s"/>
      <c r="H572" t="s"/>
      <c r="I572" t="s"/>
      <c r="J572" t="n">
        <v>0.5399</v>
      </c>
      <c r="K572" t="n">
        <v>0</v>
      </c>
      <c r="L572" t="n">
        <v>0.775</v>
      </c>
      <c r="M572" t="n">
        <v>0.225</v>
      </c>
    </row>
    <row r="573" spans="1:13">
      <c r="A573" s="1">
        <f>HYPERLINK("http://www.twitter.com/NathanBLawrence/status/996838594873626625", "996838594873626625")</f>
        <v/>
      </c>
      <c r="B573" s="2" t="n">
        <v>43236.82194444445</v>
      </c>
      <c r="C573" t="n">
        <v>0</v>
      </c>
      <c r="D573" t="n">
        <v>11</v>
      </c>
      <c r="E573" t="s">
        <v>584</v>
      </c>
      <c r="F573">
        <f>HYPERLINK("http://pbs.twimg.com/media/DdSVEEfVwAAi2DL.jpg", "http://pbs.twimg.com/media/DdSVEEfVwAAi2DL.jpg")</f>
        <v/>
      </c>
      <c r="G573" t="s"/>
      <c r="H573" t="s"/>
      <c r="I573" t="s"/>
      <c r="J573" t="n">
        <v>0</v>
      </c>
      <c r="K573" t="n">
        <v>0</v>
      </c>
      <c r="L573" t="n">
        <v>1</v>
      </c>
      <c r="M573" t="n">
        <v>0</v>
      </c>
    </row>
    <row r="574" spans="1:13">
      <c r="A574" s="1">
        <f>HYPERLINK("http://www.twitter.com/NathanBLawrence/status/996838553995939841", "996838553995939841")</f>
        <v/>
      </c>
      <c r="B574" s="2" t="n">
        <v>43236.8218287037</v>
      </c>
      <c r="C574" t="n">
        <v>0</v>
      </c>
      <c r="D574" t="n">
        <v>4</v>
      </c>
      <c r="E574" t="s">
        <v>585</v>
      </c>
      <c r="F574">
        <f>HYPERLINK("http://pbs.twimg.com/media/DdUyAV5XUAAXbej.jpg", "http://pbs.twimg.com/media/DdUyAV5XUAAXbej.jpg")</f>
        <v/>
      </c>
      <c r="G574" t="s"/>
      <c r="H574" t="s"/>
      <c r="I574" t="s"/>
      <c r="J574" t="n">
        <v>0</v>
      </c>
      <c r="K574" t="n">
        <v>0</v>
      </c>
      <c r="L574" t="n">
        <v>1</v>
      </c>
      <c r="M574" t="n">
        <v>0</v>
      </c>
    </row>
    <row r="575" spans="1:13">
      <c r="A575" s="1">
        <f>HYPERLINK("http://www.twitter.com/NathanBLawrence/status/996837752695148545", "996837752695148545")</f>
        <v/>
      </c>
      <c r="B575" s="2" t="n">
        <v>43236.81961805555</v>
      </c>
      <c r="C575" t="n">
        <v>0</v>
      </c>
      <c r="D575" t="n">
        <v>2566</v>
      </c>
      <c r="E575" t="s">
        <v>586</v>
      </c>
      <c r="F575" t="s"/>
      <c r="G575" t="s"/>
      <c r="H575" t="s"/>
      <c r="I575" t="s"/>
      <c r="J575" t="n">
        <v>-0.4389</v>
      </c>
      <c r="K575" t="n">
        <v>0.225</v>
      </c>
      <c r="L575" t="n">
        <v>0.662</v>
      </c>
      <c r="M575" t="n">
        <v>0.113</v>
      </c>
    </row>
    <row r="576" spans="1:13">
      <c r="A576" s="1">
        <f>HYPERLINK("http://www.twitter.com/NathanBLawrence/status/996835659074686976", "996835659074686976")</f>
        <v/>
      </c>
      <c r="B576" s="2" t="n">
        <v>43236.81384259259</v>
      </c>
      <c r="C576" t="n">
        <v>0</v>
      </c>
      <c r="D576" t="n">
        <v>0</v>
      </c>
      <c r="E576" t="s">
        <v>587</v>
      </c>
      <c r="F576" t="s"/>
      <c r="G576" t="s"/>
      <c r="H576" t="s"/>
      <c r="I576" t="s"/>
      <c r="J576" t="n">
        <v>0.6369</v>
      </c>
      <c r="K576" t="n">
        <v>0</v>
      </c>
      <c r="L576" t="n">
        <v>0.543</v>
      </c>
      <c r="M576" t="n">
        <v>0.457</v>
      </c>
    </row>
    <row r="577" spans="1:13">
      <c r="A577" s="1">
        <f>HYPERLINK("http://www.twitter.com/NathanBLawrence/status/996835122803593221", "996835122803593221")</f>
        <v/>
      </c>
      <c r="B577" s="2" t="n">
        <v>43236.81236111111</v>
      </c>
      <c r="C577" t="n">
        <v>0</v>
      </c>
      <c r="D577" t="n">
        <v>0</v>
      </c>
      <c r="E577" t="s">
        <v>588</v>
      </c>
      <c r="F577" t="s"/>
      <c r="G577" t="s"/>
      <c r="H577" t="s"/>
      <c r="I577" t="s"/>
      <c r="J577" t="n">
        <v>0</v>
      </c>
      <c r="K577" t="n">
        <v>0</v>
      </c>
      <c r="L577" t="n">
        <v>1</v>
      </c>
      <c r="M577" t="n">
        <v>0</v>
      </c>
    </row>
    <row r="578" spans="1:13">
      <c r="A578" s="1">
        <f>HYPERLINK("http://www.twitter.com/NathanBLawrence/status/996835091673501698", "996835091673501698")</f>
        <v/>
      </c>
      <c r="B578" s="2" t="n">
        <v>43236.81226851852</v>
      </c>
      <c r="C578" t="n">
        <v>0</v>
      </c>
      <c r="D578" t="n">
        <v>15</v>
      </c>
      <c r="E578" t="s">
        <v>589</v>
      </c>
      <c r="F578" t="s"/>
      <c r="G578" t="s"/>
      <c r="H578" t="s"/>
      <c r="I578" t="s"/>
      <c r="J578" t="n">
        <v>0</v>
      </c>
      <c r="K578" t="n">
        <v>0</v>
      </c>
      <c r="L578" t="n">
        <v>1</v>
      </c>
      <c r="M578" t="n">
        <v>0</v>
      </c>
    </row>
    <row r="579" spans="1:13">
      <c r="A579" s="1">
        <f>HYPERLINK("http://www.twitter.com/NathanBLawrence/status/996835019636264960", "996835019636264960")</f>
        <v/>
      </c>
      <c r="B579" s="2" t="n">
        <v>43236.81207175926</v>
      </c>
      <c r="C579" t="n">
        <v>0</v>
      </c>
      <c r="D579" t="n">
        <v>0</v>
      </c>
      <c r="E579" t="s">
        <v>590</v>
      </c>
      <c r="F579" t="s"/>
      <c r="G579" t="s"/>
      <c r="H579" t="s"/>
      <c r="I579" t="s"/>
      <c r="J579" t="n">
        <v>0</v>
      </c>
      <c r="K579" t="n">
        <v>0</v>
      </c>
      <c r="L579" t="n">
        <v>1</v>
      </c>
      <c r="M579" t="n">
        <v>0</v>
      </c>
    </row>
    <row r="580" spans="1:13">
      <c r="A580" s="1">
        <f>HYPERLINK("http://www.twitter.com/NathanBLawrence/status/996834991626649600", "996834991626649600")</f>
        <v/>
      </c>
      <c r="B580" s="2" t="n">
        <v>43236.81199074074</v>
      </c>
      <c r="C580" t="n">
        <v>0</v>
      </c>
      <c r="D580" t="n">
        <v>34</v>
      </c>
      <c r="E580" t="s">
        <v>591</v>
      </c>
      <c r="F580" t="s"/>
      <c r="G580" t="s"/>
      <c r="H580" t="s"/>
      <c r="I580" t="s"/>
      <c r="J580" t="n">
        <v>0</v>
      </c>
      <c r="K580" t="n">
        <v>0</v>
      </c>
      <c r="L580" t="n">
        <v>1</v>
      </c>
      <c r="M580" t="n">
        <v>0</v>
      </c>
    </row>
    <row r="581" spans="1:13">
      <c r="A581" s="1">
        <f>HYPERLINK("http://www.twitter.com/NathanBLawrence/status/996834907430313990", "996834907430313990")</f>
        <v/>
      </c>
      <c r="B581" s="2" t="n">
        <v>43236.81175925926</v>
      </c>
      <c r="C581" t="n">
        <v>0</v>
      </c>
      <c r="D581" t="n">
        <v>0</v>
      </c>
      <c r="E581" t="s">
        <v>592</v>
      </c>
      <c r="F581" t="s"/>
      <c r="G581" t="s"/>
      <c r="H581" t="s"/>
      <c r="I581" t="s"/>
      <c r="J581" t="n">
        <v>0.2617</v>
      </c>
      <c r="K581" t="n">
        <v>0</v>
      </c>
      <c r="L581" t="n">
        <v>0.783</v>
      </c>
      <c r="M581" t="n">
        <v>0.217</v>
      </c>
    </row>
    <row r="582" spans="1:13">
      <c r="A582" s="1">
        <f>HYPERLINK("http://www.twitter.com/NathanBLawrence/status/996832788727951364", "996832788727951364")</f>
        <v/>
      </c>
      <c r="B582" s="2" t="n">
        <v>43236.80591435185</v>
      </c>
      <c r="C582" t="n">
        <v>0</v>
      </c>
      <c r="D582" t="n">
        <v>0</v>
      </c>
      <c r="E582" t="s">
        <v>593</v>
      </c>
      <c r="F582" t="s"/>
      <c r="G582" t="s"/>
      <c r="H582" t="s"/>
      <c r="I582" t="s"/>
      <c r="J582" t="n">
        <v>0</v>
      </c>
      <c r="K582" t="n">
        <v>0</v>
      </c>
      <c r="L582" t="n">
        <v>1</v>
      </c>
      <c r="M582" t="n">
        <v>0</v>
      </c>
    </row>
    <row r="583" spans="1:13">
      <c r="A583" s="1">
        <f>HYPERLINK("http://www.twitter.com/NathanBLawrence/status/996832483898482690", "996832483898482690")</f>
        <v/>
      </c>
      <c r="B583" s="2" t="n">
        <v>43236.80508101852</v>
      </c>
      <c r="C583" t="n">
        <v>0</v>
      </c>
      <c r="D583" t="n">
        <v>15614</v>
      </c>
      <c r="E583" t="s">
        <v>594</v>
      </c>
      <c r="F583">
        <f>HYPERLINK("http://pbs.twimg.com/media/DdVrgBVWsAIC9eB.jpg", "http://pbs.twimg.com/media/DdVrgBVWsAIC9eB.jpg")</f>
        <v/>
      </c>
      <c r="G583" t="s"/>
      <c r="H583" t="s"/>
      <c r="I583" t="s"/>
      <c r="J583" t="n">
        <v>-0.0258</v>
      </c>
      <c r="K583" t="n">
        <v>0.055</v>
      </c>
      <c r="L583" t="n">
        <v>0.945</v>
      </c>
      <c r="M583" t="n">
        <v>0</v>
      </c>
    </row>
    <row r="584" spans="1:13">
      <c r="A584" s="1">
        <f>HYPERLINK("http://www.twitter.com/NathanBLawrence/status/996832410024148992", "996832410024148992")</f>
        <v/>
      </c>
      <c r="B584" s="2" t="n">
        <v>43236.80487268518</v>
      </c>
      <c r="C584" t="n">
        <v>0</v>
      </c>
      <c r="D584" t="n">
        <v>7845</v>
      </c>
      <c r="E584" t="s">
        <v>595</v>
      </c>
      <c r="F584" t="s"/>
      <c r="G584" t="s"/>
      <c r="H584" t="s"/>
      <c r="I584" t="s"/>
      <c r="J584" t="n">
        <v>0.7269</v>
      </c>
      <c r="K584" t="n">
        <v>0</v>
      </c>
      <c r="L584" t="n">
        <v>0.757</v>
      </c>
      <c r="M584" t="n">
        <v>0.243</v>
      </c>
    </row>
    <row r="585" spans="1:13">
      <c r="A585" s="1">
        <f>HYPERLINK("http://www.twitter.com/NathanBLawrence/status/996831217457750017", "996831217457750017")</f>
        <v/>
      </c>
      <c r="B585" s="2" t="n">
        <v>43236.80158564815</v>
      </c>
      <c r="C585" t="n">
        <v>0</v>
      </c>
      <c r="D585" t="n">
        <v>947</v>
      </c>
      <c r="E585" t="s">
        <v>596</v>
      </c>
      <c r="F585" t="s"/>
      <c r="G585" t="s"/>
      <c r="H585" t="s"/>
      <c r="I585" t="s"/>
      <c r="J585" t="n">
        <v>0</v>
      </c>
      <c r="K585" t="n">
        <v>0</v>
      </c>
      <c r="L585" t="n">
        <v>1</v>
      </c>
      <c r="M585" t="n">
        <v>0</v>
      </c>
    </row>
    <row r="586" spans="1:13">
      <c r="A586" s="1">
        <f>HYPERLINK("http://www.twitter.com/NathanBLawrence/status/996831104245133312", "996831104245133312")</f>
        <v/>
      </c>
      <c r="B586" s="2" t="n">
        <v>43236.80127314815</v>
      </c>
      <c r="C586" t="n">
        <v>0</v>
      </c>
      <c r="D586" t="n">
        <v>14355</v>
      </c>
      <c r="E586" t="s">
        <v>597</v>
      </c>
      <c r="F586" t="s"/>
      <c r="G586" t="s"/>
      <c r="H586" t="s"/>
      <c r="I586" t="s"/>
      <c r="J586" t="n">
        <v>0.3716</v>
      </c>
      <c r="K586" t="n">
        <v>0</v>
      </c>
      <c r="L586" t="n">
        <v>0.887</v>
      </c>
      <c r="M586" t="n">
        <v>0.113</v>
      </c>
    </row>
    <row r="587" spans="1:13">
      <c r="A587" s="1">
        <f>HYPERLINK("http://www.twitter.com/NathanBLawrence/status/996830477645504512", "996830477645504512")</f>
        <v/>
      </c>
      <c r="B587" s="2" t="n">
        <v>43236.79953703703</v>
      </c>
      <c r="C587" t="n">
        <v>0</v>
      </c>
      <c r="D587" t="n">
        <v>1636</v>
      </c>
      <c r="E587" t="s">
        <v>598</v>
      </c>
      <c r="F587" t="s"/>
      <c r="G587" t="s"/>
      <c r="H587" t="s"/>
      <c r="I587" t="s"/>
      <c r="J587" t="n">
        <v>0.4019</v>
      </c>
      <c r="K587" t="n">
        <v>0</v>
      </c>
      <c r="L587" t="n">
        <v>0.881</v>
      </c>
      <c r="M587" t="n">
        <v>0.119</v>
      </c>
    </row>
    <row r="588" spans="1:13">
      <c r="A588" s="1">
        <f>HYPERLINK("http://www.twitter.com/NathanBLawrence/status/996830113571459077", "996830113571459077")</f>
        <v/>
      </c>
      <c r="B588" s="2" t="n">
        <v>43236.79853009259</v>
      </c>
      <c r="C588" t="n">
        <v>0</v>
      </c>
      <c r="D588" t="n">
        <v>8</v>
      </c>
      <c r="E588" t="s">
        <v>599</v>
      </c>
      <c r="F588" t="s"/>
      <c r="G588" t="s"/>
      <c r="H588" t="s"/>
      <c r="I588" t="s"/>
      <c r="J588" t="n">
        <v>0</v>
      </c>
      <c r="K588" t="n">
        <v>0</v>
      </c>
      <c r="L588" t="n">
        <v>1</v>
      </c>
      <c r="M588" t="n">
        <v>0</v>
      </c>
    </row>
    <row r="589" spans="1:13">
      <c r="A589" s="1">
        <f>HYPERLINK("http://www.twitter.com/NathanBLawrence/status/996827390142812165", "996827390142812165")</f>
        <v/>
      </c>
      <c r="B589" s="2" t="n">
        <v>43236.79101851852</v>
      </c>
      <c r="C589" t="n">
        <v>0</v>
      </c>
      <c r="D589" t="n">
        <v>13</v>
      </c>
      <c r="E589" t="s">
        <v>600</v>
      </c>
      <c r="F589">
        <f>HYPERLINK("http://pbs.twimg.com/media/DajMWuKUMAAv462.jpg", "http://pbs.twimg.com/media/DajMWuKUMAAv462.jpg")</f>
        <v/>
      </c>
      <c r="G589" t="s"/>
      <c r="H589" t="s"/>
      <c r="I589" t="s"/>
      <c r="J589" t="n">
        <v>0.1531</v>
      </c>
      <c r="K589" t="n">
        <v>0</v>
      </c>
      <c r="L589" t="n">
        <v>0.904</v>
      </c>
      <c r="M589" t="n">
        <v>0.096</v>
      </c>
    </row>
    <row r="590" spans="1:13">
      <c r="A590" s="1">
        <f>HYPERLINK("http://www.twitter.com/NathanBLawrence/status/996827234534084609", "996827234534084609")</f>
        <v/>
      </c>
      <c r="B590" s="2" t="n">
        <v>43236.79059027778</v>
      </c>
      <c r="C590" t="n">
        <v>0</v>
      </c>
      <c r="D590" t="n">
        <v>1</v>
      </c>
      <c r="E590" t="s">
        <v>601</v>
      </c>
      <c r="F590" t="s"/>
      <c r="G590" t="s"/>
      <c r="H590" t="s"/>
      <c r="I590" t="s"/>
      <c r="J590" t="n">
        <v>-0.5574</v>
      </c>
      <c r="K590" t="n">
        <v>0.223</v>
      </c>
      <c r="L590" t="n">
        <v>0.777</v>
      </c>
      <c r="M590" t="n">
        <v>0</v>
      </c>
    </row>
    <row r="591" spans="1:13">
      <c r="A591" s="1">
        <f>HYPERLINK("http://www.twitter.com/NathanBLawrence/status/996822902744997889", "996822902744997889")</f>
        <v/>
      </c>
      <c r="B591" s="2" t="n">
        <v>43236.77863425926</v>
      </c>
      <c r="C591" t="n">
        <v>0</v>
      </c>
      <c r="D591" t="n">
        <v>7484</v>
      </c>
      <c r="E591" t="s">
        <v>602</v>
      </c>
      <c r="F591" t="s"/>
      <c r="G591" t="s"/>
      <c r="H591" t="s"/>
      <c r="I591" t="s"/>
      <c r="J591" t="n">
        <v>0.0516</v>
      </c>
      <c r="K591" t="n">
        <v>0.096</v>
      </c>
      <c r="L591" t="n">
        <v>0.8</v>
      </c>
      <c r="M591" t="n">
        <v>0.104</v>
      </c>
    </row>
    <row r="592" spans="1:13">
      <c r="A592" s="1">
        <f>HYPERLINK("http://www.twitter.com/NathanBLawrence/status/996822836332388352", "996822836332388352")</f>
        <v/>
      </c>
      <c r="B592" s="2" t="n">
        <v>43236.77844907407</v>
      </c>
      <c r="C592" t="n">
        <v>0</v>
      </c>
      <c r="D592" t="n">
        <v>1418</v>
      </c>
      <c r="E592" t="s">
        <v>603</v>
      </c>
      <c r="F592" t="s"/>
      <c r="G592" t="s"/>
      <c r="H592" t="s"/>
      <c r="I592" t="s"/>
      <c r="J592" t="n">
        <v>-0.4588</v>
      </c>
      <c r="K592" t="n">
        <v>0.107</v>
      </c>
      <c r="L592" t="n">
        <v>0.893</v>
      </c>
      <c r="M592" t="n">
        <v>0</v>
      </c>
    </row>
    <row r="593" spans="1:13">
      <c r="A593" s="1">
        <f>HYPERLINK("http://www.twitter.com/NathanBLawrence/status/996822574016487424", "996822574016487424")</f>
        <v/>
      </c>
      <c r="B593" s="2" t="n">
        <v>43236.77773148148</v>
      </c>
      <c r="C593" t="n">
        <v>1</v>
      </c>
      <c r="D593" t="n">
        <v>0</v>
      </c>
      <c r="E593" t="s">
        <v>604</v>
      </c>
      <c r="F593" t="s"/>
      <c r="G593" t="s"/>
      <c r="H593" t="s"/>
      <c r="I593" t="s"/>
      <c r="J593" t="n">
        <v>0.2732</v>
      </c>
      <c r="K593" t="n">
        <v>0.049</v>
      </c>
      <c r="L593" t="n">
        <v>0.861</v>
      </c>
      <c r="M593" t="n">
        <v>0.09</v>
      </c>
    </row>
    <row r="594" spans="1:13">
      <c r="A594" s="1">
        <f>HYPERLINK("http://www.twitter.com/NathanBLawrence/status/996821647956037633", "996821647956037633")</f>
        <v/>
      </c>
      <c r="B594" s="2" t="n">
        <v>43236.77517361111</v>
      </c>
      <c r="C594" t="n">
        <v>0</v>
      </c>
      <c r="D594" t="n">
        <v>0</v>
      </c>
      <c r="E594" t="s">
        <v>605</v>
      </c>
      <c r="F594" t="s"/>
      <c r="G594" t="s"/>
      <c r="H594" t="s"/>
      <c r="I594" t="s"/>
      <c r="J594" t="n">
        <v>0.2263</v>
      </c>
      <c r="K594" t="n">
        <v>0.077</v>
      </c>
      <c r="L594" t="n">
        <v>0.849</v>
      </c>
      <c r="M594" t="n">
        <v>0.074</v>
      </c>
    </row>
    <row r="595" spans="1:13">
      <c r="A595" s="1">
        <f>HYPERLINK("http://www.twitter.com/NathanBLawrence/status/996488751751811072", "996488751751811072")</f>
        <v/>
      </c>
      <c r="B595" s="2" t="n">
        <v>43235.85655092593</v>
      </c>
      <c r="C595" t="n">
        <v>0</v>
      </c>
      <c r="D595" t="n">
        <v>1</v>
      </c>
      <c r="E595" t="s">
        <v>606</v>
      </c>
      <c r="F595" t="s"/>
      <c r="G595" t="s"/>
      <c r="H595" t="s"/>
      <c r="I595" t="s"/>
      <c r="J595" t="n">
        <v>-0.5106000000000001</v>
      </c>
      <c r="K595" t="n">
        <v>0.155</v>
      </c>
      <c r="L595" t="n">
        <v>0.845</v>
      </c>
      <c r="M595" t="n">
        <v>0</v>
      </c>
    </row>
    <row r="596" spans="1:13">
      <c r="A596" s="1">
        <f>HYPERLINK("http://www.twitter.com/NathanBLawrence/status/996488681220395008", "996488681220395008")</f>
        <v/>
      </c>
      <c r="B596" s="2" t="n">
        <v>43235.85636574074</v>
      </c>
      <c r="C596" t="n">
        <v>0</v>
      </c>
      <c r="D596" t="n">
        <v>0</v>
      </c>
      <c r="E596" t="s">
        <v>607</v>
      </c>
      <c r="F596" t="s"/>
      <c r="G596" t="s"/>
      <c r="H596" t="s"/>
      <c r="I596" t="s"/>
      <c r="J596" t="n">
        <v>-0.5225</v>
      </c>
      <c r="K596" t="n">
        <v>0.174</v>
      </c>
      <c r="L596" t="n">
        <v>0.716</v>
      </c>
      <c r="M596" t="n">
        <v>0.11</v>
      </c>
    </row>
    <row r="597" spans="1:13">
      <c r="A597" s="1">
        <f>HYPERLINK("http://www.twitter.com/NathanBLawrence/status/996487980771692546", "996487980771692546")</f>
        <v/>
      </c>
      <c r="B597" s="2" t="n">
        <v>43235.85443287037</v>
      </c>
      <c r="C597" t="n">
        <v>0</v>
      </c>
      <c r="D597" t="n">
        <v>2</v>
      </c>
      <c r="E597" t="s">
        <v>608</v>
      </c>
      <c r="F597" t="s"/>
      <c r="G597" t="s"/>
      <c r="H597" t="s"/>
      <c r="I597" t="s"/>
      <c r="J597" t="n">
        <v>0</v>
      </c>
      <c r="K597" t="n">
        <v>0</v>
      </c>
      <c r="L597" t="n">
        <v>1</v>
      </c>
      <c r="M597" t="n">
        <v>0</v>
      </c>
    </row>
    <row r="598" spans="1:13">
      <c r="A598" s="1">
        <f>HYPERLINK("http://www.twitter.com/NathanBLawrence/status/996487958118223872", "996487958118223872")</f>
        <v/>
      </c>
      <c r="B598" s="2" t="n">
        <v>43235.85436342593</v>
      </c>
      <c r="C598" t="n">
        <v>0</v>
      </c>
      <c r="D598" t="n">
        <v>1</v>
      </c>
      <c r="E598" t="s">
        <v>609</v>
      </c>
      <c r="F598" t="s"/>
      <c r="G598" t="s"/>
      <c r="H598" t="s"/>
      <c r="I598" t="s"/>
      <c r="J598" t="n">
        <v>0.7568</v>
      </c>
      <c r="K598" t="n">
        <v>0</v>
      </c>
      <c r="L598" t="n">
        <v>0.481</v>
      </c>
      <c r="M598" t="n">
        <v>0.519</v>
      </c>
    </row>
    <row r="599" spans="1:13">
      <c r="A599" s="1">
        <f>HYPERLINK("http://www.twitter.com/NathanBLawrence/status/996487917056020480", "996487917056020480")</f>
        <v/>
      </c>
      <c r="B599" s="2" t="n">
        <v>43235.85424768519</v>
      </c>
      <c r="C599" t="n">
        <v>0</v>
      </c>
      <c r="D599" t="n">
        <v>1</v>
      </c>
      <c r="E599" t="s">
        <v>610</v>
      </c>
      <c r="F599">
        <f>HYPERLINK("http://pbs.twimg.com/media/DdN8Jy5W0AAqlBD.jpg", "http://pbs.twimg.com/media/DdN8Jy5W0AAqlBD.jpg")</f>
        <v/>
      </c>
      <c r="G599" t="s"/>
      <c r="H599" t="s"/>
      <c r="I599" t="s"/>
      <c r="J599" t="n">
        <v>-0.2942</v>
      </c>
      <c r="K599" t="n">
        <v>0.121</v>
      </c>
      <c r="L599" t="n">
        <v>0.8110000000000001</v>
      </c>
      <c r="M599" t="n">
        <v>0.068</v>
      </c>
    </row>
    <row r="600" spans="1:13">
      <c r="A600" s="1">
        <f>HYPERLINK("http://www.twitter.com/NathanBLawrence/status/996487834344312832", "996487834344312832")</f>
        <v/>
      </c>
      <c r="B600" s="2" t="n">
        <v>43235.85402777778</v>
      </c>
      <c r="C600" t="n">
        <v>0</v>
      </c>
      <c r="D600" t="n">
        <v>1</v>
      </c>
      <c r="E600" t="s">
        <v>611</v>
      </c>
      <c r="F600" t="s"/>
      <c r="G600" t="s"/>
      <c r="H600" t="s"/>
      <c r="I600" t="s"/>
      <c r="J600" t="n">
        <v>-0.2023</v>
      </c>
      <c r="K600" t="n">
        <v>0.231</v>
      </c>
      <c r="L600" t="n">
        <v>0.769</v>
      </c>
      <c r="M600" t="n">
        <v>0</v>
      </c>
    </row>
    <row r="601" spans="1:13">
      <c r="A601" s="1">
        <f>HYPERLINK("http://www.twitter.com/NathanBLawrence/status/996487757584314368", "996487757584314368")</f>
        <v/>
      </c>
      <c r="B601" s="2" t="n">
        <v>43235.85380787037</v>
      </c>
      <c r="C601" t="n">
        <v>0</v>
      </c>
      <c r="D601" t="n">
        <v>6</v>
      </c>
      <c r="E601" t="s">
        <v>612</v>
      </c>
      <c r="F601" t="s"/>
      <c r="G601" t="s"/>
      <c r="H601" t="s"/>
      <c r="I601" t="s"/>
      <c r="J601" t="n">
        <v>-0.5266999999999999</v>
      </c>
      <c r="K601" t="n">
        <v>0.152</v>
      </c>
      <c r="L601" t="n">
        <v>0.848</v>
      </c>
      <c r="M601" t="n">
        <v>0</v>
      </c>
    </row>
    <row r="602" spans="1:13">
      <c r="A602" s="1">
        <f>HYPERLINK("http://www.twitter.com/NathanBLawrence/status/996487748793044993", "996487748793044993")</f>
        <v/>
      </c>
      <c r="B602" s="2" t="n">
        <v>43235.85378472223</v>
      </c>
      <c r="C602" t="n">
        <v>0</v>
      </c>
      <c r="D602" t="n">
        <v>34</v>
      </c>
      <c r="E602" t="s">
        <v>613</v>
      </c>
      <c r="F602" t="s"/>
      <c r="G602" t="s"/>
      <c r="H602" t="s"/>
      <c r="I602" t="s"/>
      <c r="J602" t="n">
        <v>-0.6486</v>
      </c>
      <c r="K602" t="n">
        <v>0.202</v>
      </c>
      <c r="L602" t="n">
        <v>0.798</v>
      </c>
      <c r="M602" t="n">
        <v>0</v>
      </c>
    </row>
    <row r="603" spans="1:13">
      <c r="A603" s="1">
        <f>HYPERLINK("http://www.twitter.com/NathanBLawrence/status/996487598318280705", "996487598318280705")</f>
        <v/>
      </c>
      <c r="B603" s="2" t="n">
        <v>43235.85336805556</v>
      </c>
      <c r="C603" t="n">
        <v>2</v>
      </c>
      <c r="D603" t="n">
        <v>1</v>
      </c>
      <c r="E603" t="s">
        <v>614</v>
      </c>
      <c r="F603" t="s"/>
      <c r="G603" t="s"/>
      <c r="H603" t="s"/>
      <c r="I603" t="s"/>
      <c r="J603" t="n">
        <v>-0.875</v>
      </c>
      <c r="K603" t="n">
        <v>0.334</v>
      </c>
      <c r="L603" t="n">
        <v>0.608</v>
      </c>
      <c r="M603" t="n">
        <v>0.058</v>
      </c>
    </row>
    <row r="604" spans="1:13">
      <c r="A604" s="1">
        <f>HYPERLINK("http://www.twitter.com/NathanBLawrence/status/996486851660795904", "996486851660795904")</f>
        <v/>
      </c>
      <c r="B604" s="2" t="n">
        <v>43235.85130787037</v>
      </c>
      <c r="C604" t="n">
        <v>0</v>
      </c>
      <c r="D604" t="n">
        <v>13</v>
      </c>
      <c r="E604" t="s">
        <v>615</v>
      </c>
      <c r="F604" t="s"/>
      <c r="G604" t="s"/>
      <c r="H604" t="s"/>
      <c r="I604" t="s"/>
      <c r="J604" t="n">
        <v>-0.5859</v>
      </c>
      <c r="K604" t="n">
        <v>0.202</v>
      </c>
      <c r="L604" t="n">
        <v>0.798</v>
      </c>
      <c r="M604" t="n">
        <v>0</v>
      </c>
    </row>
    <row r="605" spans="1:13">
      <c r="A605" s="1">
        <f>HYPERLINK("http://www.twitter.com/NathanBLawrence/status/996486759608438784", "996486759608438784")</f>
        <v/>
      </c>
      <c r="B605" s="2" t="n">
        <v>43235.85105324074</v>
      </c>
      <c r="C605" t="n">
        <v>6</v>
      </c>
      <c r="D605" t="n">
        <v>3</v>
      </c>
      <c r="E605" t="s">
        <v>616</v>
      </c>
      <c r="F605" t="s"/>
      <c r="G605" t="s"/>
      <c r="H605" t="s"/>
      <c r="I605" t="s"/>
      <c r="J605" t="n">
        <v>0</v>
      </c>
      <c r="K605" t="n">
        <v>0</v>
      </c>
      <c r="L605" t="n">
        <v>1</v>
      </c>
      <c r="M605" t="n">
        <v>0</v>
      </c>
    </row>
    <row r="606" spans="1:13">
      <c r="A606" s="1">
        <f>HYPERLINK("http://www.twitter.com/NathanBLawrence/status/996486334834454530", "996486334834454530")</f>
        <v/>
      </c>
      <c r="B606" s="2" t="n">
        <v>43235.84988425926</v>
      </c>
      <c r="C606" t="n">
        <v>0</v>
      </c>
      <c r="D606" t="n">
        <v>31</v>
      </c>
      <c r="E606" t="s">
        <v>617</v>
      </c>
      <c r="F606" t="s"/>
      <c r="G606" t="s"/>
      <c r="H606" t="s"/>
      <c r="I606" t="s"/>
      <c r="J606" t="n">
        <v>-0.296</v>
      </c>
      <c r="K606" t="n">
        <v>0.121</v>
      </c>
      <c r="L606" t="n">
        <v>0.879</v>
      </c>
      <c r="M606" t="n">
        <v>0</v>
      </c>
    </row>
    <row r="607" spans="1:13">
      <c r="A607" s="1">
        <f>HYPERLINK("http://www.twitter.com/NathanBLawrence/status/996486287732498433", "996486287732498433")</f>
        <v/>
      </c>
      <c r="B607" s="2" t="n">
        <v>43235.84975694444</v>
      </c>
      <c r="C607" t="n">
        <v>0</v>
      </c>
      <c r="D607" t="n">
        <v>17</v>
      </c>
      <c r="E607" t="s">
        <v>618</v>
      </c>
      <c r="F607" t="s"/>
      <c r="G607" t="s"/>
      <c r="H607" t="s"/>
      <c r="I607" t="s"/>
      <c r="J607" t="n">
        <v>-0.7184</v>
      </c>
      <c r="K607" t="n">
        <v>0.214</v>
      </c>
      <c r="L607" t="n">
        <v>0.786</v>
      </c>
      <c r="M607" t="n">
        <v>0</v>
      </c>
    </row>
    <row r="608" spans="1:13">
      <c r="A608" s="1">
        <f>HYPERLINK("http://www.twitter.com/NathanBLawrence/status/996486110015614978", "996486110015614978")</f>
        <v/>
      </c>
      <c r="B608" s="2" t="n">
        <v>43235.84927083334</v>
      </c>
      <c r="C608" t="n">
        <v>0</v>
      </c>
      <c r="D608" t="n">
        <v>9</v>
      </c>
      <c r="E608" t="s">
        <v>619</v>
      </c>
      <c r="F608" t="s"/>
      <c r="G608" t="s"/>
      <c r="H608" t="s"/>
      <c r="I608" t="s"/>
      <c r="J608" t="n">
        <v>-0.5266999999999999</v>
      </c>
      <c r="K608" t="n">
        <v>0.221</v>
      </c>
      <c r="L608" t="n">
        <v>0.779</v>
      </c>
      <c r="M608" t="n">
        <v>0</v>
      </c>
    </row>
    <row r="609" spans="1:13">
      <c r="A609" s="1">
        <f>HYPERLINK("http://www.twitter.com/NathanBLawrence/status/996486087034929152", "996486087034929152")</f>
        <v/>
      </c>
      <c r="B609" s="2" t="n">
        <v>43235.84920138889</v>
      </c>
      <c r="C609" t="n">
        <v>0</v>
      </c>
      <c r="D609" t="n">
        <v>42</v>
      </c>
      <c r="E609" t="s">
        <v>620</v>
      </c>
      <c r="F609" t="s"/>
      <c r="G609" t="s"/>
      <c r="H609" t="s"/>
      <c r="I609" t="s"/>
      <c r="J609" t="n">
        <v>-0.5266999999999999</v>
      </c>
      <c r="K609" t="n">
        <v>0.185</v>
      </c>
      <c r="L609" t="n">
        <v>0.8149999999999999</v>
      </c>
      <c r="M609" t="n">
        <v>0</v>
      </c>
    </row>
    <row r="610" spans="1:13">
      <c r="A610" s="1">
        <f>HYPERLINK("http://www.twitter.com/NathanBLawrence/status/996485915362185216", "996485915362185216")</f>
        <v/>
      </c>
      <c r="B610" s="2" t="n">
        <v>43235.84872685185</v>
      </c>
      <c r="C610" t="n">
        <v>0</v>
      </c>
      <c r="D610" t="n">
        <v>168</v>
      </c>
      <c r="E610" t="s">
        <v>621</v>
      </c>
      <c r="F610" t="s"/>
      <c r="G610" t="s"/>
      <c r="H610" t="s"/>
      <c r="I610" t="s"/>
      <c r="J610" t="n">
        <v>-0.5423</v>
      </c>
      <c r="K610" t="n">
        <v>0.2</v>
      </c>
      <c r="L610" t="n">
        <v>0.8</v>
      </c>
      <c r="M610" t="n">
        <v>0</v>
      </c>
    </row>
    <row r="611" spans="1:13">
      <c r="A611" s="1">
        <f>HYPERLINK("http://www.twitter.com/NathanBLawrence/status/996485876157964288", "996485876157964288")</f>
        <v/>
      </c>
      <c r="B611" s="2" t="n">
        <v>43235.84862268518</v>
      </c>
      <c r="C611" t="n">
        <v>0</v>
      </c>
      <c r="D611" t="n">
        <v>22</v>
      </c>
      <c r="E611" t="s">
        <v>622</v>
      </c>
      <c r="F611" t="s"/>
      <c r="G611" t="s"/>
      <c r="H611" t="s"/>
      <c r="I611" t="s"/>
      <c r="J611" t="n">
        <v>-0.4404</v>
      </c>
      <c r="K611" t="n">
        <v>0.132</v>
      </c>
      <c r="L611" t="n">
        <v>0.868</v>
      </c>
      <c r="M611" t="n">
        <v>0</v>
      </c>
    </row>
    <row r="612" spans="1:13">
      <c r="A612" s="1">
        <f>HYPERLINK("http://www.twitter.com/NathanBLawrence/status/996485689347858434", "996485689347858434")</f>
        <v/>
      </c>
      <c r="B612" s="2" t="n">
        <v>43235.84810185185</v>
      </c>
      <c r="C612" t="n">
        <v>0</v>
      </c>
      <c r="D612" t="n">
        <v>171</v>
      </c>
      <c r="E612" t="s">
        <v>623</v>
      </c>
      <c r="F612" t="s"/>
      <c r="G612" t="s"/>
      <c r="H612" t="s"/>
      <c r="I612" t="s"/>
      <c r="J612" t="n">
        <v>0.4588</v>
      </c>
      <c r="K612" t="n">
        <v>0.077</v>
      </c>
      <c r="L612" t="n">
        <v>0.772</v>
      </c>
      <c r="M612" t="n">
        <v>0.151</v>
      </c>
    </row>
    <row r="613" spans="1:13">
      <c r="A613" s="1">
        <f>HYPERLINK("http://www.twitter.com/NathanBLawrence/status/996483207125184515", "996483207125184515")</f>
        <v/>
      </c>
      <c r="B613" s="2" t="n">
        <v>43235.84125</v>
      </c>
      <c r="C613" t="n">
        <v>0</v>
      </c>
      <c r="D613" t="n">
        <v>0</v>
      </c>
      <c r="E613" t="s">
        <v>624</v>
      </c>
      <c r="F613" t="s"/>
      <c r="G613" t="s"/>
      <c r="H613" t="s"/>
      <c r="I613" t="s"/>
      <c r="J613" t="n">
        <v>-0.6892</v>
      </c>
      <c r="K613" t="n">
        <v>0.266</v>
      </c>
      <c r="L613" t="n">
        <v>0.632</v>
      </c>
      <c r="M613" t="n">
        <v>0.102</v>
      </c>
    </row>
    <row r="614" spans="1:13">
      <c r="A614" s="1">
        <f>HYPERLINK("http://www.twitter.com/NathanBLawrence/status/996482903302397952", "996482903302397952")</f>
        <v/>
      </c>
      <c r="B614" s="2" t="n">
        <v>43235.84041666667</v>
      </c>
      <c r="C614" t="n">
        <v>0</v>
      </c>
      <c r="D614" t="n">
        <v>4252</v>
      </c>
      <c r="E614" t="s">
        <v>625</v>
      </c>
      <c r="F614" t="s"/>
      <c r="G614" t="s"/>
      <c r="H614" t="s"/>
      <c r="I614" t="s"/>
      <c r="J614" t="n">
        <v>-0.2185</v>
      </c>
      <c r="K614" t="n">
        <v>0.179</v>
      </c>
      <c r="L614" t="n">
        <v>0.6919999999999999</v>
      </c>
      <c r="M614" t="n">
        <v>0.129</v>
      </c>
    </row>
    <row r="615" spans="1:13">
      <c r="A615" s="1">
        <f>HYPERLINK("http://www.twitter.com/NathanBLawrence/status/996481366392008704", "996481366392008704")</f>
        <v/>
      </c>
      <c r="B615" s="2" t="n">
        <v>43235.83618055555</v>
      </c>
      <c r="C615" t="n">
        <v>0</v>
      </c>
      <c r="D615" t="n">
        <v>350</v>
      </c>
      <c r="E615" t="s">
        <v>626</v>
      </c>
      <c r="F615" t="s"/>
      <c r="G615" t="s"/>
      <c r="H615" t="s"/>
      <c r="I615" t="s"/>
      <c r="J615" t="n">
        <v>0.9287</v>
      </c>
      <c r="K615" t="n">
        <v>0</v>
      </c>
      <c r="L615" t="n">
        <v>0.55</v>
      </c>
      <c r="M615" t="n">
        <v>0.45</v>
      </c>
    </row>
    <row r="616" spans="1:13">
      <c r="A616" s="1">
        <f>HYPERLINK("http://www.twitter.com/NathanBLawrence/status/996481196887560198", "996481196887560198")</f>
        <v/>
      </c>
      <c r="B616" s="2" t="n">
        <v>43235.83570601852</v>
      </c>
      <c r="C616" t="n">
        <v>0</v>
      </c>
      <c r="D616" t="n">
        <v>3</v>
      </c>
      <c r="E616" t="s">
        <v>627</v>
      </c>
      <c r="F616" t="s"/>
      <c r="G616" t="s"/>
      <c r="H616" t="s"/>
      <c r="I616" t="s"/>
      <c r="J616" t="n">
        <v>-0.5994</v>
      </c>
      <c r="K616" t="n">
        <v>0.283</v>
      </c>
      <c r="L616" t="n">
        <v>0.642</v>
      </c>
      <c r="M616" t="n">
        <v>0.075</v>
      </c>
    </row>
    <row r="617" spans="1:13">
      <c r="A617" s="1">
        <f>HYPERLINK("http://www.twitter.com/NathanBLawrence/status/996481159298199552", "996481159298199552")</f>
        <v/>
      </c>
      <c r="B617" s="2" t="n">
        <v>43235.83560185185</v>
      </c>
      <c r="C617" t="n">
        <v>0</v>
      </c>
      <c r="D617" t="n">
        <v>1</v>
      </c>
      <c r="E617" t="s">
        <v>628</v>
      </c>
      <c r="F617" t="s"/>
      <c r="G617" t="s"/>
      <c r="H617" t="s"/>
      <c r="I617" t="s"/>
      <c r="J617" t="n">
        <v>0</v>
      </c>
      <c r="K617" t="n">
        <v>0</v>
      </c>
      <c r="L617" t="n">
        <v>1</v>
      </c>
      <c r="M617" t="n">
        <v>0</v>
      </c>
    </row>
    <row r="618" spans="1:13">
      <c r="A618" s="1">
        <f>HYPERLINK("http://www.twitter.com/NathanBLawrence/status/996480307653234691", "996480307653234691")</f>
        <v/>
      </c>
      <c r="B618" s="2" t="n">
        <v>43235.83325231481</v>
      </c>
      <c r="C618" t="n">
        <v>0</v>
      </c>
      <c r="D618" t="n">
        <v>7</v>
      </c>
      <c r="E618" t="s">
        <v>629</v>
      </c>
      <c r="F618">
        <f>HYPERLINK("http://pbs.twimg.com/media/DdKJnYcU8AAcCk7.jpg", "http://pbs.twimg.com/media/DdKJnYcU8AAcCk7.jpg")</f>
        <v/>
      </c>
      <c r="G618" t="s"/>
      <c r="H618" t="s"/>
      <c r="I618" t="s"/>
      <c r="J618" t="n">
        <v>0.8555</v>
      </c>
      <c r="K618" t="n">
        <v>0</v>
      </c>
      <c r="L618" t="n">
        <v>0.644</v>
      </c>
      <c r="M618" t="n">
        <v>0.356</v>
      </c>
    </row>
    <row r="619" spans="1:13">
      <c r="A619" s="1">
        <f>HYPERLINK("http://www.twitter.com/NathanBLawrence/status/996479910238703616", "996479910238703616")</f>
        <v/>
      </c>
      <c r="B619" s="2" t="n">
        <v>43235.83215277778</v>
      </c>
      <c r="C619" t="n">
        <v>0</v>
      </c>
      <c r="D619" t="n">
        <v>0</v>
      </c>
      <c r="E619" t="s">
        <v>630</v>
      </c>
      <c r="F619" t="s"/>
      <c r="G619" t="s"/>
      <c r="H619" t="s"/>
      <c r="I619" t="s"/>
      <c r="J619" t="n">
        <v>0</v>
      </c>
      <c r="K619" t="n">
        <v>0</v>
      </c>
      <c r="L619" t="n">
        <v>1</v>
      </c>
      <c r="M619" t="n">
        <v>0</v>
      </c>
    </row>
    <row r="620" spans="1:13">
      <c r="A620" s="1">
        <f>HYPERLINK("http://www.twitter.com/NathanBLawrence/status/996479881146982400", "996479881146982400")</f>
        <v/>
      </c>
      <c r="B620" s="2" t="n">
        <v>43235.83208333333</v>
      </c>
      <c r="C620" t="n">
        <v>0</v>
      </c>
      <c r="D620" t="n">
        <v>4</v>
      </c>
      <c r="E620" t="s">
        <v>631</v>
      </c>
      <c r="F620" t="s"/>
      <c r="G620" t="s"/>
      <c r="H620" t="s"/>
      <c r="I620" t="s"/>
      <c r="J620" t="n">
        <v>-0.6808</v>
      </c>
      <c r="K620" t="n">
        <v>0.219</v>
      </c>
      <c r="L620" t="n">
        <v>0.781</v>
      </c>
      <c r="M620" t="n">
        <v>0</v>
      </c>
    </row>
    <row r="621" spans="1:13">
      <c r="A621" s="1">
        <f>HYPERLINK("http://www.twitter.com/NathanBLawrence/status/996479675424755712", "996479675424755712")</f>
        <v/>
      </c>
      <c r="B621" s="2" t="n">
        <v>43235.83150462963</v>
      </c>
      <c r="C621" t="n">
        <v>0</v>
      </c>
      <c r="D621" t="n">
        <v>19</v>
      </c>
      <c r="E621" t="s">
        <v>632</v>
      </c>
      <c r="F621">
        <f>HYPERLINK("http://pbs.twimg.com/media/DdM1vjkX0AAhzgz.jpg", "http://pbs.twimg.com/media/DdM1vjkX0AAhzgz.jpg")</f>
        <v/>
      </c>
      <c r="G621" t="s"/>
      <c r="H621" t="s"/>
      <c r="I621" t="s"/>
      <c r="J621" t="n">
        <v>-0.296</v>
      </c>
      <c r="K621" t="n">
        <v>0.095</v>
      </c>
      <c r="L621" t="n">
        <v>0.905</v>
      </c>
      <c r="M621" t="n">
        <v>0</v>
      </c>
    </row>
    <row r="622" spans="1:13">
      <c r="A622" s="1">
        <f>HYPERLINK("http://www.twitter.com/NathanBLawrence/status/996479608328474624", "996479608328474624")</f>
        <v/>
      </c>
      <c r="B622" s="2" t="n">
        <v>43235.83131944444</v>
      </c>
      <c r="C622" t="n">
        <v>0</v>
      </c>
      <c r="D622" t="n">
        <v>20</v>
      </c>
      <c r="E622" t="s">
        <v>633</v>
      </c>
      <c r="F622">
        <f>HYPERLINK("http://pbs.twimg.com/media/DdPVGVJW0AUY99u.jpg", "http://pbs.twimg.com/media/DdPVGVJW0AUY99u.jpg")</f>
        <v/>
      </c>
      <c r="G622" t="s"/>
      <c r="H622" t="s"/>
      <c r="I622" t="s"/>
      <c r="J622" t="n">
        <v>-0.2732</v>
      </c>
      <c r="K622" t="n">
        <v>0.26</v>
      </c>
      <c r="L622" t="n">
        <v>0.554</v>
      </c>
      <c r="M622" t="n">
        <v>0.187</v>
      </c>
    </row>
    <row r="623" spans="1:13">
      <c r="A623" s="1">
        <f>HYPERLINK("http://www.twitter.com/NathanBLawrence/status/996479524345872389", "996479524345872389")</f>
        <v/>
      </c>
      <c r="B623" s="2" t="n">
        <v>43235.83108796296</v>
      </c>
      <c r="C623" t="n">
        <v>0</v>
      </c>
      <c r="D623" t="n">
        <v>1</v>
      </c>
      <c r="E623" t="s">
        <v>634</v>
      </c>
      <c r="F623" t="s"/>
      <c r="G623" t="s"/>
      <c r="H623" t="s"/>
      <c r="I623" t="s"/>
      <c r="J623" t="n">
        <v>-0.5705</v>
      </c>
      <c r="K623" t="n">
        <v>0.274</v>
      </c>
      <c r="L623" t="n">
        <v>0.61</v>
      </c>
      <c r="M623" t="n">
        <v>0.115</v>
      </c>
    </row>
    <row r="624" spans="1:13">
      <c r="A624" s="1">
        <f>HYPERLINK("http://www.twitter.com/NathanBLawrence/status/996479463184584704", "996479463184584704")</f>
        <v/>
      </c>
      <c r="B624" s="2" t="n">
        <v>43235.83092592593</v>
      </c>
      <c r="C624" t="n">
        <v>0</v>
      </c>
      <c r="D624" t="n">
        <v>3</v>
      </c>
      <c r="E624" t="s">
        <v>635</v>
      </c>
      <c r="F624">
        <f>HYPERLINK("http://pbs.twimg.com/media/DdPfCgQWsAAVsG1.jpg", "http://pbs.twimg.com/media/DdPfCgQWsAAVsG1.jpg")</f>
        <v/>
      </c>
      <c r="G624" t="s"/>
      <c r="H624" t="s"/>
      <c r="I624" t="s"/>
      <c r="J624" t="n">
        <v>-0.8555</v>
      </c>
      <c r="K624" t="n">
        <v>0.394</v>
      </c>
      <c r="L624" t="n">
        <v>0.606</v>
      </c>
      <c r="M624" t="n">
        <v>0</v>
      </c>
    </row>
    <row r="625" spans="1:13">
      <c r="A625" s="1">
        <f>HYPERLINK("http://www.twitter.com/NathanBLawrence/status/996479345416916992", "996479345416916992")</f>
        <v/>
      </c>
      <c r="B625" s="2" t="n">
        <v>43235.83060185185</v>
      </c>
      <c r="C625" t="n">
        <v>0</v>
      </c>
      <c r="D625" t="n">
        <v>6</v>
      </c>
      <c r="E625" t="s">
        <v>636</v>
      </c>
      <c r="F625" t="s"/>
      <c r="G625" t="s"/>
      <c r="H625" t="s"/>
      <c r="I625" t="s"/>
      <c r="J625" t="n">
        <v>0</v>
      </c>
      <c r="K625" t="n">
        <v>0</v>
      </c>
      <c r="L625" t="n">
        <v>1</v>
      </c>
      <c r="M625" t="n">
        <v>0</v>
      </c>
    </row>
    <row r="626" spans="1:13">
      <c r="A626" s="1">
        <f>HYPERLINK("http://www.twitter.com/NathanBLawrence/status/996478556829077506", "996478556829077506")</f>
        <v/>
      </c>
      <c r="B626" s="2" t="n">
        <v>43235.82842592592</v>
      </c>
      <c r="C626" t="n">
        <v>0</v>
      </c>
      <c r="D626" t="n">
        <v>51</v>
      </c>
      <c r="E626" t="s">
        <v>637</v>
      </c>
      <c r="F626" t="s"/>
      <c r="G626" t="s"/>
      <c r="H626" t="s"/>
      <c r="I626" t="s"/>
      <c r="J626" t="n">
        <v>-0.7003</v>
      </c>
      <c r="K626" t="n">
        <v>0.286</v>
      </c>
      <c r="L626" t="n">
        <v>0.714</v>
      </c>
      <c r="M626" t="n">
        <v>0</v>
      </c>
    </row>
    <row r="627" spans="1:13">
      <c r="A627" s="1">
        <f>HYPERLINK("http://www.twitter.com/NathanBLawrence/status/996478500000460801", "996478500000460801")</f>
        <v/>
      </c>
      <c r="B627" s="2" t="n">
        <v>43235.82826388889</v>
      </c>
      <c r="C627" t="n">
        <v>0</v>
      </c>
      <c r="D627" t="n">
        <v>13</v>
      </c>
      <c r="E627" t="s">
        <v>638</v>
      </c>
      <c r="F627" t="s"/>
      <c r="G627" t="s"/>
      <c r="H627" t="s"/>
      <c r="I627" t="s"/>
      <c r="J627" t="n">
        <v>0</v>
      </c>
      <c r="K627" t="n">
        <v>0.109</v>
      </c>
      <c r="L627" t="n">
        <v>0.783</v>
      </c>
      <c r="M627" t="n">
        <v>0.109</v>
      </c>
    </row>
    <row r="628" spans="1:13">
      <c r="A628" s="1">
        <f>HYPERLINK("http://www.twitter.com/NathanBLawrence/status/996476157762723846", "996476157762723846")</f>
        <v/>
      </c>
      <c r="B628" s="2" t="n">
        <v>43235.82180555556</v>
      </c>
      <c r="C628" t="n">
        <v>0</v>
      </c>
      <c r="D628" t="n">
        <v>5</v>
      </c>
      <c r="E628" t="s">
        <v>639</v>
      </c>
      <c r="F628" t="s"/>
      <c r="G628" t="s"/>
      <c r="H628" t="s"/>
      <c r="I628" t="s"/>
      <c r="J628" t="n">
        <v>0.3612</v>
      </c>
      <c r="K628" t="n">
        <v>0</v>
      </c>
      <c r="L628" t="n">
        <v>0.898</v>
      </c>
      <c r="M628" t="n">
        <v>0.102</v>
      </c>
    </row>
    <row r="629" spans="1:13">
      <c r="A629" s="1">
        <f>HYPERLINK("http://www.twitter.com/NathanBLawrence/status/996476113768591361", "996476113768591361")</f>
        <v/>
      </c>
      <c r="B629" s="2" t="n">
        <v>43235.82167824074</v>
      </c>
      <c r="C629" t="n">
        <v>0</v>
      </c>
      <c r="D629" t="n">
        <v>0</v>
      </c>
      <c r="E629" t="s">
        <v>640</v>
      </c>
      <c r="F629" t="s"/>
      <c r="G629" t="s"/>
      <c r="H629" t="s"/>
      <c r="I629" t="s"/>
      <c r="J629" t="n">
        <v>0</v>
      </c>
      <c r="K629" t="n">
        <v>0</v>
      </c>
      <c r="L629" t="n">
        <v>1</v>
      </c>
      <c r="M629" t="n">
        <v>0</v>
      </c>
    </row>
    <row r="630" spans="1:13">
      <c r="A630" s="1">
        <f>HYPERLINK("http://www.twitter.com/NathanBLawrence/status/996476080285503488", "996476080285503488")</f>
        <v/>
      </c>
      <c r="B630" s="2" t="n">
        <v>43235.82158564815</v>
      </c>
      <c r="C630" t="n">
        <v>0</v>
      </c>
      <c r="D630" t="n">
        <v>2</v>
      </c>
      <c r="E630" t="s">
        <v>641</v>
      </c>
      <c r="F630" t="s"/>
      <c r="G630" t="s"/>
      <c r="H630" t="s"/>
      <c r="I630" t="s"/>
      <c r="J630" t="n">
        <v>-0.296</v>
      </c>
      <c r="K630" t="n">
        <v>0.18</v>
      </c>
      <c r="L630" t="n">
        <v>0.82</v>
      </c>
      <c r="M630" t="n">
        <v>0</v>
      </c>
    </row>
    <row r="631" spans="1:13">
      <c r="A631" s="1">
        <f>HYPERLINK("http://www.twitter.com/NathanBLawrence/status/996475948311764992", "996475948311764992")</f>
        <v/>
      </c>
      <c r="B631" s="2" t="n">
        <v>43235.82122685185</v>
      </c>
      <c r="C631" t="n">
        <v>4</v>
      </c>
      <c r="D631" t="n">
        <v>0</v>
      </c>
      <c r="E631" t="s">
        <v>642</v>
      </c>
      <c r="F631" t="s"/>
      <c r="G631" t="s"/>
      <c r="H631" t="s"/>
      <c r="I631" t="s"/>
      <c r="J631" t="n">
        <v>0.4404</v>
      </c>
      <c r="K631" t="n">
        <v>0</v>
      </c>
      <c r="L631" t="n">
        <v>0.828</v>
      </c>
      <c r="M631" t="n">
        <v>0.172</v>
      </c>
    </row>
    <row r="632" spans="1:13">
      <c r="A632" s="1">
        <f>HYPERLINK("http://www.twitter.com/NathanBLawrence/status/996475660733501440", "996475660733501440")</f>
        <v/>
      </c>
      <c r="B632" s="2" t="n">
        <v>43235.82042824074</v>
      </c>
      <c r="C632" t="n">
        <v>0</v>
      </c>
      <c r="D632" t="n">
        <v>2</v>
      </c>
      <c r="E632" t="s">
        <v>643</v>
      </c>
      <c r="F632" t="s"/>
      <c r="G632" t="s"/>
      <c r="H632" t="s"/>
      <c r="I632" t="s"/>
      <c r="J632" t="n">
        <v>-0.6543</v>
      </c>
      <c r="K632" t="n">
        <v>0.303</v>
      </c>
      <c r="L632" t="n">
        <v>0.697</v>
      </c>
      <c r="M632" t="n">
        <v>0</v>
      </c>
    </row>
    <row r="633" spans="1:13">
      <c r="A633" s="1">
        <f>HYPERLINK("http://www.twitter.com/NathanBLawrence/status/996475463781502987", "996475463781502987")</f>
        <v/>
      </c>
      <c r="B633" s="2" t="n">
        <v>43235.81988425926</v>
      </c>
      <c r="C633" t="n">
        <v>0</v>
      </c>
      <c r="D633" t="n">
        <v>1</v>
      </c>
      <c r="E633" t="s">
        <v>644</v>
      </c>
      <c r="F633" t="s"/>
      <c r="G633" t="s"/>
      <c r="H633" t="s"/>
      <c r="I633" t="s"/>
      <c r="J633" t="n">
        <v>0</v>
      </c>
      <c r="K633" t="n">
        <v>0</v>
      </c>
      <c r="L633" t="n">
        <v>1</v>
      </c>
      <c r="M633" t="n">
        <v>0</v>
      </c>
    </row>
    <row r="634" spans="1:13">
      <c r="A634" s="1">
        <f>HYPERLINK("http://www.twitter.com/NathanBLawrence/status/996475116413472769", "996475116413472769")</f>
        <v/>
      </c>
      <c r="B634" s="2" t="n">
        <v>43235.81893518518</v>
      </c>
      <c r="C634" t="n">
        <v>0</v>
      </c>
      <c r="D634" t="n">
        <v>3</v>
      </c>
      <c r="E634" t="s">
        <v>645</v>
      </c>
      <c r="F634" t="s"/>
      <c r="G634" t="s"/>
      <c r="H634" t="s"/>
      <c r="I634" t="s"/>
      <c r="J634" t="n">
        <v>0.6369</v>
      </c>
      <c r="K634" t="n">
        <v>0</v>
      </c>
      <c r="L634" t="n">
        <v>0.724</v>
      </c>
      <c r="M634" t="n">
        <v>0.276</v>
      </c>
    </row>
    <row r="635" spans="1:13">
      <c r="A635" s="1">
        <f>HYPERLINK("http://www.twitter.com/NathanBLawrence/status/996475058192289793", "996475058192289793")</f>
        <v/>
      </c>
      <c r="B635" s="2" t="n">
        <v>43235.81877314814</v>
      </c>
      <c r="C635" t="n">
        <v>0</v>
      </c>
      <c r="D635" t="n">
        <v>8</v>
      </c>
      <c r="E635" t="s">
        <v>646</v>
      </c>
      <c r="F635" t="s"/>
      <c r="G635" t="s"/>
      <c r="H635" t="s"/>
      <c r="I635" t="s"/>
      <c r="J635" t="n">
        <v>0.6705</v>
      </c>
      <c r="K635" t="n">
        <v>0</v>
      </c>
      <c r="L635" t="n">
        <v>0.744</v>
      </c>
      <c r="M635" t="n">
        <v>0.256</v>
      </c>
    </row>
    <row r="636" spans="1:13">
      <c r="A636" s="1">
        <f>HYPERLINK("http://www.twitter.com/NathanBLawrence/status/996474875110883333", "996474875110883333")</f>
        <v/>
      </c>
      <c r="B636" s="2" t="n">
        <v>43235.81826388889</v>
      </c>
      <c r="C636" t="n">
        <v>0</v>
      </c>
      <c r="D636" t="n">
        <v>953</v>
      </c>
      <c r="E636" t="s">
        <v>647</v>
      </c>
      <c r="F636" t="s"/>
      <c r="G636" t="s"/>
      <c r="H636" t="s"/>
      <c r="I636" t="s"/>
      <c r="J636" t="n">
        <v>-0.4019</v>
      </c>
      <c r="K636" t="n">
        <v>0.117</v>
      </c>
      <c r="L636" t="n">
        <v>0.83</v>
      </c>
      <c r="M636" t="n">
        <v>0.053</v>
      </c>
    </row>
    <row r="637" spans="1:13">
      <c r="A637" s="1">
        <f>HYPERLINK("http://www.twitter.com/NathanBLawrence/status/996474523825377280", "996474523825377280")</f>
        <v/>
      </c>
      <c r="B637" s="2" t="n">
        <v>43235.81729166667</v>
      </c>
      <c r="C637" t="n">
        <v>0</v>
      </c>
      <c r="D637" t="n">
        <v>3</v>
      </c>
      <c r="E637" t="s">
        <v>648</v>
      </c>
      <c r="F637" t="s"/>
      <c r="G637" t="s"/>
      <c r="H637" t="s"/>
      <c r="I637" t="s"/>
      <c r="J637" t="n">
        <v>-0.4939</v>
      </c>
      <c r="K637" t="n">
        <v>0.219</v>
      </c>
      <c r="L637" t="n">
        <v>0.781</v>
      </c>
      <c r="M637" t="n">
        <v>0</v>
      </c>
    </row>
    <row r="638" spans="1:13">
      <c r="A638" s="1">
        <f>HYPERLINK("http://www.twitter.com/NathanBLawrence/status/996474299006537728", "996474299006537728")</f>
        <v/>
      </c>
      <c r="B638" s="2" t="n">
        <v>43235.81667824074</v>
      </c>
      <c r="C638" t="n">
        <v>0</v>
      </c>
      <c r="D638" t="n">
        <v>474</v>
      </c>
      <c r="E638" t="s">
        <v>649</v>
      </c>
      <c r="F638" t="s"/>
      <c r="G638" t="s"/>
      <c r="H638" t="s"/>
      <c r="I638" t="s"/>
      <c r="J638" t="n">
        <v>0.5859</v>
      </c>
      <c r="K638" t="n">
        <v>0.099</v>
      </c>
      <c r="L638" t="n">
        <v>0.631</v>
      </c>
      <c r="M638" t="n">
        <v>0.27</v>
      </c>
    </row>
    <row r="639" spans="1:13">
      <c r="A639" s="1">
        <f>HYPERLINK("http://www.twitter.com/NathanBLawrence/status/996473074659799040", "996473074659799040")</f>
        <v/>
      </c>
      <c r="B639" s="2" t="n">
        <v>43235.81329861111</v>
      </c>
      <c r="C639" t="n">
        <v>0</v>
      </c>
      <c r="D639" t="n">
        <v>3247</v>
      </c>
      <c r="E639" t="s">
        <v>650</v>
      </c>
      <c r="F639" t="s"/>
      <c r="G639" t="s"/>
      <c r="H639" t="s"/>
      <c r="I639" t="s"/>
      <c r="J639" t="n">
        <v>-0.802</v>
      </c>
      <c r="K639" t="n">
        <v>0.325</v>
      </c>
      <c r="L639" t="n">
        <v>0.675</v>
      </c>
      <c r="M639" t="n">
        <v>0</v>
      </c>
    </row>
    <row r="640" spans="1:13">
      <c r="A640" s="1">
        <f>HYPERLINK("http://www.twitter.com/NathanBLawrence/status/996472572366684160", "996472572366684160")</f>
        <v/>
      </c>
      <c r="B640" s="2" t="n">
        <v>43235.81190972222</v>
      </c>
      <c r="C640" t="n">
        <v>0</v>
      </c>
      <c r="D640" t="n">
        <v>9</v>
      </c>
      <c r="E640" t="s">
        <v>651</v>
      </c>
      <c r="F640" t="s"/>
      <c r="G640" t="s"/>
      <c r="H640" t="s"/>
      <c r="I640" t="s"/>
      <c r="J640" t="n">
        <v>-0.5859</v>
      </c>
      <c r="K640" t="n">
        <v>0.173</v>
      </c>
      <c r="L640" t="n">
        <v>0.827</v>
      </c>
      <c r="M640" t="n">
        <v>0</v>
      </c>
    </row>
    <row r="641" spans="1:13">
      <c r="A641" s="1">
        <f>HYPERLINK("http://www.twitter.com/NathanBLawrence/status/996472255273230336", "996472255273230336")</f>
        <v/>
      </c>
      <c r="B641" s="2" t="n">
        <v>43235.81103009259</v>
      </c>
      <c r="C641" t="n">
        <v>0</v>
      </c>
      <c r="D641" t="n">
        <v>3</v>
      </c>
      <c r="E641" t="s">
        <v>652</v>
      </c>
      <c r="F641" t="s"/>
      <c r="G641" t="s"/>
      <c r="H641" t="s"/>
      <c r="I641" t="s"/>
      <c r="J641" t="n">
        <v>-0.5266999999999999</v>
      </c>
      <c r="K641" t="n">
        <v>0.139</v>
      </c>
      <c r="L641" t="n">
        <v>0.861</v>
      </c>
      <c r="M641" t="n">
        <v>0</v>
      </c>
    </row>
    <row r="642" spans="1:13">
      <c r="A642" s="1">
        <f>HYPERLINK("http://www.twitter.com/NathanBLawrence/status/996472129980977152", "996472129980977152")</f>
        <v/>
      </c>
      <c r="B642" s="2" t="n">
        <v>43235.81069444444</v>
      </c>
      <c r="C642" t="n">
        <v>0</v>
      </c>
      <c r="D642" t="n">
        <v>3</v>
      </c>
      <c r="E642" t="s">
        <v>653</v>
      </c>
      <c r="F642" t="s"/>
      <c r="G642" t="s"/>
      <c r="H642" t="s"/>
      <c r="I642" t="s"/>
      <c r="J642" t="n">
        <v>-0.4466</v>
      </c>
      <c r="K642" t="n">
        <v>0.295</v>
      </c>
      <c r="L642" t="n">
        <v>0.705</v>
      </c>
      <c r="M642" t="n">
        <v>0</v>
      </c>
    </row>
    <row r="643" spans="1:13">
      <c r="A643" s="1">
        <f>HYPERLINK("http://www.twitter.com/NathanBLawrence/status/996472073634697217", "996472073634697217")</f>
        <v/>
      </c>
      <c r="B643" s="2" t="n">
        <v>43235.81053240741</v>
      </c>
      <c r="C643" t="n">
        <v>0</v>
      </c>
      <c r="D643" t="n">
        <v>2</v>
      </c>
      <c r="E643" t="s">
        <v>654</v>
      </c>
      <c r="F643" t="s"/>
      <c r="G643" t="s"/>
      <c r="H643" t="s"/>
      <c r="I643" t="s"/>
      <c r="J643" t="n">
        <v>-0.4215</v>
      </c>
      <c r="K643" t="n">
        <v>0.118</v>
      </c>
      <c r="L643" t="n">
        <v>0.882</v>
      </c>
      <c r="M643" t="n">
        <v>0</v>
      </c>
    </row>
    <row r="644" spans="1:13">
      <c r="A644" s="1">
        <f>HYPERLINK("http://www.twitter.com/NathanBLawrence/status/996472038339510273", "996472038339510273")</f>
        <v/>
      </c>
      <c r="B644" s="2" t="n">
        <v>43235.81043981481</v>
      </c>
      <c r="C644" t="n">
        <v>0</v>
      </c>
      <c r="D644" t="n">
        <v>6</v>
      </c>
      <c r="E644" t="s">
        <v>655</v>
      </c>
      <c r="F644" t="s"/>
      <c r="G644" t="s"/>
      <c r="H644" t="s"/>
      <c r="I644" t="s"/>
      <c r="J644" t="n">
        <v>-0.0516</v>
      </c>
      <c r="K644" t="n">
        <v>0.25</v>
      </c>
      <c r="L644" t="n">
        <v>0.5679999999999999</v>
      </c>
      <c r="M644" t="n">
        <v>0.182</v>
      </c>
    </row>
    <row r="645" spans="1:13">
      <c r="A645" s="1">
        <f>HYPERLINK("http://www.twitter.com/NathanBLawrence/status/996472011294756870", "996472011294756870")</f>
        <v/>
      </c>
      <c r="B645" s="2" t="n">
        <v>43235.8103587963</v>
      </c>
      <c r="C645" t="n">
        <v>0</v>
      </c>
      <c r="D645" t="n">
        <v>1</v>
      </c>
      <c r="E645" t="s">
        <v>656</v>
      </c>
      <c r="F645" t="s"/>
      <c r="G645" t="s"/>
      <c r="H645" t="s"/>
      <c r="I645" t="s"/>
      <c r="J645" t="n">
        <v>0.4215</v>
      </c>
      <c r="K645" t="n">
        <v>0</v>
      </c>
      <c r="L645" t="n">
        <v>0.797</v>
      </c>
      <c r="M645" t="n">
        <v>0.203</v>
      </c>
    </row>
    <row r="646" spans="1:13">
      <c r="A646" s="1">
        <f>HYPERLINK("http://www.twitter.com/NathanBLawrence/status/996471981649354752", "996471981649354752")</f>
        <v/>
      </c>
      <c r="B646" s="2" t="n">
        <v>43235.81027777777</v>
      </c>
      <c r="C646" t="n">
        <v>0</v>
      </c>
      <c r="D646" t="n">
        <v>5</v>
      </c>
      <c r="E646" t="s">
        <v>657</v>
      </c>
      <c r="F646" t="s"/>
      <c r="G646" t="s"/>
      <c r="H646" t="s"/>
      <c r="I646" t="s"/>
      <c r="J646" t="n">
        <v>-0.5574</v>
      </c>
      <c r="K646" t="n">
        <v>0.146</v>
      </c>
      <c r="L646" t="n">
        <v>0.854</v>
      </c>
      <c r="M646" t="n">
        <v>0</v>
      </c>
    </row>
    <row r="647" spans="1:13">
      <c r="A647" s="1">
        <f>HYPERLINK("http://www.twitter.com/NathanBLawrence/status/996471880830849024", "996471880830849024")</f>
        <v/>
      </c>
      <c r="B647" s="2" t="n">
        <v>43235.81</v>
      </c>
      <c r="C647" t="n">
        <v>2</v>
      </c>
      <c r="D647" t="n">
        <v>1</v>
      </c>
      <c r="E647" t="s">
        <v>658</v>
      </c>
      <c r="F647" t="s"/>
      <c r="G647" t="s"/>
      <c r="H647" t="s"/>
      <c r="I647" t="s"/>
      <c r="J647" t="n">
        <v>0</v>
      </c>
      <c r="K647" t="n">
        <v>0</v>
      </c>
      <c r="L647" t="n">
        <v>1</v>
      </c>
      <c r="M647" t="n">
        <v>0</v>
      </c>
    </row>
    <row r="648" spans="1:13">
      <c r="A648" s="1">
        <f>HYPERLINK("http://www.twitter.com/NathanBLawrence/status/996469483337379840", "996469483337379840")</f>
        <v/>
      </c>
      <c r="B648" s="2" t="n">
        <v>43235.80337962963</v>
      </c>
      <c r="C648" t="n">
        <v>0</v>
      </c>
      <c r="D648" t="n">
        <v>4</v>
      </c>
      <c r="E648" t="s">
        <v>659</v>
      </c>
      <c r="F648" t="s"/>
      <c r="G648" t="s"/>
      <c r="H648" t="s"/>
      <c r="I648" t="s"/>
      <c r="J648" t="n">
        <v>-0.7734</v>
      </c>
      <c r="K648" t="n">
        <v>0.488</v>
      </c>
      <c r="L648" t="n">
        <v>0.512</v>
      </c>
      <c r="M648" t="n">
        <v>0</v>
      </c>
    </row>
    <row r="649" spans="1:13">
      <c r="A649" s="1">
        <f>HYPERLINK("http://www.twitter.com/NathanBLawrence/status/996469476106407936", "996469476106407936")</f>
        <v/>
      </c>
      <c r="B649" s="2" t="n">
        <v>43235.80336805555</v>
      </c>
      <c r="C649" t="n">
        <v>0</v>
      </c>
      <c r="D649" t="n">
        <v>8</v>
      </c>
      <c r="E649" t="s">
        <v>660</v>
      </c>
      <c r="F649" t="s"/>
      <c r="G649" t="s"/>
      <c r="H649" t="s"/>
      <c r="I649" t="s"/>
      <c r="J649" t="n">
        <v>-0.3182</v>
      </c>
      <c r="K649" t="n">
        <v>0.223</v>
      </c>
      <c r="L649" t="n">
        <v>0.777</v>
      </c>
      <c r="M649" t="n">
        <v>0</v>
      </c>
    </row>
    <row r="650" spans="1:13">
      <c r="A650" s="1">
        <f>HYPERLINK("http://www.twitter.com/NathanBLawrence/status/996469354039476225", "996469354039476225")</f>
        <v/>
      </c>
      <c r="B650" s="2" t="n">
        <v>43235.80303240741</v>
      </c>
      <c r="C650" t="n">
        <v>0</v>
      </c>
      <c r="D650" t="n">
        <v>1034</v>
      </c>
      <c r="E650" t="s">
        <v>661</v>
      </c>
      <c r="F650" t="s"/>
      <c r="G650" t="s"/>
      <c r="H650" t="s"/>
      <c r="I650" t="s"/>
      <c r="J650" t="n">
        <v>-0.5266999999999999</v>
      </c>
      <c r="K650" t="n">
        <v>0.256</v>
      </c>
      <c r="L650" t="n">
        <v>0.659</v>
      </c>
      <c r="M650" t="n">
        <v>0.08500000000000001</v>
      </c>
    </row>
    <row r="651" spans="1:13">
      <c r="A651" s="1">
        <f>HYPERLINK("http://www.twitter.com/NathanBLawrence/status/996469245960753153", "996469245960753153")</f>
        <v/>
      </c>
      <c r="B651" s="2" t="n">
        <v>43235.80273148148</v>
      </c>
      <c r="C651" t="n">
        <v>0</v>
      </c>
      <c r="D651" t="n">
        <v>6295</v>
      </c>
      <c r="E651" t="s">
        <v>662</v>
      </c>
      <c r="F651" t="s"/>
      <c r="G651" t="s"/>
      <c r="H651" t="s"/>
      <c r="I651" t="s"/>
      <c r="J651" t="n">
        <v>0.0772</v>
      </c>
      <c r="K651" t="n">
        <v>0.127</v>
      </c>
      <c r="L651" t="n">
        <v>0.772</v>
      </c>
      <c r="M651" t="n">
        <v>0.1</v>
      </c>
    </row>
    <row r="652" spans="1:13">
      <c r="A652" s="1">
        <f>HYPERLINK("http://www.twitter.com/NathanBLawrence/status/996469176062676992", "996469176062676992")</f>
        <v/>
      </c>
      <c r="B652" s="2" t="n">
        <v>43235.80253472222</v>
      </c>
      <c r="C652" t="n">
        <v>0</v>
      </c>
      <c r="D652" t="n">
        <v>10542</v>
      </c>
      <c r="E652" t="s">
        <v>663</v>
      </c>
      <c r="F652" t="s"/>
      <c r="G652" t="s"/>
      <c r="H652" t="s"/>
      <c r="I652" t="s"/>
      <c r="J652" t="n">
        <v>0</v>
      </c>
      <c r="K652" t="n">
        <v>0</v>
      </c>
      <c r="L652" t="n">
        <v>1</v>
      </c>
      <c r="M652" t="n">
        <v>0</v>
      </c>
    </row>
    <row r="653" spans="1:13">
      <c r="A653" s="1">
        <f>HYPERLINK("http://www.twitter.com/NathanBLawrence/status/996467457253572608", "996467457253572608")</f>
        <v/>
      </c>
      <c r="B653" s="2" t="n">
        <v>43235.79778935185</v>
      </c>
      <c r="C653" t="n">
        <v>1</v>
      </c>
      <c r="D653" t="n">
        <v>0</v>
      </c>
      <c r="E653" t="s">
        <v>664</v>
      </c>
      <c r="F653" t="s"/>
      <c r="G653" t="s"/>
      <c r="H653" t="s"/>
      <c r="I653" t="s"/>
      <c r="J653" t="n">
        <v>0</v>
      </c>
      <c r="K653" t="n">
        <v>0</v>
      </c>
      <c r="L653" t="n">
        <v>1</v>
      </c>
      <c r="M653" t="n">
        <v>0</v>
      </c>
    </row>
    <row r="654" spans="1:13">
      <c r="A654" s="1">
        <f>HYPERLINK("http://www.twitter.com/NathanBLawrence/status/994559905322287105", "994559905322287105")</f>
        <v/>
      </c>
      <c r="B654" s="2" t="n">
        <v>43230.53395833333</v>
      </c>
      <c r="C654" t="n">
        <v>0</v>
      </c>
      <c r="D654" t="n">
        <v>6</v>
      </c>
      <c r="E654" t="s">
        <v>665</v>
      </c>
      <c r="F654">
        <f>HYPERLINK("http://pbs.twimg.com/media/Dc1SnztXUAA0WsP.jpg", "http://pbs.twimg.com/media/Dc1SnztXUAA0WsP.jpg")</f>
        <v/>
      </c>
      <c r="G654" t="s"/>
      <c r="H654" t="s"/>
      <c r="I654" t="s"/>
      <c r="J654" t="n">
        <v>0</v>
      </c>
      <c r="K654" t="n">
        <v>0</v>
      </c>
      <c r="L654" t="n">
        <v>1</v>
      </c>
      <c r="M654" t="n">
        <v>0</v>
      </c>
    </row>
    <row r="655" spans="1:13">
      <c r="A655" s="1">
        <f>HYPERLINK("http://www.twitter.com/NathanBLawrence/status/994559858446929922", "994559858446929922")</f>
        <v/>
      </c>
      <c r="B655" s="2" t="n">
        <v>43230.53381944444</v>
      </c>
      <c r="C655" t="n">
        <v>0</v>
      </c>
      <c r="D655" t="n">
        <v>49960</v>
      </c>
      <c r="E655" t="s">
        <v>666</v>
      </c>
      <c r="F655">
        <f>HYPERLINK("https://video.twimg.com/ext_tw_video/994517769415774209/pu/vid/1280x720/sDk6OuUUNEAVPSmH.mp4?tag=3", "https://video.twimg.com/ext_tw_video/994517769415774209/pu/vid/1280x720/sDk6OuUUNEAVPSmH.mp4?tag=3")</f>
        <v/>
      </c>
      <c r="G655" t="s"/>
      <c r="H655" t="s"/>
      <c r="I655" t="s"/>
      <c r="J655" t="n">
        <v>0.6155</v>
      </c>
      <c r="K655" t="n">
        <v>0</v>
      </c>
      <c r="L655" t="n">
        <v>0.713</v>
      </c>
      <c r="M655" t="n">
        <v>0.287</v>
      </c>
    </row>
    <row r="656" spans="1:13">
      <c r="A656" s="1">
        <f>HYPERLINK("http://www.twitter.com/NathanBLawrence/status/994559792856301568", "994559792856301568")</f>
        <v/>
      </c>
      <c r="B656" s="2" t="n">
        <v>43230.53364583333</v>
      </c>
      <c r="C656" t="n">
        <v>0</v>
      </c>
      <c r="D656" t="n">
        <v>16</v>
      </c>
      <c r="E656" t="s">
        <v>667</v>
      </c>
      <c r="F656" t="s"/>
      <c r="G656" t="s"/>
      <c r="H656" t="s"/>
      <c r="I656" t="s"/>
      <c r="J656" t="n">
        <v>0.7574</v>
      </c>
      <c r="K656" t="n">
        <v>0</v>
      </c>
      <c r="L656" t="n">
        <v>0.717</v>
      </c>
      <c r="M656" t="n">
        <v>0.283</v>
      </c>
    </row>
    <row r="657" spans="1:13">
      <c r="A657" s="1">
        <f>HYPERLINK("http://www.twitter.com/NathanBLawrence/status/994559763232051200", "994559763232051200")</f>
        <v/>
      </c>
      <c r="B657" s="2" t="n">
        <v>43230.53356481482</v>
      </c>
      <c r="C657" t="n">
        <v>0</v>
      </c>
      <c r="D657" t="n">
        <v>2027</v>
      </c>
      <c r="E657" t="s">
        <v>668</v>
      </c>
      <c r="F657" t="s"/>
      <c r="G657" t="s"/>
      <c r="H657" t="s"/>
      <c r="I657" t="s"/>
      <c r="J657" t="n">
        <v>-0.4574</v>
      </c>
      <c r="K657" t="n">
        <v>0.176</v>
      </c>
      <c r="L657" t="n">
        <v>0.741</v>
      </c>
      <c r="M657" t="n">
        <v>0.083</v>
      </c>
    </row>
    <row r="658" spans="1:13">
      <c r="A658" s="1">
        <f>HYPERLINK("http://www.twitter.com/NathanBLawrence/status/994559711834968072", "994559711834968072")</f>
        <v/>
      </c>
      <c r="B658" s="2" t="n">
        <v>43230.53341435185</v>
      </c>
      <c r="C658" t="n">
        <v>0</v>
      </c>
      <c r="D658" t="n">
        <v>5</v>
      </c>
      <c r="E658" t="s">
        <v>669</v>
      </c>
      <c r="F658" t="s"/>
      <c r="G658" t="s"/>
      <c r="H658" t="s"/>
      <c r="I658" t="s"/>
      <c r="J658" t="n">
        <v>-0.7034</v>
      </c>
      <c r="K658" t="n">
        <v>0.31</v>
      </c>
      <c r="L658" t="n">
        <v>0.5620000000000001</v>
      </c>
      <c r="M658" t="n">
        <v>0.129</v>
      </c>
    </row>
    <row r="659" spans="1:13">
      <c r="A659" s="1">
        <f>HYPERLINK("http://www.twitter.com/NathanBLawrence/status/994559688590192640", "994559688590192640")</f>
        <v/>
      </c>
      <c r="B659" s="2" t="n">
        <v>43230.53335648148</v>
      </c>
      <c r="C659" t="n">
        <v>0</v>
      </c>
      <c r="D659" t="n">
        <v>9</v>
      </c>
      <c r="E659" t="s">
        <v>670</v>
      </c>
      <c r="F659" t="s"/>
      <c r="G659" t="s"/>
      <c r="H659" t="s"/>
      <c r="I659" t="s"/>
      <c r="J659" t="n">
        <v>-0.6808</v>
      </c>
      <c r="K659" t="n">
        <v>0.248</v>
      </c>
      <c r="L659" t="n">
        <v>0.752</v>
      </c>
      <c r="M659" t="n">
        <v>0</v>
      </c>
    </row>
    <row r="660" spans="1:13">
      <c r="A660" s="1">
        <f>HYPERLINK("http://www.twitter.com/NathanBLawrence/status/994559641316151296", "994559641316151296")</f>
        <v/>
      </c>
      <c r="B660" s="2" t="n">
        <v>43230.53322916666</v>
      </c>
      <c r="C660" t="n">
        <v>0</v>
      </c>
      <c r="D660" t="n">
        <v>2</v>
      </c>
      <c r="E660" t="s">
        <v>671</v>
      </c>
      <c r="F660" t="s"/>
      <c r="G660" t="s"/>
      <c r="H660" t="s"/>
      <c r="I660" t="s"/>
      <c r="J660" t="n">
        <v>0.5719</v>
      </c>
      <c r="K660" t="n">
        <v>0.062</v>
      </c>
      <c r="L660" t="n">
        <v>0.756</v>
      </c>
      <c r="M660" t="n">
        <v>0.182</v>
      </c>
    </row>
    <row r="661" spans="1:13">
      <c r="A661" s="1">
        <f>HYPERLINK("http://www.twitter.com/NathanBLawrence/status/994559531341504514", "994559531341504514")</f>
        <v/>
      </c>
      <c r="B661" s="2" t="n">
        <v>43230.53291666666</v>
      </c>
      <c r="C661" t="n">
        <v>0</v>
      </c>
      <c r="D661" t="n">
        <v>9</v>
      </c>
      <c r="E661" t="s">
        <v>672</v>
      </c>
      <c r="F661" t="s"/>
      <c r="G661" t="s"/>
      <c r="H661" t="s"/>
      <c r="I661" t="s"/>
      <c r="J661" t="n">
        <v>-0.25</v>
      </c>
      <c r="K661" t="n">
        <v>0.146</v>
      </c>
      <c r="L661" t="n">
        <v>0.748</v>
      </c>
      <c r="M661" t="n">
        <v>0.106</v>
      </c>
    </row>
    <row r="662" spans="1:13">
      <c r="A662" s="1">
        <f>HYPERLINK("http://www.twitter.com/NathanBLawrence/status/994448827808698370", "994448827808698370")</f>
        <v/>
      </c>
      <c r="B662" s="2" t="n">
        <v>43230.22744212963</v>
      </c>
      <c r="C662" t="n">
        <v>0</v>
      </c>
      <c r="D662" t="n">
        <v>23</v>
      </c>
      <c r="E662" t="s">
        <v>673</v>
      </c>
      <c r="F662" t="s"/>
      <c r="G662" t="s"/>
      <c r="H662" t="s"/>
      <c r="I662" t="s"/>
      <c r="J662" t="n">
        <v>0</v>
      </c>
      <c r="K662" t="n">
        <v>0</v>
      </c>
      <c r="L662" t="n">
        <v>1</v>
      </c>
      <c r="M662" t="n">
        <v>0</v>
      </c>
    </row>
    <row r="663" spans="1:13">
      <c r="A663" s="1">
        <f>HYPERLINK("http://www.twitter.com/NathanBLawrence/status/994448772427067396", "994448772427067396")</f>
        <v/>
      </c>
      <c r="B663" s="2" t="n">
        <v>43230.22728009259</v>
      </c>
      <c r="C663" t="n">
        <v>0</v>
      </c>
      <c r="D663" t="n">
        <v>16</v>
      </c>
      <c r="E663" t="s">
        <v>674</v>
      </c>
      <c r="F663" t="s"/>
      <c r="G663" t="s"/>
      <c r="H663" t="s"/>
      <c r="I663" t="s"/>
      <c r="J663" t="n">
        <v>0.8168</v>
      </c>
      <c r="K663" t="n">
        <v>0.046</v>
      </c>
      <c r="L663" t="n">
        <v>0.66</v>
      </c>
      <c r="M663" t="n">
        <v>0.293</v>
      </c>
    </row>
    <row r="664" spans="1:13">
      <c r="A664" s="1">
        <f>HYPERLINK("http://www.twitter.com/NathanBLawrence/status/994448664037818368", "994448664037818368")</f>
        <v/>
      </c>
      <c r="B664" s="2" t="n">
        <v>43230.22699074074</v>
      </c>
      <c r="C664" t="n">
        <v>0</v>
      </c>
      <c r="D664" t="n">
        <v>14</v>
      </c>
      <c r="E664" t="s">
        <v>675</v>
      </c>
      <c r="F664" t="s"/>
      <c r="G664" t="s"/>
      <c r="H664" t="s"/>
      <c r="I664" t="s"/>
      <c r="J664" t="n">
        <v>-0.8401999999999999</v>
      </c>
      <c r="K664" t="n">
        <v>0.375</v>
      </c>
      <c r="L664" t="n">
        <v>0.625</v>
      </c>
      <c r="M664" t="n">
        <v>0</v>
      </c>
    </row>
    <row r="665" spans="1:13">
      <c r="A665" s="1">
        <f>HYPERLINK("http://www.twitter.com/NathanBLawrence/status/994448560358903808", "994448560358903808")</f>
        <v/>
      </c>
      <c r="B665" s="2" t="n">
        <v>43230.22670138889</v>
      </c>
      <c r="C665" t="n">
        <v>0</v>
      </c>
      <c r="D665" t="n">
        <v>18</v>
      </c>
      <c r="E665" t="s">
        <v>676</v>
      </c>
      <c r="F665" t="s"/>
      <c r="G665" t="s"/>
      <c r="H665" t="s"/>
      <c r="I665" t="s"/>
      <c r="J665" t="n">
        <v>0</v>
      </c>
      <c r="K665" t="n">
        <v>0</v>
      </c>
      <c r="L665" t="n">
        <v>1</v>
      </c>
      <c r="M665" t="n">
        <v>0</v>
      </c>
    </row>
    <row r="666" spans="1:13">
      <c r="A666" s="1">
        <f>HYPERLINK("http://www.twitter.com/NathanBLawrence/status/994448480386076672", "994448480386076672")</f>
        <v/>
      </c>
      <c r="B666" s="2" t="n">
        <v>43230.22648148148</v>
      </c>
      <c r="C666" t="n">
        <v>0</v>
      </c>
      <c r="D666" t="n">
        <v>4103</v>
      </c>
      <c r="E666" t="s">
        <v>677</v>
      </c>
      <c r="F666" t="s"/>
      <c r="G666" t="s"/>
      <c r="H666" t="s"/>
      <c r="I666" t="s"/>
      <c r="J666" t="n">
        <v>0</v>
      </c>
      <c r="K666" t="n">
        <v>0</v>
      </c>
      <c r="L666" t="n">
        <v>1</v>
      </c>
      <c r="M666" t="n">
        <v>0</v>
      </c>
    </row>
    <row r="667" spans="1:13">
      <c r="A667" s="1">
        <f>HYPERLINK("http://www.twitter.com/NathanBLawrence/status/994448436400451585", "994448436400451585")</f>
        <v/>
      </c>
      <c r="B667" s="2" t="n">
        <v>43230.22635416667</v>
      </c>
      <c r="C667" t="n">
        <v>0</v>
      </c>
      <c r="D667" t="n">
        <v>0</v>
      </c>
      <c r="E667" t="s">
        <v>678</v>
      </c>
      <c r="F667" t="s"/>
      <c r="G667" t="s"/>
      <c r="H667" t="s"/>
      <c r="I667" t="s"/>
      <c r="J667" t="n">
        <v>-0.5859</v>
      </c>
      <c r="K667" t="n">
        <v>0.213</v>
      </c>
      <c r="L667" t="n">
        <v>0.787</v>
      </c>
      <c r="M667" t="n">
        <v>0</v>
      </c>
    </row>
    <row r="668" spans="1:13">
      <c r="A668" s="1">
        <f>HYPERLINK("http://www.twitter.com/NathanBLawrence/status/994448149333925888", "994448149333925888")</f>
        <v/>
      </c>
      <c r="B668" s="2" t="n">
        <v>43230.22556712963</v>
      </c>
      <c r="C668" t="n">
        <v>0</v>
      </c>
      <c r="D668" t="n">
        <v>0</v>
      </c>
      <c r="E668" t="s">
        <v>679</v>
      </c>
      <c r="F668" t="s"/>
      <c r="G668" t="s"/>
      <c r="H668" t="s"/>
      <c r="I668" t="s"/>
      <c r="J668" t="n">
        <v>-0.7354000000000001</v>
      </c>
      <c r="K668" t="n">
        <v>0.167</v>
      </c>
      <c r="L668" t="n">
        <v>0.754</v>
      </c>
      <c r="M668" t="n">
        <v>0.079</v>
      </c>
    </row>
    <row r="669" spans="1:13">
      <c r="A669" s="1">
        <f>HYPERLINK("http://www.twitter.com/NathanBLawrence/status/994446976765874176", "994446976765874176")</f>
        <v/>
      </c>
      <c r="B669" s="2" t="n">
        <v>43230.22232638889</v>
      </c>
      <c r="C669" t="n">
        <v>0</v>
      </c>
      <c r="D669" t="n">
        <v>0</v>
      </c>
      <c r="E669" t="s">
        <v>680</v>
      </c>
      <c r="F669" t="s"/>
      <c r="G669" t="s"/>
      <c r="H669" t="s"/>
      <c r="I669" t="s"/>
      <c r="J669" t="n">
        <v>0</v>
      </c>
      <c r="K669" t="n">
        <v>0</v>
      </c>
      <c r="L669" t="n">
        <v>1</v>
      </c>
      <c r="M669" t="n">
        <v>0</v>
      </c>
    </row>
    <row r="670" spans="1:13">
      <c r="A670" s="1">
        <f>HYPERLINK("http://www.twitter.com/NathanBLawrence/status/994446097505574913", "994446097505574913")</f>
        <v/>
      </c>
      <c r="B670" s="2" t="n">
        <v>43230.21990740741</v>
      </c>
      <c r="C670" t="n">
        <v>4</v>
      </c>
      <c r="D670" t="n">
        <v>0</v>
      </c>
      <c r="E670" t="s">
        <v>681</v>
      </c>
      <c r="F670" t="s"/>
      <c r="G670" t="s"/>
      <c r="H670" t="s"/>
      <c r="I670" t="s"/>
      <c r="J670" t="n">
        <v>0</v>
      </c>
      <c r="K670" t="n">
        <v>0</v>
      </c>
      <c r="L670" t="n">
        <v>1</v>
      </c>
      <c r="M670" t="n">
        <v>0</v>
      </c>
    </row>
    <row r="671" spans="1:13">
      <c r="A671" s="1">
        <f>HYPERLINK("http://www.twitter.com/NathanBLawrence/status/994445087437479938", "994445087437479938")</f>
        <v/>
      </c>
      <c r="B671" s="2" t="n">
        <v>43230.21711805555</v>
      </c>
      <c r="C671" t="n">
        <v>0</v>
      </c>
      <c r="D671" t="n">
        <v>103</v>
      </c>
      <c r="E671" t="s">
        <v>682</v>
      </c>
      <c r="F671">
        <f>HYPERLINK("https://video.twimg.com/ext_tw_video/994027372687994880/pu/vid/720x1280/Ylbf9j8Di1Uma1le.mp4?tag=3", "https://video.twimg.com/ext_tw_video/994027372687994880/pu/vid/720x1280/Ylbf9j8Di1Uma1le.mp4?tag=3")</f>
        <v/>
      </c>
      <c r="G671" t="s"/>
      <c r="H671" t="s"/>
      <c r="I671" t="s"/>
      <c r="J671" t="n">
        <v>0</v>
      </c>
      <c r="K671" t="n">
        <v>0</v>
      </c>
      <c r="L671" t="n">
        <v>1</v>
      </c>
      <c r="M671" t="n">
        <v>0</v>
      </c>
    </row>
    <row r="672" spans="1:13">
      <c r="A672" s="1">
        <f>HYPERLINK("http://www.twitter.com/NathanBLawrence/status/994445036933836801", "994445036933836801")</f>
        <v/>
      </c>
      <c r="B672" s="2" t="n">
        <v>43230.21697916667</v>
      </c>
      <c r="C672" t="n">
        <v>0</v>
      </c>
      <c r="D672" t="n">
        <v>0</v>
      </c>
      <c r="E672" t="s">
        <v>683</v>
      </c>
      <c r="F672" t="s"/>
      <c r="G672" t="s"/>
      <c r="H672" t="s"/>
      <c r="I672" t="s"/>
      <c r="J672" t="n">
        <v>0.0074</v>
      </c>
      <c r="K672" t="n">
        <v>0.198</v>
      </c>
      <c r="L672" t="n">
        <v>0.573</v>
      </c>
      <c r="M672" t="n">
        <v>0.229</v>
      </c>
    </row>
    <row r="673" spans="1:13">
      <c r="A673" s="1">
        <f>HYPERLINK("http://www.twitter.com/NathanBLawrence/status/994420148621758464", "994420148621758464")</f>
        <v/>
      </c>
      <c r="B673" s="2" t="n">
        <v>43230.14829861111</v>
      </c>
      <c r="C673" t="n">
        <v>0</v>
      </c>
      <c r="D673" t="n">
        <v>0</v>
      </c>
      <c r="E673" t="s">
        <v>684</v>
      </c>
      <c r="F673" t="s"/>
      <c r="G673" t="s"/>
      <c r="H673" t="s"/>
      <c r="I673" t="s"/>
      <c r="J673" t="n">
        <v>-0.5859</v>
      </c>
      <c r="K673" t="n">
        <v>0.213</v>
      </c>
      <c r="L673" t="n">
        <v>0.787</v>
      </c>
      <c r="M673" t="n">
        <v>0</v>
      </c>
    </row>
    <row r="674" spans="1:13">
      <c r="A674" s="1">
        <f>HYPERLINK("http://www.twitter.com/NathanBLawrence/status/994417781218185216", "994417781218185216")</f>
        <v/>
      </c>
      <c r="B674" s="2" t="n">
        <v>43230.14177083333</v>
      </c>
      <c r="C674" t="n">
        <v>0</v>
      </c>
      <c r="D674" t="n">
        <v>0</v>
      </c>
      <c r="E674" t="s">
        <v>684</v>
      </c>
      <c r="F674" t="s"/>
      <c r="G674" t="s"/>
      <c r="H674" t="s"/>
      <c r="I674" t="s"/>
      <c r="J674" t="n">
        <v>-0.5859</v>
      </c>
      <c r="K674" t="n">
        <v>0.213</v>
      </c>
      <c r="L674" t="n">
        <v>0.787</v>
      </c>
      <c r="M674" t="n">
        <v>0</v>
      </c>
    </row>
    <row r="675" spans="1:13">
      <c r="A675" s="1">
        <f>HYPERLINK("http://www.twitter.com/NathanBLawrence/status/994412775517679616", "994412775517679616")</f>
        <v/>
      </c>
      <c r="B675" s="2" t="n">
        <v>43230.12795138889</v>
      </c>
      <c r="C675" t="n">
        <v>0</v>
      </c>
      <c r="D675" t="n">
        <v>0</v>
      </c>
      <c r="E675" t="s">
        <v>685</v>
      </c>
      <c r="F675" t="s"/>
      <c r="G675" t="s"/>
      <c r="H675" t="s"/>
      <c r="I675" t="s"/>
      <c r="J675" t="n">
        <v>0</v>
      </c>
      <c r="K675" t="n">
        <v>0</v>
      </c>
      <c r="L675" t="n">
        <v>1</v>
      </c>
      <c r="M675" t="n">
        <v>0</v>
      </c>
    </row>
    <row r="676" spans="1:13">
      <c r="A676" s="1">
        <f>HYPERLINK("http://www.twitter.com/NathanBLawrence/status/994103479894409216", "994103479894409216")</f>
        <v/>
      </c>
      <c r="B676" s="2" t="n">
        <v>43229.27445601852</v>
      </c>
      <c r="C676" t="n">
        <v>0</v>
      </c>
      <c r="D676" t="n">
        <v>9</v>
      </c>
      <c r="E676" t="s">
        <v>686</v>
      </c>
      <c r="F676" t="s"/>
      <c r="G676" t="s"/>
      <c r="H676" t="s"/>
      <c r="I676" t="s"/>
      <c r="J676" t="n">
        <v>-0.6808</v>
      </c>
      <c r="K676" t="n">
        <v>0.237</v>
      </c>
      <c r="L676" t="n">
        <v>0.763</v>
      </c>
      <c r="M676" t="n">
        <v>0</v>
      </c>
    </row>
    <row r="677" spans="1:13">
      <c r="A677" s="1">
        <f>HYPERLINK("http://www.twitter.com/NathanBLawrence/status/994103365427703808", "994103365427703808")</f>
        <v/>
      </c>
      <c r="B677" s="2" t="n">
        <v>43229.27414351852</v>
      </c>
      <c r="C677" t="n">
        <v>0</v>
      </c>
      <c r="D677" t="n">
        <v>200</v>
      </c>
      <c r="E677" t="s">
        <v>687</v>
      </c>
      <c r="F677" t="s"/>
      <c r="G677" t="s"/>
      <c r="H677" t="s"/>
      <c r="I677" t="s"/>
      <c r="J677" t="n">
        <v>0.4738</v>
      </c>
      <c r="K677" t="n">
        <v>0</v>
      </c>
      <c r="L677" t="n">
        <v>0.781</v>
      </c>
      <c r="M677" t="n">
        <v>0.219</v>
      </c>
    </row>
    <row r="678" spans="1:13">
      <c r="A678" s="1">
        <f>HYPERLINK("http://www.twitter.com/NathanBLawrence/status/994103321505030144", "994103321505030144")</f>
        <v/>
      </c>
      <c r="B678" s="2" t="n">
        <v>43229.27402777778</v>
      </c>
      <c r="C678" t="n">
        <v>0</v>
      </c>
      <c r="D678" t="n">
        <v>0</v>
      </c>
      <c r="E678" t="s">
        <v>688</v>
      </c>
      <c r="F678" t="s"/>
      <c r="G678" t="s"/>
      <c r="H678" t="s"/>
      <c r="I678" t="s"/>
      <c r="J678" t="n">
        <v>-0.4374</v>
      </c>
      <c r="K678" t="n">
        <v>0.59</v>
      </c>
      <c r="L678" t="n">
        <v>0.41</v>
      </c>
      <c r="M678" t="n">
        <v>0</v>
      </c>
    </row>
    <row r="679" spans="1:13">
      <c r="A679" s="1">
        <f>HYPERLINK("http://www.twitter.com/NathanBLawrence/status/994102977555247104", "994102977555247104")</f>
        <v/>
      </c>
      <c r="B679" s="2" t="n">
        <v>43229.27307870371</v>
      </c>
      <c r="C679" t="n">
        <v>0</v>
      </c>
      <c r="D679" t="n">
        <v>14</v>
      </c>
      <c r="E679" t="s">
        <v>689</v>
      </c>
      <c r="F679" t="s"/>
      <c r="G679" t="s"/>
      <c r="H679" t="s"/>
      <c r="I679" t="s"/>
      <c r="J679" t="n">
        <v>0.3182</v>
      </c>
      <c r="K679" t="n">
        <v>0</v>
      </c>
      <c r="L679" t="n">
        <v>0.909</v>
      </c>
      <c r="M679" t="n">
        <v>0.091</v>
      </c>
    </row>
    <row r="680" spans="1:13">
      <c r="A680" s="1">
        <f>HYPERLINK("http://www.twitter.com/NathanBLawrence/status/994102561828491264", "994102561828491264")</f>
        <v/>
      </c>
      <c r="B680" s="2" t="n">
        <v>43229.2719212963</v>
      </c>
      <c r="C680" t="n">
        <v>0</v>
      </c>
      <c r="D680" t="n">
        <v>0</v>
      </c>
      <c r="E680" t="s">
        <v>690</v>
      </c>
      <c r="F680" t="s"/>
      <c r="G680" t="s"/>
      <c r="H680" t="s"/>
      <c r="I680" t="s"/>
      <c r="J680" t="n">
        <v>0.0772</v>
      </c>
      <c r="K680" t="n">
        <v>0</v>
      </c>
      <c r="L680" t="n">
        <v>0.957</v>
      </c>
      <c r="M680" t="n">
        <v>0.043</v>
      </c>
    </row>
    <row r="681" spans="1:13">
      <c r="A681" s="1">
        <f>HYPERLINK("http://www.twitter.com/NathanBLawrence/status/994100760953663488", "994100760953663488")</f>
        <v/>
      </c>
      <c r="B681" s="2" t="n">
        <v>43229.26695601852</v>
      </c>
      <c r="C681" t="n">
        <v>0</v>
      </c>
      <c r="D681" t="n">
        <v>37</v>
      </c>
      <c r="E681" t="s">
        <v>691</v>
      </c>
      <c r="F681" t="s"/>
      <c r="G681" t="s"/>
      <c r="H681" t="s"/>
      <c r="I681" t="s"/>
      <c r="J681" t="n">
        <v>-0.3597</v>
      </c>
      <c r="K681" t="n">
        <v>0.143</v>
      </c>
      <c r="L681" t="n">
        <v>0.857</v>
      </c>
      <c r="M681" t="n">
        <v>0</v>
      </c>
    </row>
    <row r="682" spans="1:13">
      <c r="A682" s="1">
        <f>HYPERLINK("http://www.twitter.com/NathanBLawrence/status/994100597484916736", "994100597484916736")</f>
        <v/>
      </c>
      <c r="B682" s="2" t="n">
        <v>43229.26650462963</v>
      </c>
      <c r="C682" t="n">
        <v>0</v>
      </c>
      <c r="D682" t="n">
        <v>70</v>
      </c>
      <c r="E682" t="s">
        <v>692</v>
      </c>
      <c r="F682" t="s"/>
      <c r="G682" t="s"/>
      <c r="H682" t="s"/>
      <c r="I682" t="s"/>
      <c r="J682" t="n">
        <v>0.25</v>
      </c>
      <c r="K682" t="n">
        <v>0.111</v>
      </c>
      <c r="L682" t="n">
        <v>0.741</v>
      </c>
      <c r="M682" t="n">
        <v>0.148</v>
      </c>
    </row>
    <row r="683" spans="1:13">
      <c r="A683" s="1">
        <f>HYPERLINK("http://www.twitter.com/NathanBLawrence/status/994100136069517313", "994100136069517313")</f>
        <v/>
      </c>
      <c r="B683" s="2" t="n">
        <v>43229.26523148148</v>
      </c>
      <c r="C683" t="n">
        <v>7</v>
      </c>
      <c r="D683" t="n">
        <v>0</v>
      </c>
      <c r="E683" t="s">
        <v>693</v>
      </c>
      <c r="F683" t="s"/>
      <c r="G683" t="s"/>
      <c r="H683" t="s"/>
      <c r="I683" t="s"/>
      <c r="J683" t="n">
        <v>0</v>
      </c>
      <c r="K683" t="n">
        <v>0</v>
      </c>
      <c r="L683" t="n">
        <v>1</v>
      </c>
      <c r="M683" t="n">
        <v>0</v>
      </c>
    </row>
    <row r="684" spans="1:13">
      <c r="A684" s="1">
        <f>HYPERLINK("http://www.twitter.com/NathanBLawrence/status/994099915776196610", "994099915776196610")</f>
        <v/>
      </c>
      <c r="B684" s="2" t="n">
        <v>43229.26462962963</v>
      </c>
      <c r="C684" t="n">
        <v>0</v>
      </c>
      <c r="D684" t="n">
        <v>17</v>
      </c>
      <c r="E684" t="s">
        <v>694</v>
      </c>
      <c r="F684" t="s"/>
      <c r="G684" t="s"/>
      <c r="H684" t="s"/>
      <c r="I684" t="s"/>
      <c r="J684" t="n">
        <v>-0.5423</v>
      </c>
      <c r="K684" t="n">
        <v>0.137</v>
      </c>
      <c r="L684" t="n">
        <v>0.863</v>
      </c>
      <c r="M684" t="n">
        <v>0</v>
      </c>
    </row>
    <row r="685" spans="1:13">
      <c r="A685" s="1">
        <f>HYPERLINK("http://www.twitter.com/NathanBLawrence/status/994099858607886336", "994099858607886336")</f>
        <v/>
      </c>
      <c r="B685" s="2" t="n">
        <v>43229.26446759259</v>
      </c>
      <c r="C685" t="n">
        <v>0</v>
      </c>
      <c r="D685" t="n">
        <v>12</v>
      </c>
      <c r="E685" t="s">
        <v>695</v>
      </c>
      <c r="F685" t="s"/>
      <c r="G685" t="s"/>
      <c r="H685" t="s"/>
      <c r="I685" t="s"/>
      <c r="J685" t="n">
        <v>0</v>
      </c>
      <c r="K685" t="n">
        <v>0.126</v>
      </c>
      <c r="L685" t="n">
        <v>0.748</v>
      </c>
      <c r="M685" t="n">
        <v>0.126</v>
      </c>
    </row>
    <row r="686" spans="1:13">
      <c r="A686" s="1">
        <f>HYPERLINK("http://www.twitter.com/NathanBLawrence/status/994098528724144128", "994098528724144128")</f>
        <v/>
      </c>
      <c r="B686" s="2" t="n">
        <v>43229.26079861111</v>
      </c>
      <c r="C686" t="n">
        <v>0</v>
      </c>
      <c r="D686" t="n">
        <v>1012</v>
      </c>
      <c r="E686" t="s">
        <v>696</v>
      </c>
      <c r="F686" t="s"/>
      <c r="G686" t="s"/>
      <c r="H686" t="s"/>
      <c r="I686" t="s"/>
      <c r="J686" t="n">
        <v>-0.4939</v>
      </c>
      <c r="K686" t="n">
        <v>0.118</v>
      </c>
      <c r="L686" t="n">
        <v>0.882</v>
      </c>
      <c r="M686" t="n">
        <v>0</v>
      </c>
    </row>
    <row r="687" spans="1:13">
      <c r="A687" s="1">
        <f>HYPERLINK("http://www.twitter.com/NathanBLawrence/status/994098370410156032", "994098370410156032")</f>
        <v/>
      </c>
      <c r="B687" s="2" t="n">
        <v>43229.26035879629</v>
      </c>
      <c r="C687" t="n">
        <v>0</v>
      </c>
      <c r="D687" t="n">
        <v>0</v>
      </c>
      <c r="E687" t="s">
        <v>697</v>
      </c>
      <c r="F687" t="s"/>
      <c r="G687" t="s"/>
      <c r="H687" t="s"/>
      <c r="I687" t="s"/>
      <c r="J687" t="n">
        <v>-0.4019</v>
      </c>
      <c r="K687" t="n">
        <v>0.121</v>
      </c>
      <c r="L687" t="n">
        <v>0.8139999999999999</v>
      </c>
      <c r="M687" t="n">
        <v>0.065</v>
      </c>
    </row>
    <row r="688" spans="1:13">
      <c r="A688" s="1">
        <f>HYPERLINK("http://www.twitter.com/NathanBLawrence/status/994095895892430848", "994095895892430848")</f>
        <v/>
      </c>
      <c r="B688" s="2" t="n">
        <v>43229.2535300926</v>
      </c>
      <c r="C688" t="n">
        <v>0</v>
      </c>
      <c r="D688" t="n">
        <v>0</v>
      </c>
      <c r="E688" t="s">
        <v>698</v>
      </c>
      <c r="F688" t="s"/>
      <c r="G688" t="s"/>
      <c r="H688" t="s"/>
      <c r="I688" t="s"/>
      <c r="J688" t="n">
        <v>-0.3411</v>
      </c>
      <c r="K688" t="n">
        <v>0.149</v>
      </c>
      <c r="L688" t="n">
        <v>0.744</v>
      </c>
      <c r="M688" t="n">
        <v>0.107</v>
      </c>
    </row>
    <row r="689" spans="1:13">
      <c r="A689" s="1">
        <f>HYPERLINK("http://www.twitter.com/NathanBLawrence/status/994092139981176832", "994092139981176832")</f>
        <v/>
      </c>
      <c r="B689" s="2" t="n">
        <v>43229.24317129629</v>
      </c>
      <c r="C689" t="n">
        <v>0</v>
      </c>
      <c r="D689" t="n">
        <v>42</v>
      </c>
      <c r="E689" t="s">
        <v>699</v>
      </c>
      <c r="F689" t="s"/>
      <c r="G689" t="s"/>
      <c r="H689" t="s"/>
      <c r="I689" t="s"/>
      <c r="J689" t="n">
        <v>0</v>
      </c>
      <c r="K689" t="n">
        <v>0</v>
      </c>
      <c r="L689" t="n">
        <v>1</v>
      </c>
      <c r="M689" t="n">
        <v>0</v>
      </c>
    </row>
    <row r="690" spans="1:13">
      <c r="A690" s="1">
        <f>HYPERLINK("http://www.twitter.com/NathanBLawrence/status/994091804101312513", "994091804101312513")</f>
        <v/>
      </c>
      <c r="B690" s="2" t="n">
        <v>43229.24224537037</v>
      </c>
      <c r="C690" t="n">
        <v>1</v>
      </c>
      <c r="D690" t="n">
        <v>0</v>
      </c>
      <c r="E690" t="s">
        <v>700</v>
      </c>
      <c r="F690" t="s"/>
      <c r="G690" t="s"/>
      <c r="H690" t="s"/>
      <c r="I690" t="s"/>
      <c r="J690" t="n">
        <v>-0.3353</v>
      </c>
      <c r="K690" t="n">
        <v>0.112</v>
      </c>
      <c r="L690" t="n">
        <v>0.802</v>
      </c>
      <c r="M690" t="n">
        <v>0.08599999999999999</v>
      </c>
    </row>
    <row r="691" spans="1:13">
      <c r="A691" s="1">
        <f>HYPERLINK("http://www.twitter.com/NathanBLawrence/status/994080684930207745", "994080684930207745")</f>
        <v/>
      </c>
      <c r="B691" s="2" t="n">
        <v>43229.2115625</v>
      </c>
      <c r="C691" t="n">
        <v>0</v>
      </c>
      <c r="D691" t="n">
        <v>0</v>
      </c>
      <c r="E691" t="s">
        <v>701</v>
      </c>
      <c r="F691" t="s"/>
      <c r="G691" t="s"/>
      <c r="H691" t="s"/>
      <c r="I691" t="s"/>
      <c r="J691" t="n">
        <v>-0.5611</v>
      </c>
      <c r="K691" t="n">
        <v>0.204</v>
      </c>
      <c r="L691" t="n">
        <v>0.796</v>
      </c>
      <c r="M691" t="n">
        <v>0</v>
      </c>
    </row>
    <row r="692" spans="1:13">
      <c r="A692" s="1">
        <f>HYPERLINK("http://www.twitter.com/NathanBLawrence/status/994080063602733056", "994080063602733056")</f>
        <v/>
      </c>
      <c r="B692" s="2" t="n">
        <v>43229.20983796296</v>
      </c>
      <c r="C692" t="n">
        <v>0</v>
      </c>
      <c r="D692" t="n">
        <v>23</v>
      </c>
      <c r="E692" t="s">
        <v>702</v>
      </c>
      <c r="F692">
        <f>HYPERLINK("https://video.twimg.com/ext_tw_video/991381948353298433/pu/vid/1280x720/Hn0oK7gdWjPy_Zbs.mp4?tag=3", "https://video.twimg.com/ext_tw_video/991381948353298433/pu/vid/1280x720/Hn0oK7gdWjPy_Zbs.mp4?tag=3")</f>
        <v/>
      </c>
      <c r="G692" t="s"/>
      <c r="H692" t="s"/>
      <c r="I692" t="s"/>
      <c r="J692" t="n">
        <v>-0.7717000000000001</v>
      </c>
      <c r="K692" t="n">
        <v>0.242</v>
      </c>
      <c r="L692" t="n">
        <v>0.758</v>
      </c>
      <c r="M692" t="n">
        <v>0</v>
      </c>
    </row>
    <row r="693" spans="1:13">
      <c r="A693" s="1">
        <f>HYPERLINK("http://www.twitter.com/NathanBLawrence/status/994072791568789507", "994072791568789507")</f>
        <v/>
      </c>
      <c r="B693" s="2" t="n">
        <v>43229.18978009259</v>
      </c>
      <c r="C693" t="n">
        <v>0</v>
      </c>
      <c r="D693" t="n">
        <v>0</v>
      </c>
      <c r="E693" t="s">
        <v>703</v>
      </c>
      <c r="F693" t="s"/>
      <c r="G693" t="s"/>
      <c r="H693" t="s"/>
      <c r="I693" t="s"/>
      <c r="J693" t="n">
        <v>0.7469</v>
      </c>
      <c r="K693" t="n">
        <v>0</v>
      </c>
      <c r="L693" t="n">
        <v>0.441</v>
      </c>
      <c r="M693" t="n">
        <v>0.5590000000000001</v>
      </c>
    </row>
    <row r="694" spans="1:13">
      <c r="A694" s="1">
        <f>HYPERLINK("http://www.twitter.com/NathanBLawrence/status/993598939831193606", "993598939831193606")</f>
        <v/>
      </c>
      <c r="B694" s="2" t="n">
        <v>43227.88219907408</v>
      </c>
      <c r="C694" t="n">
        <v>0</v>
      </c>
      <c r="D694" t="n">
        <v>0</v>
      </c>
      <c r="E694" t="s">
        <v>704</v>
      </c>
      <c r="F694" t="s"/>
      <c r="G694" t="s"/>
      <c r="H694" t="s"/>
      <c r="I694" t="s"/>
      <c r="J694" t="n">
        <v>0</v>
      </c>
      <c r="K694" t="n">
        <v>0</v>
      </c>
      <c r="L694" t="n">
        <v>1</v>
      </c>
      <c r="M694" t="n">
        <v>0</v>
      </c>
    </row>
    <row r="695" spans="1:13">
      <c r="A695" s="1">
        <f>HYPERLINK("http://www.twitter.com/NathanBLawrence/status/993598761623523328", "993598761623523328")</f>
        <v/>
      </c>
      <c r="B695" s="2" t="n">
        <v>43227.88170138889</v>
      </c>
      <c r="C695" t="n">
        <v>0</v>
      </c>
      <c r="D695" t="n">
        <v>0</v>
      </c>
      <c r="E695" t="s">
        <v>705</v>
      </c>
      <c r="F695" t="s"/>
      <c r="G695" t="s"/>
      <c r="H695" t="s"/>
      <c r="I695" t="s"/>
      <c r="J695" t="n">
        <v>-0.5028</v>
      </c>
      <c r="K695" t="n">
        <v>0.213</v>
      </c>
      <c r="L695" t="n">
        <v>0.787</v>
      </c>
      <c r="M695" t="n">
        <v>0</v>
      </c>
    </row>
    <row r="696" spans="1:13">
      <c r="A696" s="1">
        <f>HYPERLINK("http://www.twitter.com/NathanBLawrence/status/993598241487970304", "993598241487970304")</f>
        <v/>
      </c>
      <c r="B696" s="2" t="n">
        <v>43227.88026620371</v>
      </c>
      <c r="C696" t="n">
        <v>0</v>
      </c>
      <c r="D696" t="n">
        <v>1</v>
      </c>
      <c r="E696" t="s">
        <v>706</v>
      </c>
      <c r="F696" t="s"/>
      <c r="G696" t="s"/>
      <c r="H696" t="s"/>
      <c r="I696" t="s"/>
      <c r="J696" t="n">
        <v>0.6705</v>
      </c>
      <c r="K696" t="n">
        <v>0</v>
      </c>
      <c r="L696" t="n">
        <v>0.703</v>
      </c>
      <c r="M696" t="n">
        <v>0.297</v>
      </c>
    </row>
    <row r="697" spans="1:13">
      <c r="A697" s="1">
        <f>HYPERLINK("http://www.twitter.com/NathanBLawrence/status/993598215235792896", "993598215235792896")</f>
        <v/>
      </c>
      <c r="B697" s="2" t="n">
        <v>43227.88019675926</v>
      </c>
      <c r="C697" t="n">
        <v>0</v>
      </c>
      <c r="D697" t="n">
        <v>1</v>
      </c>
      <c r="E697" t="s">
        <v>707</v>
      </c>
      <c r="F697" t="s"/>
      <c r="G697" t="s"/>
      <c r="H697" t="s"/>
      <c r="I697" t="s"/>
      <c r="J697" t="n">
        <v>-0.7959000000000001</v>
      </c>
      <c r="K697" t="n">
        <v>0.29</v>
      </c>
      <c r="L697" t="n">
        <v>0.635</v>
      </c>
      <c r="M697" t="n">
        <v>0.076</v>
      </c>
    </row>
    <row r="698" spans="1:13">
      <c r="A698" s="1">
        <f>HYPERLINK("http://www.twitter.com/NathanBLawrence/status/993598167408095232", "993598167408095232")</f>
        <v/>
      </c>
      <c r="B698" s="2" t="n">
        <v>43227.88005787037</v>
      </c>
      <c r="C698" t="n">
        <v>1</v>
      </c>
      <c r="D698" t="n">
        <v>0</v>
      </c>
      <c r="E698" t="s">
        <v>708</v>
      </c>
      <c r="F698" t="s"/>
      <c r="G698" t="s"/>
      <c r="H698" t="s"/>
      <c r="I698" t="s"/>
      <c r="J698" t="n">
        <v>0.3182</v>
      </c>
      <c r="K698" t="n">
        <v>0</v>
      </c>
      <c r="L698" t="n">
        <v>0.753</v>
      </c>
      <c r="M698" t="n">
        <v>0.247</v>
      </c>
    </row>
    <row r="699" spans="1:13">
      <c r="A699" s="1">
        <f>HYPERLINK("http://www.twitter.com/NathanBLawrence/status/993598073422180354", "993598073422180354")</f>
        <v/>
      </c>
      <c r="B699" s="2" t="n">
        <v>43227.87980324074</v>
      </c>
      <c r="C699" t="n">
        <v>0</v>
      </c>
      <c r="D699" t="n">
        <v>1</v>
      </c>
      <c r="E699" t="s">
        <v>709</v>
      </c>
      <c r="F699" t="s"/>
      <c r="G699" t="s"/>
      <c r="H699" t="s"/>
      <c r="I699" t="s"/>
      <c r="J699" t="n">
        <v>-0.8374</v>
      </c>
      <c r="K699" t="n">
        <v>0.346</v>
      </c>
      <c r="L699" t="n">
        <v>0.654</v>
      </c>
      <c r="M699" t="n">
        <v>0</v>
      </c>
    </row>
    <row r="700" spans="1:13">
      <c r="A700" s="1">
        <f>HYPERLINK("http://www.twitter.com/NathanBLawrence/status/993597752776019968", "993597752776019968")</f>
        <v/>
      </c>
      <c r="B700" s="2" t="n">
        <v>43227.87892361111</v>
      </c>
      <c r="C700" t="n">
        <v>2</v>
      </c>
      <c r="D700" t="n">
        <v>0</v>
      </c>
      <c r="E700" t="s">
        <v>710</v>
      </c>
      <c r="F700" t="s"/>
      <c r="G700" t="s"/>
      <c r="H700" t="s"/>
      <c r="I700" t="s"/>
      <c r="J700" t="n">
        <v>-0.1779</v>
      </c>
      <c r="K700" t="n">
        <v>0.141</v>
      </c>
      <c r="L700" t="n">
        <v>0.745</v>
      </c>
      <c r="M700" t="n">
        <v>0.114</v>
      </c>
    </row>
    <row r="701" spans="1:13">
      <c r="A701" s="1">
        <f>HYPERLINK("http://www.twitter.com/NathanBLawrence/status/993596913793556481", "993596913793556481")</f>
        <v/>
      </c>
      <c r="B701" s="2" t="n">
        <v>43227.87660879629</v>
      </c>
      <c r="C701" t="n">
        <v>0</v>
      </c>
      <c r="D701" t="n">
        <v>2</v>
      </c>
      <c r="E701" t="s">
        <v>711</v>
      </c>
      <c r="F701" t="s"/>
      <c r="G701" t="s"/>
      <c r="H701" t="s"/>
      <c r="I701" t="s"/>
      <c r="J701" t="n">
        <v>0.7371</v>
      </c>
      <c r="K701" t="n">
        <v>0.097</v>
      </c>
      <c r="L701" t="n">
        <v>0.575</v>
      </c>
      <c r="M701" t="n">
        <v>0.328</v>
      </c>
    </row>
    <row r="702" spans="1:13">
      <c r="A702" s="1">
        <f>HYPERLINK("http://www.twitter.com/NathanBLawrence/status/993596551779028993", "993596551779028993")</f>
        <v/>
      </c>
      <c r="B702" s="2" t="n">
        <v>43227.87560185185</v>
      </c>
      <c r="C702" t="n">
        <v>0</v>
      </c>
      <c r="D702" t="n">
        <v>0</v>
      </c>
      <c r="E702" t="s">
        <v>712</v>
      </c>
      <c r="F702" t="s"/>
      <c r="G702" t="s"/>
      <c r="H702" t="s"/>
      <c r="I702" t="s"/>
      <c r="J702" t="n">
        <v>0</v>
      </c>
      <c r="K702" t="n">
        <v>0</v>
      </c>
      <c r="L702" t="n">
        <v>1</v>
      </c>
      <c r="M702" t="n">
        <v>0</v>
      </c>
    </row>
    <row r="703" spans="1:13">
      <c r="A703" s="1">
        <f>HYPERLINK("http://www.twitter.com/NathanBLawrence/status/993596216821927937", "993596216821927937")</f>
        <v/>
      </c>
      <c r="B703" s="2" t="n">
        <v>43227.87467592592</v>
      </c>
      <c r="C703" t="n">
        <v>0</v>
      </c>
      <c r="D703" t="n">
        <v>124</v>
      </c>
      <c r="E703" t="s">
        <v>713</v>
      </c>
      <c r="F703" t="s"/>
      <c r="G703" t="s"/>
      <c r="H703" t="s"/>
      <c r="I703" t="s"/>
      <c r="J703" t="n">
        <v>0</v>
      </c>
      <c r="K703" t="n">
        <v>0</v>
      </c>
      <c r="L703" t="n">
        <v>1</v>
      </c>
      <c r="M703" t="n">
        <v>0</v>
      </c>
    </row>
    <row r="704" spans="1:13">
      <c r="A704" s="1">
        <f>HYPERLINK("http://www.twitter.com/NathanBLawrence/status/993596108290043904", "993596108290043904")</f>
        <v/>
      </c>
      <c r="B704" s="2" t="n">
        <v>43227.874375</v>
      </c>
      <c r="C704" t="n">
        <v>0</v>
      </c>
      <c r="D704" t="n">
        <v>278</v>
      </c>
      <c r="E704" t="s">
        <v>714</v>
      </c>
      <c r="F704">
        <f>HYPERLINK("http://pbs.twimg.com/media/DcnfE4wU0AAqIwv.jpg", "http://pbs.twimg.com/media/DcnfE4wU0AAqIwv.jpg")</f>
        <v/>
      </c>
      <c r="G704" t="s"/>
      <c r="H704" t="s"/>
      <c r="I704" t="s"/>
      <c r="J704" t="n">
        <v>0.8155</v>
      </c>
      <c r="K704" t="n">
        <v>0</v>
      </c>
      <c r="L704" t="n">
        <v>0.668</v>
      </c>
      <c r="M704" t="n">
        <v>0.332</v>
      </c>
    </row>
    <row r="705" spans="1:13">
      <c r="A705" s="1">
        <f>HYPERLINK("http://www.twitter.com/NathanBLawrence/status/993596050324762624", "993596050324762624")</f>
        <v/>
      </c>
      <c r="B705" s="2" t="n">
        <v>43227.87422453704</v>
      </c>
      <c r="C705" t="n">
        <v>0</v>
      </c>
      <c r="D705" t="n">
        <v>178</v>
      </c>
      <c r="E705" t="s">
        <v>715</v>
      </c>
      <c r="F705" t="s"/>
      <c r="G705" t="s"/>
      <c r="H705" t="s"/>
      <c r="I705" t="s"/>
      <c r="J705" t="n">
        <v>0.4019</v>
      </c>
      <c r="K705" t="n">
        <v>0</v>
      </c>
      <c r="L705" t="n">
        <v>0.829</v>
      </c>
      <c r="M705" t="n">
        <v>0.171</v>
      </c>
    </row>
    <row r="706" spans="1:13">
      <c r="A706" s="1">
        <f>HYPERLINK("http://www.twitter.com/NathanBLawrence/status/993595976517603328", "993595976517603328")</f>
        <v/>
      </c>
      <c r="B706" s="2" t="n">
        <v>43227.87401620371</v>
      </c>
      <c r="C706" t="n">
        <v>0</v>
      </c>
      <c r="D706" t="n">
        <v>221</v>
      </c>
      <c r="E706" t="s">
        <v>716</v>
      </c>
      <c r="F706">
        <f>HYPERLINK("http://pbs.twimg.com/media/DcikVlqVMAA4nav.jpg", "http://pbs.twimg.com/media/DcikVlqVMAA4nav.jpg")</f>
        <v/>
      </c>
      <c r="G706" t="s"/>
      <c r="H706" t="s"/>
      <c r="I706" t="s"/>
      <c r="J706" t="n">
        <v>0</v>
      </c>
      <c r="K706" t="n">
        <v>0</v>
      </c>
      <c r="L706" t="n">
        <v>1</v>
      </c>
      <c r="M706" t="n">
        <v>0</v>
      </c>
    </row>
    <row r="707" spans="1:13">
      <c r="A707" s="1">
        <f>HYPERLINK("http://www.twitter.com/NathanBLawrence/status/993595579157663745", "993595579157663745")</f>
        <v/>
      </c>
      <c r="B707" s="2" t="n">
        <v>43227.87291666667</v>
      </c>
      <c r="C707" t="n">
        <v>0</v>
      </c>
      <c r="D707" t="n">
        <v>11847</v>
      </c>
      <c r="E707" t="s">
        <v>717</v>
      </c>
      <c r="F707">
        <f>HYPERLINK("http://pbs.twimg.com/media/DZEGdRJW4AwfZeq.jpg", "http://pbs.twimg.com/media/DZEGdRJW4AwfZeq.jpg")</f>
        <v/>
      </c>
      <c r="G707" t="s"/>
      <c r="H707" t="s"/>
      <c r="I707" t="s"/>
      <c r="J707" t="n">
        <v>0</v>
      </c>
      <c r="K707" t="n">
        <v>0</v>
      </c>
      <c r="L707" t="n">
        <v>1</v>
      </c>
      <c r="M707" t="n">
        <v>0</v>
      </c>
    </row>
    <row r="708" spans="1:13">
      <c r="A708" s="1">
        <f>HYPERLINK("http://www.twitter.com/NathanBLawrence/status/993595259249623041", "993595259249623041")</f>
        <v/>
      </c>
      <c r="B708" s="2" t="n">
        <v>43227.87203703704</v>
      </c>
      <c r="C708" t="n">
        <v>0</v>
      </c>
      <c r="D708" t="n">
        <v>0</v>
      </c>
      <c r="E708" t="s">
        <v>718</v>
      </c>
      <c r="F708" t="s"/>
      <c r="G708" t="s"/>
      <c r="H708" t="s"/>
      <c r="I708" t="s"/>
      <c r="J708" t="n">
        <v>0.296</v>
      </c>
      <c r="K708" t="n">
        <v>0.07199999999999999</v>
      </c>
      <c r="L708" t="n">
        <v>0.8169999999999999</v>
      </c>
      <c r="M708" t="n">
        <v>0.111</v>
      </c>
    </row>
    <row r="709" spans="1:13">
      <c r="A709" s="1">
        <f>HYPERLINK("http://www.twitter.com/NathanBLawrence/status/993594502848876544", "993594502848876544")</f>
        <v/>
      </c>
      <c r="B709" s="2" t="n">
        <v>43227.8699537037</v>
      </c>
      <c r="C709" t="n">
        <v>0</v>
      </c>
      <c r="D709" t="n">
        <v>3</v>
      </c>
      <c r="E709" t="s">
        <v>719</v>
      </c>
      <c r="F709" t="s"/>
      <c r="G709" t="s"/>
      <c r="H709" t="s"/>
      <c r="I709" t="s"/>
      <c r="J709" t="n">
        <v>0</v>
      </c>
      <c r="K709" t="n">
        <v>0</v>
      </c>
      <c r="L709" t="n">
        <v>1</v>
      </c>
      <c r="M709" t="n">
        <v>0</v>
      </c>
    </row>
    <row r="710" spans="1:13">
      <c r="A710" s="1">
        <f>HYPERLINK("http://www.twitter.com/NathanBLawrence/status/993594039420313603", "993594039420313603")</f>
        <v/>
      </c>
      <c r="B710" s="2" t="n">
        <v>43227.86866898148</v>
      </c>
      <c r="C710" t="n">
        <v>0</v>
      </c>
      <c r="D710" t="n">
        <v>7</v>
      </c>
      <c r="E710" t="s">
        <v>720</v>
      </c>
      <c r="F710" t="s"/>
      <c r="G710" t="s"/>
      <c r="H710" t="s"/>
      <c r="I710" t="s"/>
      <c r="J710" t="n">
        <v>0.4102</v>
      </c>
      <c r="K710" t="n">
        <v>0.08699999999999999</v>
      </c>
      <c r="L710" t="n">
        <v>0.762</v>
      </c>
      <c r="M710" t="n">
        <v>0.15</v>
      </c>
    </row>
    <row r="711" spans="1:13">
      <c r="A711" s="1">
        <f>HYPERLINK("http://www.twitter.com/NathanBLawrence/status/993593986177748994", "993593986177748994")</f>
        <v/>
      </c>
      <c r="B711" s="2" t="n">
        <v>43227.86853009259</v>
      </c>
      <c r="C711" t="n">
        <v>0</v>
      </c>
      <c r="D711" t="n">
        <v>12</v>
      </c>
      <c r="E711" t="s">
        <v>721</v>
      </c>
      <c r="F711">
        <f>HYPERLINK("http://pbs.twimg.com/media/DcmWMWYXcAEUvvx.jpg", "http://pbs.twimg.com/media/DcmWMWYXcAEUvvx.jpg")</f>
        <v/>
      </c>
      <c r="G711" t="s"/>
      <c r="H711" t="s"/>
      <c r="I711" t="s"/>
      <c r="J711" t="n">
        <v>-0.4098</v>
      </c>
      <c r="K711" t="n">
        <v>0.154</v>
      </c>
      <c r="L711" t="n">
        <v>0.846</v>
      </c>
      <c r="M711" t="n">
        <v>0</v>
      </c>
    </row>
    <row r="712" spans="1:13">
      <c r="A712" s="1">
        <f>HYPERLINK("http://www.twitter.com/NathanBLawrence/status/993593908725735425", "993593908725735425")</f>
        <v/>
      </c>
      <c r="B712" s="2" t="n">
        <v>43227.86831018519</v>
      </c>
      <c r="C712" t="n">
        <v>2</v>
      </c>
      <c r="D712" t="n">
        <v>0</v>
      </c>
      <c r="E712" t="s">
        <v>722</v>
      </c>
      <c r="F712" t="s"/>
      <c r="G712" t="s"/>
      <c r="H712" t="s"/>
      <c r="I712" t="s"/>
      <c r="J712" t="n">
        <v>0.5994</v>
      </c>
      <c r="K712" t="n">
        <v>0</v>
      </c>
      <c r="L712" t="n">
        <v>0.888</v>
      </c>
      <c r="M712" t="n">
        <v>0.112</v>
      </c>
    </row>
    <row r="713" spans="1:13">
      <c r="A713" s="1">
        <f>HYPERLINK("http://www.twitter.com/NathanBLawrence/status/993592917599105024", "993592917599105024")</f>
        <v/>
      </c>
      <c r="B713" s="2" t="n">
        <v>43227.86557870371</v>
      </c>
      <c r="C713" t="n">
        <v>0</v>
      </c>
      <c r="D713" t="n">
        <v>0</v>
      </c>
      <c r="E713" t="s">
        <v>723</v>
      </c>
      <c r="F713" t="s"/>
      <c r="G713" t="s"/>
      <c r="H713" t="s"/>
      <c r="I713" t="s"/>
      <c r="J713" t="n">
        <v>0</v>
      </c>
      <c r="K713" t="n">
        <v>0</v>
      </c>
      <c r="L713" t="n">
        <v>1</v>
      </c>
      <c r="M713" t="n">
        <v>0</v>
      </c>
    </row>
    <row r="714" spans="1:13">
      <c r="A714" s="1">
        <f>HYPERLINK("http://www.twitter.com/NathanBLawrence/status/993592530553004034", "993592530553004034")</f>
        <v/>
      </c>
      <c r="B714" s="2" t="n">
        <v>43227.86450231481</v>
      </c>
      <c r="C714" t="n">
        <v>0</v>
      </c>
      <c r="D714" t="n">
        <v>11</v>
      </c>
      <c r="E714" t="s">
        <v>724</v>
      </c>
      <c r="F714" t="s"/>
      <c r="G714" t="s"/>
      <c r="H714" t="s"/>
      <c r="I714" t="s"/>
      <c r="J714" t="n">
        <v>0</v>
      </c>
      <c r="K714" t="n">
        <v>0</v>
      </c>
      <c r="L714" t="n">
        <v>1</v>
      </c>
      <c r="M714" t="n">
        <v>0</v>
      </c>
    </row>
    <row r="715" spans="1:13">
      <c r="A715" s="1">
        <f>HYPERLINK("http://www.twitter.com/NathanBLawrence/status/993592167875653633", "993592167875653633")</f>
        <v/>
      </c>
      <c r="B715" s="2" t="n">
        <v>43227.86350694444</v>
      </c>
      <c r="C715" t="n">
        <v>0</v>
      </c>
      <c r="D715" t="n">
        <v>1</v>
      </c>
      <c r="E715" t="s">
        <v>725</v>
      </c>
      <c r="F715" t="s"/>
      <c r="G715" t="s"/>
      <c r="H715" t="s"/>
      <c r="I715" t="s"/>
      <c r="J715" t="n">
        <v>0.8628</v>
      </c>
      <c r="K715" t="n">
        <v>0</v>
      </c>
      <c r="L715" t="n">
        <v>0.367</v>
      </c>
      <c r="M715" t="n">
        <v>0.633</v>
      </c>
    </row>
    <row r="716" spans="1:13">
      <c r="A716" s="1">
        <f>HYPERLINK("http://www.twitter.com/NathanBLawrence/status/993589388029448192", "993589388029448192")</f>
        <v/>
      </c>
      <c r="B716" s="2" t="n">
        <v>43227.85583333333</v>
      </c>
      <c r="C716" t="n">
        <v>1</v>
      </c>
      <c r="D716" t="n">
        <v>0</v>
      </c>
      <c r="E716" t="s">
        <v>726</v>
      </c>
      <c r="F716" t="s"/>
      <c r="G716" t="s"/>
      <c r="H716" t="s"/>
      <c r="I716" t="s"/>
      <c r="J716" t="n">
        <v>0.6369</v>
      </c>
      <c r="K716" t="n">
        <v>0</v>
      </c>
      <c r="L716" t="n">
        <v>0.588</v>
      </c>
      <c r="M716" t="n">
        <v>0.412</v>
      </c>
    </row>
    <row r="717" spans="1:13">
      <c r="A717" s="1">
        <f>HYPERLINK("http://www.twitter.com/NathanBLawrence/status/993589263085293568", "993589263085293568")</f>
        <v/>
      </c>
      <c r="B717" s="2" t="n">
        <v>43227.85548611111</v>
      </c>
      <c r="C717" t="n">
        <v>0</v>
      </c>
      <c r="D717" t="n">
        <v>1481</v>
      </c>
      <c r="E717" t="s">
        <v>727</v>
      </c>
      <c r="F717">
        <f>HYPERLINK("https://video.twimg.com/amplify_video/993509119452528647/vid/1280x720/SkONBa2zrvUhuhQQ.mp4?tag=2", "https://video.twimg.com/amplify_video/993509119452528647/vid/1280x720/SkONBa2zrvUhuhQQ.mp4?tag=2")</f>
        <v/>
      </c>
      <c r="G717" t="s"/>
      <c r="H717" t="s"/>
      <c r="I717" t="s"/>
      <c r="J717" t="n">
        <v>-0.4019</v>
      </c>
      <c r="K717" t="n">
        <v>0.097</v>
      </c>
      <c r="L717" t="n">
        <v>0.903</v>
      </c>
      <c r="M717" t="n">
        <v>0</v>
      </c>
    </row>
    <row r="718" spans="1:13">
      <c r="A718" s="1">
        <f>HYPERLINK("http://www.twitter.com/NathanBLawrence/status/993589145997017088", "993589145997017088")</f>
        <v/>
      </c>
      <c r="B718" s="2" t="n">
        <v>43227.85517361111</v>
      </c>
      <c r="C718" t="n">
        <v>0</v>
      </c>
      <c r="D718" t="n">
        <v>4</v>
      </c>
      <c r="E718" t="s">
        <v>728</v>
      </c>
      <c r="F718" t="s"/>
      <c r="G718" t="s"/>
      <c r="H718" t="s"/>
      <c r="I718" t="s"/>
      <c r="J718" t="n">
        <v>0.5859</v>
      </c>
      <c r="K718" t="n">
        <v>0</v>
      </c>
      <c r="L718" t="n">
        <v>0.847</v>
      </c>
      <c r="M718" t="n">
        <v>0.153</v>
      </c>
    </row>
    <row r="719" spans="1:13">
      <c r="A719" s="1">
        <f>HYPERLINK("http://www.twitter.com/NathanBLawrence/status/993588998898581504", "993588998898581504")</f>
        <v/>
      </c>
      <c r="B719" s="2" t="n">
        <v>43227.85475694444</v>
      </c>
      <c r="C719" t="n">
        <v>0</v>
      </c>
      <c r="D719" t="n">
        <v>2</v>
      </c>
      <c r="E719" t="s">
        <v>729</v>
      </c>
      <c r="F719" t="s"/>
      <c r="G719" t="s"/>
      <c r="H719" t="s"/>
      <c r="I719" t="s"/>
      <c r="J719" t="n">
        <v>0</v>
      </c>
      <c r="K719" t="n">
        <v>0</v>
      </c>
      <c r="L719" t="n">
        <v>1</v>
      </c>
      <c r="M719" t="n">
        <v>0</v>
      </c>
    </row>
    <row r="720" spans="1:13">
      <c r="A720" s="1">
        <f>HYPERLINK("http://www.twitter.com/NathanBLawrence/status/993588964975095815", "993588964975095815")</f>
        <v/>
      </c>
      <c r="B720" s="2" t="n">
        <v>43227.85466435185</v>
      </c>
      <c r="C720" t="n">
        <v>0</v>
      </c>
      <c r="D720" t="n">
        <v>8</v>
      </c>
      <c r="E720" t="s">
        <v>730</v>
      </c>
      <c r="F720" t="s"/>
      <c r="G720" t="s"/>
      <c r="H720" t="s"/>
      <c r="I720" t="s"/>
      <c r="J720" t="n">
        <v>-0.34</v>
      </c>
      <c r="K720" t="n">
        <v>0.123</v>
      </c>
      <c r="L720" t="n">
        <v>0.8080000000000001</v>
      </c>
      <c r="M720" t="n">
        <v>0.06900000000000001</v>
      </c>
    </row>
    <row r="721" spans="1:13">
      <c r="A721" s="1">
        <f>HYPERLINK("http://www.twitter.com/NathanBLawrence/status/993588863741386759", "993588863741386759")</f>
        <v/>
      </c>
      <c r="B721" s="2" t="n">
        <v>43227.85438657407</v>
      </c>
      <c r="C721" t="n">
        <v>0</v>
      </c>
      <c r="D721" t="n">
        <v>4</v>
      </c>
      <c r="E721" t="s">
        <v>731</v>
      </c>
      <c r="F721" t="s"/>
      <c r="G721" t="s"/>
      <c r="H721" t="s"/>
      <c r="I721" t="s"/>
      <c r="J721" t="n">
        <v>-0.765</v>
      </c>
      <c r="K721" t="n">
        <v>0.248</v>
      </c>
      <c r="L721" t="n">
        <v>0.752</v>
      </c>
      <c r="M721" t="n">
        <v>0</v>
      </c>
    </row>
    <row r="722" spans="1:13">
      <c r="A722" s="1">
        <f>HYPERLINK("http://www.twitter.com/NathanBLawrence/status/993588796389314567", "993588796389314567")</f>
        <v/>
      </c>
      <c r="B722" s="2" t="n">
        <v>43227.85420138889</v>
      </c>
      <c r="C722" t="n">
        <v>0</v>
      </c>
      <c r="D722" t="n">
        <v>3</v>
      </c>
      <c r="E722" t="s">
        <v>732</v>
      </c>
      <c r="F722">
        <f>HYPERLINK("http://pbs.twimg.com/media/DcnNupoW4AE6iw8.jpg", "http://pbs.twimg.com/media/DcnNupoW4AE6iw8.jpg")</f>
        <v/>
      </c>
      <c r="G722" t="s"/>
      <c r="H722" t="s"/>
      <c r="I722" t="s"/>
      <c r="J722" t="n">
        <v>0.8868</v>
      </c>
      <c r="K722" t="n">
        <v>0</v>
      </c>
      <c r="L722" t="n">
        <v>0.62</v>
      </c>
      <c r="M722" t="n">
        <v>0.38</v>
      </c>
    </row>
    <row r="723" spans="1:13">
      <c r="A723" s="1">
        <f>HYPERLINK("http://www.twitter.com/NathanBLawrence/status/993588656073043968", "993588656073043968")</f>
        <v/>
      </c>
      <c r="B723" s="2" t="n">
        <v>43227.85381944444</v>
      </c>
      <c r="C723" t="n">
        <v>0</v>
      </c>
      <c r="D723" t="n">
        <v>3</v>
      </c>
      <c r="E723" t="s">
        <v>733</v>
      </c>
      <c r="F723" t="s"/>
      <c r="G723" t="s"/>
      <c r="H723" t="s"/>
      <c r="I723" t="s"/>
      <c r="J723" t="n">
        <v>0</v>
      </c>
      <c r="K723" t="n">
        <v>0</v>
      </c>
      <c r="L723" t="n">
        <v>1</v>
      </c>
      <c r="M723" t="n">
        <v>0</v>
      </c>
    </row>
    <row r="724" spans="1:13">
      <c r="A724" s="1">
        <f>HYPERLINK("http://www.twitter.com/NathanBLawrence/status/993240129610375169", "993240129610375169")</f>
        <v/>
      </c>
      <c r="B724" s="2" t="n">
        <v>43226.89207175926</v>
      </c>
      <c r="C724" t="n">
        <v>4</v>
      </c>
      <c r="D724" t="n">
        <v>3</v>
      </c>
      <c r="E724" t="s">
        <v>734</v>
      </c>
      <c r="F724" t="s"/>
      <c r="G724" t="s"/>
      <c r="H724" t="s"/>
      <c r="I724" t="s"/>
      <c r="J724" t="n">
        <v>0</v>
      </c>
      <c r="K724" t="n">
        <v>0</v>
      </c>
      <c r="L724" t="n">
        <v>1</v>
      </c>
      <c r="M724" t="n">
        <v>0</v>
      </c>
    </row>
    <row r="725" spans="1:13">
      <c r="A725" s="1">
        <f>HYPERLINK("http://www.twitter.com/NathanBLawrence/status/992942419342741504", "992942419342741504")</f>
        <v/>
      </c>
      <c r="B725" s="2" t="n">
        <v>43226.07054398148</v>
      </c>
      <c r="C725" t="n">
        <v>0</v>
      </c>
      <c r="D725" t="n">
        <v>0</v>
      </c>
      <c r="E725" t="s">
        <v>735</v>
      </c>
      <c r="F725" t="s"/>
      <c r="G725" t="s"/>
      <c r="H725" t="s"/>
      <c r="I725" t="s"/>
      <c r="J725" t="n">
        <v>0.25</v>
      </c>
      <c r="K725" t="n">
        <v>0</v>
      </c>
      <c r="L725" t="n">
        <v>0.889</v>
      </c>
      <c r="M725" t="n">
        <v>0.111</v>
      </c>
    </row>
    <row r="726" spans="1:13">
      <c r="A726" s="1">
        <f>HYPERLINK("http://www.twitter.com/NathanBLawrence/status/992941481550843905", "992941481550843905")</f>
        <v/>
      </c>
      <c r="B726" s="2" t="n">
        <v>43226.06795138889</v>
      </c>
      <c r="C726" t="n">
        <v>0</v>
      </c>
      <c r="D726" t="n">
        <v>0</v>
      </c>
      <c r="E726" t="s">
        <v>736</v>
      </c>
      <c r="F726" t="s"/>
      <c r="G726" t="s"/>
      <c r="H726" t="s"/>
      <c r="I726" t="s"/>
      <c r="J726" t="n">
        <v>-0.4019</v>
      </c>
      <c r="K726" t="n">
        <v>0.351</v>
      </c>
      <c r="L726" t="n">
        <v>0.649</v>
      </c>
      <c r="M726" t="n">
        <v>0</v>
      </c>
    </row>
    <row r="727" spans="1:13">
      <c r="A727" s="1">
        <f>HYPERLINK("http://www.twitter.com/NathanBLawrence/status/992941352844513281", "992941352844513281")</f>
        <v/>
      </c>
      <c r="B727" s="2" t="n">
        <v>43226.06760416667</v>
      </c>
      <c r="C727" t="n">
        <v>0</v>
      </c>
      <c r="D727" t="n">
        <v>0</v>
      </c>
      <c r="E727" t="s">
        <v>737</v>
      </c>
      <c r="F727" t="s"/>
      <c r="G727" t="s"/>
      <c r="H727" t="s"/>
      <c r="I727" t="s"/>
      <c r="J727" t="n">
        <v>-0.168</v>
      </c>
      <c r="K727" t="n">
        <v>0.106</v>
      </c>
      <c r="L727" t="n">
        <v>0.894</v>
      </c>
      <c r="M727" t="n">
        <v>0</v>
      </c>
    </row>
    <row r="728" spans="1:13">
      <c r="A728" s="1">
        <f>HYPERLINK("http://www.twitter.com/NathanBLawrence/status/992691770478735360", "992691770478735360")</f>
        <v/>
      </c>
      <c r="B728" s="2" t="n">
        <v>43225.37888888889</v>
      </c>
      <c r="C728" t="n">
        <v>0</v>
      </c>
      <c r="D728" t="n">
        <v>3</v>
      </c>
      <c r="E728" t="s">
        <v>738</v>
      </c>
      <c r="F728" t="s"/>
      <c r="G728" t="s"/>
      <c r="H728" t="s"/>
      <c r="I728" t="s"/>
      <c r="J728" t="n">
        <v>-0.296</v>
      </c>
      <c r="K728" t="n">
        <v>0.155</v>
      </c>
      <c r="L728" t="n">
        <v>0.845</v>
      </c>
      <c r="M728" t="n">
        <v>0</v>
      </c>
    </row>
    <row r="729" spans="1:13">
      <c r="A729" s="1">
        <f>HYPERLINK("http://www.twitter.com/NathanBLawrence/status/992691715436875776", "992691715436875776")</f>
        <v/>
      </c>
      <c r="B729" s="2" t="n">
        <v>43225.37872685185</v>
      </c>
      <c r="C729" t="n">
        <v>0</v>
      </c>
      <c r="D729" t="n">
        <v>4</v>
      </c>
      <c r="E729" t="s">
        <v>739</v>
      </c>
      <c r="F729" t="s"/>
      <c r="G729" t="s"/>
      <c r="H729" t="s"/>
      <c r="I729" t="s"/>
      <c r="J729" t="n">
        <v>-0.296</v>
      </c>
      <c r="K729" t="n">
        <v>0.196</v>
      </c>
      <c r="L729" t="n">
        <v>0.804</v>
      </c>
      <c r="M729" t="n">
        <v>0</v>
      </c>
    </row>
    <row r="730" spans="1:13">
      <c r="A730" s="1">
        <f>HYPERLINK("http://www.twitter.com/NathanBLawrence/status/992691654866952192", "992691654866952192")</f>
        <v/>
      </c>
      <c r="B730" s="2" t="n">
        <v>43225.37856481481</v>
      </c>
      <c r="C730" t="n">
        <v>0</v>
      </c>
      <c r="D730" t="n">
        <v>4</v>
      </c>
      <c r="E730" t="s">
        <v>740</v>
      </c>
      <c r="F730" t="s"/>
      <c r="G730" t="s"/>
      <c r="H730" t="s"/>
      <c r="I730" t="s"/>
      <c r="J730" t="n">
        <v>0.3034</v>
      </c>
      <c r="K730" t="n">
        <v>0</v>
      </c>
      <c r="L730" t="n">
        <v>0.831</v>
      </c>
      <c r="M730" t="n">
        <v>0.169</v>
      </c>
    </row>
    <row r="731" spans="1:13">
      <c r="A731" s="1">
        <f>HYPERLINK("http://www.twitter.com/NathanBLawrence/status/992691524864479232", "992691524864479232")</f>
        <v/>
      </c>
      <c r="B731" s="2" t="n">
        <v>43225.37820601852</v>
      </c>
      <c r="C731" t="n">
        <v>0</v>
      </c>
      <c r="D731" t="n">
        <v>1</v>
      </c>
      <c r="E731" t="s">
        <v>741</v>
      </c>
      <c r="F731" t="s"/>
      <c r="G731" t="s"/>
      <c r="H731" t="s"/>
      <c r="I731" t="s"/>
      <c r="J731" t="n">
        <v>0</v>
      </c>
      <c r="K731" t="n">
        <v>0</v>
      </c>
      <c r="L731" t="n">
        <v>1</v>
      </c>
      <c r="M731" t="n">
        <v>0</v>
      </c>
    </row>
    <row r="732" spans="1:13">
      <c r="A732" s="1">
        <f>HYPERLINK("http://www.twitter.com/NathanBLawrence/status/992691477947043843", "992691477947043843")</f>
        <v/>
      </c>
      <c r="B732" s="2" t="n">
        <v>43225.3780787037</v>
      </c>
      <c r="C732" t="n">
        <v>0</v>
      </c>
      <c r="D732" t="n">
        <v>3</v>
      </c>
      <c r="E732" t="s">
        <v>742</v>
      </c>
      <c r="F732" t="s"/>
      <c r="G732" t="s"/>
      <c r="H732" t="s"/>
      <c r="I732" t="s"/>
      <c r="J732" t="n">
        <v>-0.3182</v>
      </c>
      <c r="K732" t="n">
        <v>0.141</v>
      </c>
      <c r="L732" t="n">
        <v>0.859</v>
      </c>
      <c r="M732" t="n">
        <v>0</v>
      </c>
    </row>
    <row r="733" spans="1:13">
      <c r="A733" s="1">
        <f>HYPERLINK("http://www.twitter.com/NathanBLawrence/status/992691067559579648", "992691067559579648")</f>
        <v/>
      </c>
      <c r="B733" s="2" t="n">
        <v>43225.37694444445</v>
      </c>
      <c r="C733" t="n">
        <v>0</v>
      </c>
      <c r="D733" t="n">
        <v>5</v>
      </c>
      <c r="E733" t="s">
        <v>743</v>
      </c>
      <c r="F733" t="s"/>
      <c r="G733" t="s"/>
      <c r="H733" t="s"/>
      <c r="I733" t="s"/>
      <c r="J733" t="n">
        <v>-0.4939</v>
      </c>
      <c r="K733" t="n">
        <v>0.144</v>
      </c>
      <c r="L733" t="n">
        <v>0.856</v>
      </c>
      <c r="M733" t="n">
        <v>0</v>
      </c>
    </row>
    <row r="734" spans="1:13">
      <c r="A734" s="1">
        <f>HYPERLINK("http://www.twitter.com/NathanBLawrence/status/992689865698443265", "992689865698443265")</f>
        <v/>
      </c>
      <c r="B734" s="2" t="n">
        <v>43225.37362268518</v>
      </c>
      <c r="C734" t="n">
        <v>0</v>
      </c>
      <c r="D734" t="n">
        <v>0</v>
      </c>
      <c r="E734" t="s">
        <v>744</v>
      </c>
      <c r="F734" t="s"/>
      <c r="G734" t="s"/>
      <c r="H734" t="s"/>
      <c r="I734" t="s"/>
      <c r="J734" t="n">
        <v>0</v>
      </c>
      <c r="K734" t="n">
        <v>0</v>
      </c>
      <c r="L734" t="n">
        <v>1</v>
      </c>
      <c r="M734" t="n">
        <v>0</v>
      </c>
    </row>
    <row r="735" spans="1:13">
      <c r="A735" s="1">
        <f>HYPERLINK("http://www.twitter.com/NathanBLawrence/status/992689569245155328", "992689569245155328")</f>
        <v/>
      </c>
      <c r="B735" s="2" t="n">
        <v>43225.3728125</v>
      </c>
      <c r="C735" t="n">
        <v>0</v>
      </c>
      <c r="D735" t="n">
        <v>0</v>
      </c>
      <c r="E735" t="s">
        <v>745</v>
      </c>
      <c r="F735" t="s"/>
      <c r="G735" t="s"/>
      <c r="H735" t="s"/>
      <c r="I735" t="s"/>
      <c r="J735" t="n">
        <v>0</v>
      </c>
      <c r="K735" t="n">
        <v>0</v>
      </c>
      <c r="L735" t="n">
        <v>1</v>
      </c>
      <c r="M735" t="n">
        <v>0</v>
      </c>
    </row>
    <row r="736" spans="1:13">
      <c r="A736" s="1">
        <f>HYPERLINK("http://www.twitter.com/NathanBLawrence/status/992678740063932416", "992678740063932416")</f>
        <v/>
      </c>
      <c r="B736" s="2" t="n">
        <v>43225.34292824074</v>
      </c>
      <c r="C736" t="n">
        <v>0</v>
      </c>
      <c r="D736" t="n">
        <v>0</v>
      </c>
      <c r="E736" t="s">
        <v>746</v>
      </c>
      <c r="F736" t="s"/>
      <c r="G736" t="s"/>
      <c r="H736" t="s"/>
      <c r="I736" t="s"/>
      <c r="J736" t="n">
        <v>-0.7734</v>
      </c>
      <c r="K736" t="n">
        <v>0.19</v>
      </c>
      <c r="L736" t="n">
        <v>0.729</v>
      </c>
      <c r="M736" t="n">
        <v>0.082</v>
      </c>
    </row>
    <row r="737" spans="1:13">
      <c r="A737" s="1">
        <f>HYPERLINK("http://www.twitter.com/NathanBLawrence/status/992673474387808256", "992673474387808256")</f>
        <v/>
      </c>
      <c r="B737" s="2" t="n">
        <v>43225.3283912037</v>
      </c>
      <c r="C737" t="n">
        <v>0</v>
      </c>
      <c r="D737" t="n">
        <v>0</v>
      </c>
      <c r="E737" t="s">
        <v>747</v>
      </c>
      <c r="F737" t="s"/>
      <c r="G737" t="s"/>
      <c r="H737" t="s"/>
      <c r="I737" t="s"/>
      <c r="J737" t="n">
        <v>0</v>
      </c>
      <c r="K737" t="n">
        <v>0</v>
      </c>
      <c r="L737" t="n">
        <v>1</v>
      </c>
      <c r="M737" t="n">
        <v>0</v>
      </c>
    </row>
    <row r="738" spans="1:13">
      <c r="A738" s="1">
        <f>HYPERLINK("http://www.twitter.com/NathanBLawrence/status/992670793090912256", "992670793090912256")</f>
        <v/>
      </c>
      <c r="B738" s="2" t="n">
        <v>43225.32099537037</v>
      </c>
      <c r="C738" t="n">
        <v>1</v>
      </c>
      <c r="D738" t="n">
        <v>0</v>
      </c>
      <c r="E738" t="s">
        <v>748</v>
      </c>
      <c r="F738" t="s"/>
      <c r="G738" t="s"/>
      <c r="H738" t="s"/>
      <c r="I738" t="s"/>
      <c r="J738" t="n">
        <v>0</v>
      </c>
      <c r="K738" t="n">
        <v>0</v>
      </c>
      <c r="L738" t="n">
        <v>1</v>
      </c>
      <c r="M738" t="n">
        <v>0</v>
      </c>
    </row>
    <row r="739" spans="1:13">
      <c r="A739" s="1">
        <f>HYPERLINK("http://www.twitter.com/NathanBLawrence/status/992650283539943424", "992650283539943424")</f>
        <v/>
      </c>
      <c r="B739" s="2" t="n">
        <v>43225.26439814815</v>
      </c>
      <c r="C739" t="n">
        <v>0</v>
      </c>
      <c r="D739" t="n">
        <v>146</v>
      </c>
      <c r="E739" t="s">
        <v>749</v>
      </c>
      <c r="F739">
        <f>HYPERLINK("http://pbs.twimg.com/media/DcX7R8DXUAAJDBj.jpg", "http://pbs.twimg.com/media/DcX7R8DXUAAJDBj.jpg")</f>
        <v/>
      </c>
      <c r="G739" t="s"/>
      <c r="H739" t="s"/>
      <c r="I739" t="s"/>
      <c r="J739" t="n">
        <v>0.6369</v>
      </c>
      <c r="K739" t="n">
        <v>0</v>
      </c>
      <c r="L739" t="n">
        <v>0.846</v>
      </c>
      <c r="M739" t="n">
        <v>0.154</v>
      </c>
    </row>
    <row r="740" spans="1:13">
      <c r="A740" s="1">
        <f>HYPERLINK("http://www.twitter.com/NathanBLawrence/status/992650016165650432", "992650016165650432")</f>
        <v/>
      </c>
      <c r="B740" s="2" t="n">
        <v>43225.26366898148</v>
      </c>
      <c r="C740" t="n">
        <v>0</v>
      </c>
      <c r="D740" t="n">
        <v>4672</v>
      </c>
      <c r="E740" t="s">
        <v>750</v>
      </c>
      <c r="F740" t="s"/>
      <c r="G740" t="s"/>
      <c r="H740" t="s"/>
      <c r="I740" t="s"/>
      <c r="J740" t="n">
        <v>0.4522</v>
      </c>
      <c r="K740" t="n">
        <v>0</v>
      </c>
      <c r="L740" t="n">
        <v>0.886</v>
      </c>
      <c r="M740" t="n">
        <v>0.114</v>
      </c>
    </row>
    <row r="741" spans="1:13">
      <c r="A741" s="1">
        <f>HYPERLINK("http://www.twitter.com/NathanBLawrence/status/992648498830020608", "992648498830020608")</f>
        <v/>
      </c>
      <c r="B741" s="2" t="n">
        <v>43225.25947916666</v>
      </c>
      <c r="C741" t="n">
        <v>0</v>
      </c>
      <c r="D741" t="n">
        <v>3014</v>
      </c>
      <c r="E741" t="s">
        <v>751</v>
      </c>
      <c r="F741" t="s"/>
      <c r="G741" t="s"/>
      <c r="H741" t="s"/>
      <c r="I741" t="s"/>
      <c r="J741" t="n">
        <v>0</v>
      </c>
      <c r="K741" t="n">
        <v>0</v>
      </c>
      <c r="L741" t="n">
        <v>1</v>
      </c>
      <c r="M741" t="n">
        <v>0</v>
      </c>
    </row>
    <row r="742" spans="1:13">
      <c r="A742" s="1">
        <f>HYPERLINK("http://www.twitter.com/NathanBLawrence/status/992648443897237504", "992648443897237504")</f>
        <v/>
      </c>
      <c r="B742" s="2" t="n">
        <v>43225.2593287037</v>
      </c>
      <c r="C742" t="n">
        <v>0</v>
      </c>
      <c r="D742" t="n">
        <v>7275</v>
      </c>
      <c r="E742" t="s">
        <v>752</v>
      </c>
      <c r="F742" t="s"/>
      <c r="G742" t="s"/>
      <c r="H742" t="s"/>
      <c r="I742" t="s"/>
      <c r="J742" t="n">
        <v>0.4939</v>
      </c>
      <c r="K742" t="n">
        <v>0</v>
      </c>
      <c r="L742" t="n">
        <v>0.862</v>
      </c>
      <c r="M742" t="n">
        <v>0.138</v>
      </c>
    </row>
    <row r="743" spans="1:13">
      <c r="A743" s="1">
        <f>HYPERLINK("http://www.twitter.com/NathanBLawrence/status/992648392546439168", "992648392546439168")</f>
        <v/>
      </c>
      <c r="B743" s="2" t="n">
        <v>43225.25917824074</v>
      </c>
      <c r="C743" t="n">
        <v>0</v>
      </c>
      <c r="D743" t="n">
        <v>476</v>
      </c>
      <c r="E743" t="s">
        <v>753</v>
      </c>
      <c r="F743">
        <f>HYPERLINK("http://pbs.twimg.com/media/DcXYOQVVwAEauv_.jpg", "http://pbs.twimg.com/media/DcXYOQVVwAEauv_.jpg")</f>
        <v/>
      </c>
      <c r="G743" t="s"/>
      <c r="H743" t="s"/>
      <c r="I743" t="s"/>
      <c r="J743" t="n">
        <v>0</v>
      </c>
      <c r="K743" t="n">
        <v>0</v>
      </c>
      <c r="L743" t="n">
        <v>1</v>
      </c>
      <c r="M743" t="n">
        <v>0</v>
      </c>
    </row>
    <row r="744" spans="1:13">
      <c r="A744" s="1">
        <f>HYPERLINK("http://www.twitter.com/NathanBLawrence/status/991698360817143808", "991698360817143808")</f>
        <v/>
      </c>
      <c r="B744" s="2" t="n">
        <v>43222.63759259259</v>
      </c>
      <c r="C744" t="n">
        <v>0</v>
      </c>
      <c r="D744" t="n">
        <v>97</v>
      </c>
      <c r="E744" t="s">
        <v>754</v>
      </c>
      <c r="F744" t="s"/>
      <c r="G744" t="s"/>
      <c r="H744" t="s"/>
      <c r="I744" t="s"/>
      <c r="J744" t="n">
        <v>0.8176</v>
      </c>
      <c r="K744" t="n">
        <v>0</v>
      </c>
      <c r="L744" t="n">
        <v>0.738</v>
      </c>
      <c r="M744" t="n">
        <v>0.262</v>
      </c>
    </row>
    <row r="745" spans="1:13">
      <c r="A745" s="1">
        <f>HYPERLINK("http://www.twitter.com/NathanBLawrence/status/991698284455628801", "991698284455628801")</f>
        <v/>
      </c>
      <c r="B745" s="2" t="n">
        <v>43222.63738425926</v>
      </c>
      <c r="C745" t="n">
        <v>0</v>
      </c>
      <c r="D745" t="n">
        <v>599</v>
      </c>
      <c r="E745" t="s">
        <v>755</v>
      </c>
      <c r="F745" t="s"/>
      <c r="G745" t="s"/>
      <c r="H745" t="s"/>
      <c r="I745" t="s"/>
      <c r="J745" t="n">
        <v>0</v>
      </c>
      <c r="K745" t="n">
        <v>0</v>
      </c>
      <c r="L745" t="n">
        <v>1</v>
      </c>
      <c r="M745" t="n">
        <v>0</v>
      </c>
    </row>
    <row r="746" spans="1:13">
      <c r="A746" s="1">
        <f>HYPERLINK("http://www.twitter.com/NathanBLawrence/status/991535416217165824", "991535416217165824")</f>
        <v/>
      </c>
      <c r="B746" s="2" t="n">
        <v>43222.18795138889</v>
      </c>
      <c r="C746" t="n">
        <v>0</v>
      </c>
      <c r="D746" t="n">
        <v>1</v>
      </c>
      <c r="E746" t="s">
        <v>756</v>
      </c>
      <c r="F746" t="s"/>
      <c r="G746" t="s"/>
      <c r="H746" t="s"/>
      <c r="I746" t="s"/>
      <c r="J746" t="n">
        <v>-0.7477</v>
      </c>
      <c r="K746" t="n">
        <v>0.261</v>
      </c>
      <c r="L746" t="n">
        <v>0.739</v>
      </c>
      <c r="M746" t="n">
        <v>0</v>
      </c>
    </row>
    <row r="747" spans="1:13">
      <c r="A747" s="1">
        <f>HYPERLINK("http://www.twitter.com/NathanBLawrence/status/991535282745901057", "991535282745901057")</f>
        <v/>
      </c>
      <c r="B747" s="2" t="n">
        <v>43222.18758101852</v>
      </c>
      <c r="C747" t="n">
        <v>0</v>
      </c>
      <c r="D747" t="n">
        <v>0</v>
      </c>
      <c r="E747" t="s">
        <v>757</v>
      </c>
      <c r="F747" t="s"/>
      <c r="G747" t="s"/>
      <c r="H747" t="s"/>
      <c r="I747" t="s"/>
      <c r="J747" t="n">
        <v>0</v>
      </c>
      <c r="K747" t="n">
        <v>0</v>
      </c>
      <c r="L747" t="n">
        <v>1</v>
      </c>
      <c r="M747" t="n">
        <v>0</v>
      </c>
    </row>
    <row r="748" spans="1:13">
      <c r="A748" s="1">
        <f>HYPERLINK("http://www.twitter.com/NathanBLawrence/status/991535192429998080", "991535192429998080")</f>
        <v/>
      </c>
      <c r="B748" s="2" t="n">
        <v>43222.18733796296</v>
      </c>
      <c r="C748" t="n">
        <v>0</v>
      </c>
      <c r="D748" t="n">
        <v>0</v>
      </c>
      <c r="E748" t="s">
        <v>758</v>
      </c>
      <c r="F748" t="s"/>
      <c r="G748" t="s"/>
      <c r="H748" t="s"/>
      <c r="I748" t="s"/>
      <c r="J748" t="n">
        <v>0.296</v>
      </c>
      <c r="K748" t="n">
        <v>0</v>
      </c>
      <c r="L748" t="n">
        <v>0.645</v>
      </c>
      <c r="M748" t="n">
        <v>0.355</v>
      </c>
    </row>
    <row r="749" spans="1:13">
      <c r="A749" s="1">
        <f>HYPERLINK("http://www.twitter.com/NathanBLawrence/status/991534975865556992", "991534975865556992")</f>
        <v/>
      </c>
      <c r="B749" s="2" t="n">
        <v>43222.18673611111</v>
      </c>
      <c r="C749" t="n">
        <v>0</v>
      </c>
      <c r="D749" t="n">
        <v>2</v>
      </c>
      <c r="E749" t="s">
        <v>759</v>
      </c>
      <c r="F749" t="s"/>
      <c r="G749" t="s"/>
      <c r="H749" t="s"/>
      <c r="I749" t="s"/>
      <c r="J749" t="n">
        <v>0.5859</v>
      </c>
      <c r="K749" t="n">
        <v>0</v>
      </c>
      <c r="L749" t="n">
        <v>0.798</v>
      </c>
      <c r="M749" t="n">
        <v>0.202</v>
      </c>
    </row>
    <row r="750" spans="1:13">
      <c r="A750" s="1">
        <f>HYPERLINK("http://www.twitter.com/NathanBLawrence/status/991534946757079040", "991534946757079040")</f>
        <v/>
      </c>
      <c r="B750" s="2" t="n">
        <v>43222.18665509259</v>
      </c>
      <c r="C750" t="n">
        <v>0</v>
      </c>
      <c r="D750" t="n">
        <v>1</v>
      </c>
      <c r="E750" t="s">
        <v>760</v>
      </c>
      <c r="F750" t="s"/>
      <c r="G750" t="s"/>
      <c r="H750" t="s"/>
      <c r="I750" t="s"/>
      <c r="J750" t="n">
        <v>0.3612</v>
      </c>
      <c r="K750" t="n">
        <v>0</v>
      </c>
      <c r="L750" t="n">
        <v>0.857</v>
      </c>
      <c r="M750" t="n">
        <v>0.143</v>
      </c>
    </row>
    <row r="751" spans="1:13">
      <c r="A751" s="1">
        <f>HYPERLINK("http://www.twitter.com/NathanBLawrence/status/991534828121198592", "991534828121198592")</f>
        <v/>
      </c>
      <c r="B751" s="2" t="n">
        <v>43222.18633101852</v>
      </c>
      <c r="C751" t="n">
        <v>0</v>
      </c>
      <c r="D751" t="n">
        <v>0</v>
      </c>
      <c r="E751" t="s">
        <v>761</v>
      </c>
      <c r="F751" t="s"/>
      <c r="G751" t="s"/>
      <c r="H751" t="s"/>
      <c r="I751" t="s"/>
      <c r="J751" t="n">
        <v>-0.7783</v>
      </c>
      <c r="K751" t="n">
        <v>0.595</v>
      </c>
      <c r="L751" t="n">
        <v>0.405</v>
      </c>
      <c r="M751" t="n">
        <v>0</v>
      </c>
    </row>
    <row r="752" spans="1:13">
      <c r="A752" s="1">
        <f>HYPERLINK("http://www.twitter.com/NathanBLawrence/status/991534187491586048", "991534187491586048")</f>
        <v/>
      </c>
      <c r="B752" s="2" t="n">
        <v>43222.18456018518</v>
      </c>
      <c r="C752" t="n">
        <v>13</v>
      </c>
      <c r="D752" t="n">
        <v>0</v>
      </c>
      <c r="E752" t="s">
        <v>762</v>
      </c>
      <c r="F752" t="s"/>
      <c r="G752" t="s"/>
      <c r="H752" t="s"/>
      <c r="I752" t="s"/>
      <c r="J752" t="n">
        <v>0.6124000000000001</v>
      </c>
      <c r="K752" t="n">
        <v>0.08</v>
      </c>
      <c r="L752" t="n">
        <v>0.6870000000000001</v>
      </c>
      <c r="M752" t="n">
        <v>0.233</v>
      </c>
    </row>
    <row r="753" spans="1:13">
      <c r="A753" s="1">
        <f>HYPERLINK("http://www.twitter.com/NathanBLawrence/status/991533675631259648", "991533675631259648")</f>
        <v/>
      </c>
      <c r="B753" s="2" t="n">
        <v>43222.18314814815</v>
      </c>
      <c r="C753" t="n">
        <v>0</v>
      </c>
      <c r="D753" t="n">
        <v>50</v>
      </c>
      <c r="E753" t="s">
        <v>763</v>
      </c>
      <c r="F753" t="s"/>
      <c r="G753" t="s"/>
      <c r="H753" t="s"/>
      <c r="I753" t="s"/>
      <c r="J753" t="n">
        <v>0.4588</v>
      </c>
      <c r="K753" t="n">
        <v>0</v>
      </c>
      <c r="L753" t="n">
        <v>0.875</v>
      </c>
      <c r="M753" t="n">
        <v>0.125</v>
      </c>
    </row>
    <row r="754" spans="1:13">
      <c r="A754" s="1">
        <f>HYPERLINK("http://www.twitter.com/NathanBLawrence/status/991533623277969413", "991533623277969413")</f>
        <v/>
      </c>
      <c r="B754" s="2" t="n">
        <v>43222.18300925926</v>
      </c>
      <c r="C754" t="n">
        <v>0</v>
      </c>
      <c r="D754" t="n">
        <v>89</v>
      </c>
      <c r="E754" t="s">
        <v>764</v>
      </c>
      <c r="F754">
        <f>HYPERLINK("http://pbs.twimg.com/media/Dbmh57HVwAA3qho.jpg", "http://pbs.twimg.com/media/Dbmh57HVwAA3qho.jpg")</f>
        <v/>
      </c>
      <c r="G754" t="s"/>
      <c r="H754" t="s"/>
      <c r="I754" t="s"/>
      <c r="J754" t="n">
        <v>0</v>
      </c>
      <c r="K754" t="n">
        <v>0</v>
      </c>
      <c r="L754" t="n">
        <v>1</v>
      </c>
      <c r="M754" t="n">
        <v>0</v>
      </c>
    </row>
    <row r="755" spans="1:13">
      <c r="A755" s="1">
        <f>HYPERLINK("http://www.twitter.com/NathanBLawrence/status/991533590327513088", "991533590327513088")</f>
        <v/>
      </c>
      <c r="B755" s="2" t="n">
        <v>43222.18291666666</v>
      </c>
      <c r="C755" t="n">
        <v>1</v>
      </c>
      <c r="D755" t="n">
        <v>0</v>
      </c>
      <c r="E755" t="s">
        <v>765</v>
      </c>
      <c r="F755" t="s"/>
      <c r="G755" t="s"/>
      <c r="H755" t="s"/>
      <c r="I755" t="s"/>
      <c r="J755" t="n">
        <v>0.501</v>
      </c>
      <c r="K755" t="n">
        <v>0.135</v>
      </c>
      <c r="L755" t="n">
        <v>0.537</v>
      </c>
      <c r="M755" t="n">
        <v>0.328</v>
      </c>
    </row>
    <row r="756" spans="1:13">
      <c r="A756" s="1">
        <f>HYPERLINK("http://www.twitter.com/NathanBLawrence/status/991533383212851200", "991533383212851200")</f>
        <v/>
      </c>
      <c r="B756" s="2" t="n">
        <v>43222.18234953703</v>
      </c>
      <c r="C756" t="n">
        <v>0</v>
      </c>
      <c r="D756" t="n">
        <v>75</v>
      </c>
      <c r="E756" t="s">
        <v>766</v>
      </c>
      <c r="F756" t="s"/>
      <c r="G756" t="s"/>
      <c r="H756" t="s"/>
      <c r="I756" t="s"/>
      <c r="J756" t="n">
        <v>0.4199</v>
      </c>
      <c r="K756" t="n">
        <v>0</v>
      </c>
      <c r="L756" t="n">
        <v>0.798</v>
      </c>
      <c r="M756" t="n">
        <v>0.202</v>
      </c>
    </row>
    <row r="757" spans="1:13">
      <c r="A757" s="1">
        <f>HYPERLINK("http://www.twitter.com/NathanBLawrence/status/991533349104648192", "991533349104648192")</f>
        <v/>
      </c>
      <c r="B757" s="2" t="n">
        <v>43222.18224537037</v>
      </c>
      <c r="C757" t="n">
        <v>1</v>
      </c>
      <c r="D757" t="n">
        <v>0</v>
      </c>
      <c r="E757" t="s">
        <v>767</v>
      </c>
      <c r="F757" t="s"/>
      <c r="G757" t="s"/>
      <c r="H757" t="s"/>
      <c r="I757" t="s"/>
      <c r="J757" t="n">
        <v>-0.4767</v>
      </c>
      <c r="K757" t="n">
        <v>0.141</v>
      </c>
      <c r="L757" t="n">
        <v>0.757</v>
      </c>
      <c r="M757" t="n">
        <v>0.103</v>
      </c>
    </row>
    <row r="758" spans="1:13">
      <c r="A758" s="1">
        <f>HYPERLINK("http://www.twitter.com/NathanBLawrence/status/991518014964158464", "991518014964158464")</f>
        <v/>
      </c>
      <c r="B758" s="2" t="n">
        <v>43222.13993055555</v>
      </c>
      <c r="C758" t="n">
        <v>0</v>
      </c>
      <c r="D758" t="n">
        <v>332</v>
      </c>
      <c r="E758" t="s">
        <v>768</v>
      </c>
      <c r="F758" t="s"/>
      <c r="G758" t="s"/>
      <c r="H758" t="s"/>
      <c r="I758" t="s"/>
      <c r="J758" t="n">
        <v>0.6369</v>
      </c>
      <c r="K758" t="n">
        <v>0</v>
      </c>
      <c r="L758" t="n">
        <v>0.781</v>
      </c>
      <c r="M758" t="n">
        <v>0.219</v>
      </c>
    </row>
    <row r="759" spans="1:13">
      <c r="A759" s="1">
        <f>HYPERLINK("http://www.twitter.com/NathanBLawrence/status/991517894042406913", "991517894042406913")</f>
        <v/>
      </c>
      <c r="B759" s="2" t="n">
        <v>43222.13960648148</v>
      </c>
      <c r="C759" t="n">
        <v>0</v>
      </c>
      <c r="D759" t="n">
        <v>591</v>
      </c>
      <c r="E759" t="s">
        <v>769</v>
      </c>
      <c r="F759" t="s"/>
      <c r="G759" t="s"/>
      <c r="H759" t="s"/>
      <c r="I759" t="s"/>
      <c r="J759" t="n">
        <v>0.5848</v>
      </c>
      <c r="K759" t="n">
        <v>0</v>
      </c>
      <c r="L759" t="n">
        <v>0.826</v>
      </c>
      <c r="M759" t="n">
        <v>0.174</v>
      </c>
    </row>
    <row r="760" spans="1:13">
      <c r="A760" s="1">
        <f>HYPERLINK("http://www.twitter.com/NathanBLawrence/status/991502128974876677", "991502128974876677")</f>
        <v/>
      </c>
      <c r="B760" s="2" t="n">
        <v>43222.09609953704</v>
      </c>
      <c r="C760" t="n">
        <v>2</v>
      </c>
      <c r="D760" t="n">
        <v>0</v>
      </c>
      <c r="E760" t="s">
        <v>770</v>
      </c>
      <c r="F760" t="s"/>
      <c r="G760" t="s"/>
      <c r="H760" t="s"/>
      <c r="I760" t="s"/>
      <c r="J760" t="n">
        <v>-0.6015</v>
      </c>
      <c r="K760" t="n">
        <v>0.276</v>
      </c>
      <c r="L760" t="n">
        <v>0.607</v>
      </c>
      <c r="M760" t="n">
        <v>0.117</v>
      </c>
    </row>
    <row r="761" spans="1:13">
      <c r="A761" s="1">
        <f>HYPERLINK("http://www.twitter.com/NathanBLawrence/status/991501948129079297", "991501948129079297")</f>
        <v/>
      </c>
      <c r="B761" s="2" t="n">
        <v>43222.09560185186</v>
      </c>
      <c r="C761" t="n">
        <v>0</v>
      </c>
      <c r="D761" t="n">
        <v>2</v>
      </c>
      <c r="E761" t="s">
        <v>771</v>
      </c>
      <c r="F761" t="s"/>
      <c r="G761" t="s"/>
      <c r="H761" t="s"/>
      <c r="I761" t="s"/>
      <c r="J761" t="n">
        <v>0</v>
      </c>
      <c r="K761" t="n">
        <v>0</v>
      </c>
      <c r="L761" t="n">
        <v>1</v>
      </c>
      <c r="M761" t="n">
        <v>0</v>
      </c>
    </row>
    <row r="762" spans="1:13">
      <c r="A762" s="1">
        <f>HYPERLINK("http://www.twitter.com/NathanBLawrence/status/991501684315652097", "991501684315652097")</f>
        <v/>
      </c>
      <c r="B762" s="2" t="n">
        <v>43222.09487268519</v>
      </c>
      <c r="C762" t="n">
        <v>0</v>
      </c>
      <c r="D762" t="n">
        <v>1</v>
      </c>
      <c r="E762" t="s">
        <v>772</v>
      </c>
      <c r="F762" t="s"/>
      <c r="G762" t="s"/>
      <c r="H762" t="s"/>
      <c r="I762" t="s"/>
      <c r="J762" t="n">
        <v>0.8104</v>
      </c>
      <c r="K762" t="n">
        <v>0</v>
      </c>
      <c r="L762" t="n">
        <v>0.576</v>
      </c>
      <c r="M762" t="n">
        <v>0.424</v>
      </c>
    </row>
    <row r="763" spans="1:13">
      <c r="A763" s="1">
        <f>HYPERLINK("http://www.twitter.com/NathanBLawrence/status/991501504182935553", "991501504182935553")</f>
        <v/>
      </c>
      <c r="B763" s="2" t="n">
        <v>43222.094375</v>
      </c>
      <c r="C763" t="n">
        <v>6</v>
      </c>
      <c r="D763" t="n">
        <v>0</v>
      </c>
      <c r="E763" t="s">
        <v>773</v>
      </c>
      <c r="F763" t="s"/>
      <c r="G763" t="s"/>
      <c r="H763" t="s"/>
      <c r="I763" t="s"/>
      <c r="J763" t="n">
        <v>-0.34</v>
      </c>
      <c r="K763" t="n">
        <v>0.234</v>
      </c>
      <c r="L763" t="n">
        <v>0.542</v>
      </c>
      <c r="M763" t="n">
        <v>0.224</v>
      </c>
    </row>
    <row r="764" spans="1:13">
      <c r="A764" s="1">
        <f>HYPERLINK("http://www.twitter.com/NathanBLawrence/status/991500910462488576", "991500910462488576")</f>
        <v/>
      </c>
      <c r="B764" s="2" t="n">
        <v>43222.09273148148</v>
      </c>
      <c r="C764" t="n">
        <v>2</v>
      </c>
      <c r="D764" t="n">
        <v>0</v>
      </c>
      <c r="E764" t="s">
        <v>774</v>
      </c>
      <c r="F764" t="s"/>
      <c r="G764" t="s"/>
      <c r="H764" t="s"/>
      <c r="I764" t="s"/>
      <c r="J764" t="n">
        <v>0.5719</v>
      </c>
      <c r="K764" t="n">
        <v>0</v>
      </c>
      <c r="L764" t="n">
        <v>0.865</v>
      </c>
      <c r="M764" t="n">
        <v>0.135</v>
      </c>
    </row>
    <row r="765" spans="1:13">
      <c r="A765" s="1">
        <f>HYPERLINK("http://www.twitter.com/NathanBLawrence/status/991500110646382594", "991500110646382594")</f>
        <v/>
      </c>
      <c r="B765" s="2" t="n">
        <v>43222.0905324074</v>
      </c>
      <c r="C765" t="n">
        <v>3</v>
      </c>
      <c r="D765" t="n">
        <v>0</v>
      </c>
      <c r="E765" t="s">
        <v>775</v>
      </c>
      <c r="F765" t="s"/>
      <c r="G765" t="s"/>
      <c r="H765" t="s"/>
      <c r="I765" t="s"/>
      <c r="J765" t="n">
        <v>-0.5009</v>
      </c>
      <c r="K765" t="n">
        <v>0.119</v>
      </c>
      <c r="L765" t="n">
        <v>0.881</v>
      </c>
      <c r="M765" t="n">
        <v>0</v>
      </c>
    </row>
    <row r="766" spans="1:13">
      <c r="A766" s="1">
        <f>HYPERLINK("http://www.twitter.com/NathanBLawrence/status/991499707808612352", "991499707808612352")</f>
        <v/>
      </c>
      <c r="B766" s="2" t="n">
        <v>43222.0894212963</v>
      </c>
      <c r="C766" t="n">
        <v>0</v>
      </c>
      <c r="D766" t="n">
        <v>7</v>
      </c>
      <c r="E766" t="s">
        <v>776</v>
      </c>
      <c r="F766" t="s"/>
      <c r="G766" t="s"/>
      <c r="H766" t="s"/>
      <c r="I766" t="s"/>
      <c r="J766" t="n">
        <v>0.25</v>
      </c>
      <c r="K766" t="n">
        <v>0</v>
      </c>
      <c r="L766" t="n">
        <v>0.895</v>
      </c>
      <c r="M766" t="n">
        <v>0.105</v>
      </c>
    </row>
    <row r="767" spans="1:13">
      <c r="A767" s="1">
        <f>HYPERLINK("http://www.twitter.com/NathanBLawrence/status/991499656688435205", "991499656688435205")</f>
        <v/>
      </c>
      <c r="B767" s="2" t="n">
        <v>43222.08927083333</v>
      </c>
      <c r="C767" t="n">
        <v>3</v>
      </c>
      <c r="D767" t="n">
        <v>0</v>
      </c>
      <c r="E767" t="s">
        <v>777</v>
      </c>
      <c r="F767" t="s"/>
      <c r="G767" t="s"/>
      <c r="H767" t="s"/>
      <c r="I767" t="s"/>
      <c r="J767" t="n">
        <v>0.127</v>
      </c>
      <c r="K767" t="n">
        <v>0.109</v>
      </c>
      <c r="L767" t="n">
        <v>0.771</v>
      </c>
      <c r="M767" t="n">
        <v>0.12</v>
      </c>
    </row>
    <row r="768" spans="1:13">
      <c r="A768" s="1">
        <f>HYPERLINK("http://www.twitter.com/NathanBLawrence/status/991499209282146304", "991499209282146304")</f>
        <v/>
      </c>
      <c r="B768" s="2" t="n">
        <v>43222.08804398148</v>
      </c>
      <c r="C768" t="n">
        <v>0</v>
      </c>
      <c r="D768" t="n">
        <v>32</v>
      </c>
      <c r="E768" t="s">
        <v>778</v>
      </c>
      <c r="F768" t="s"/>
      <c r="G768" t="s"/>
      <c r="H768" t="s"/>
      <c r="I768" t="s"/>
      <c r="J768" t="n">
        <v>-0.3987</v>
      </c>
      <c r="K768" t="n">
        <v>0.124</v>
      </c>
      <c r="L768" t="n">
        <v>0.876</v>
      </c>
      <c r="M768" t="n">
        <v>0</v>
      </c>
    </row>
    <row r="769" spans="1:13">
      <c r="A769" s="1">
        <f>HYPERLINK("http://www.twitter.com/NathanBLawrence/status/991121696768843776", "991121696768843776")</f>
        <v/>
      </c>
      <c r="B769" s="2" t="n">
        <v>43221.04630787037</v>
      </c>
      <c r="C769" t="n">
        <v>1</v>
      </c>
      <c r="D769" t="n">
        <v>0</v>
      </c>
      <c r="E769" t="s">
        <v>779</v>
      </c>
      <c r="F769" t="s"/>
      <c r="G769" t="s"/>
      <c r="H769" t="s"/>
      <c r="I769" t="s"/>
      <c r="J769" t="n">
        <v>0</v>
      </c>
      <c r="K769" t="n">
        <v>0</v>
      </c>
      <c r="L769" t="n">
        <v>1</v>
      </c>
      <c r="M769" t="n">
        <v>0</v>
      </c>
    </row>
    <row r="770" spans="1:13">
      <c r="A770" s="1">
        <f>HYPERLINK("http://www.twitter.com/NathanBLawrence/status/991121558541406208", "991121558541406208")</f>
        <v/>
      </c>
      <c r="B770" s="2" t="n">
        <v>43221.04592592592</v>
      </c>
      <c r="C770" t="n">
        <v>0</v>
      </c>
      <c r="D770" t="n">
        <v>0</v>
      </c>
      <c r="E770" t="s">
        <v>780</v>
      </c>
      <c r="F770" t="s"/>
      <c r="G770" t="s"/>
      <c r="H770" t="s"/>
      <c r="I770" t="s"/>
      <c r="J770" t="n">
        <v>0.6369</v>
      </c>
      <c r="K770" t="n">
        <v>0</v>
      </c>
      <c r="L770" t="n">
        <v>0.588</v>
      </c>
      <c r="M770" t="n">
        <v>0.412</v>
      </c>
    </row>
    <row r="771" spans="1:13">
      <c r="A771" s="1">
        <f>HYPERLINK("http://www.twitter.com/NathanBLawrence/status/991115654555107329", "991115654555107329")</f>
        <v/>
      </c>
      <c r="B771" s="2" t="n">
        <v>43221.02962962963</v>
      </c>
      <c r="C771" t="n">
        <v>0</v>
      </c>
      <c r="D771" t="n">
        <v>15</v>
      </c>
      <c r="E771" t="s">
        <v>781</v>
      </c>
      <c r="F771" t="s"/>
      <c r="G771" t="s"/>
      <c r="H771" t="s"/>
      <c r="I771" t="s"/>
      <c r="J771" t="n">
        <v>-0</v>
      </c>
      <c r="K771" t="n">
        <v>0.235</v>
      </c>
      <c r="L771" t="n">
        <v>0.619</v>
      </c>
      <c r="M771" t="n">
        <v>0.146</v>
      </c>
    </row>
    <row r="772" spans="1:13">
      <c r="A772" s="1">
        <f>HYPERLINK("http://www.twitter.com/NathanBLawrence/status/991115614520569856", "991115614520569856")</f>
        <v/>
      </c>
      <c r="B772" s="2" t="n">
        <v>43221.02952546296</v>
      </c>
      <c r="C772" t="n">
        <v>0</v>
      </c>
      <c r="D772" t="n">
        <v>0</v>
      </c>
      <c r="E772" t="s">
        <v>782</v>
      </c>
      <c r="F772" t="s"/>
      <c r="G772" t="s"/>
      <c r="H772" t="s"/>
      <c r="I772" t="s"/>
      <c r="J772" t="n">
        <v>0</v>
      </c>
      <c r="K772" t="n">
        <v>0</v>
      </c>
      <c r="L772" t="n">
        <v>1</v>
      </c>
      <c r="M772" t="n">
        <v>0</v>
      </c>
    </row>
    <row r="773" spans="1:13">
      <c r="A773" s="1">
        <f>HYPERLINK("http://www.twitter.com/NathanBLawrence/status/991115432819077126", "991115432819077126")</f>
        <v/>
      </c>
      <c r="B773" s="2" t="n">
        <v>43221.02901620371</v>
      </c>
      <c r="C773" t="n">
        <v>0</v>
      </c>
      <c r="D773" t="n">
        <v>0</v>
      </c>
      <c r="E773" t="s">
        <v>783</v>
      </c>
      <c r="F773" t="s"/>
      <c r="G773" t="s"/>
      <c r="H773" t="s"/>
      <c r="I773" t="s"/>
      <c r="J773" t="n">
        <v>0</v>
      </c>
      <c r="K773" t="n">
        <v>0</v>
      </c>
      <c r="L773" t="n">
        <v>1</v>
      </c>
      <c r="M773" t="n">
        <v>0</v>
      </c>
    </row>
    <row r="774" spans="1:13">
      <c r="A774" s="1">
        <f>HYPERLINK("http://www.twitter.com/NathanBLawrence/status/991115123707318273", "991115123707318273")</f>
        <v/>
      </c>
      <c r="B774" s="2" t="n">
        <v>43221.0281712963</v>
      </c>
      <c r="C774" t="n">
        <v>0</v>
      </c>
      <c r="D774" t="n">
        <v>14</v>
      </c>
      <c r="E774" t="s">
        <v>784</v>
      </c>
      <c r="F774" t="s"/>
      <c r="G774" t="s"/>
      <c r="H774" t="s"/>
      <c r="I774" t="s"/>
      <c r="J774" t="n">
        <v>0</v>
      </c>
      <c r="K774" t="n">
        <v>0</v>
      </c>
      <c r="L774" t="n">
        <v>1</v>
      </c>
      <c r="M774" t="n">
        <v>0</v>
      </c>
    </row>
    <row r="775" spans="1:13">
      <c r="A775" s="1">
        <f>HYPERLINK("http://www.twitter.com/NathanBLawrence/status/991113957535637504", "991113957535637504")</f>
        <v/>
      </c>
      <c r="B775" s="2" t="n">
        <v>43221.0249537037</v>
      </c>
      <c r="C775" t="n">
        <v>0</v>
      </c>
      <c r="D775" t="n">
        <v>0</v>
      </c>
      <c r="E775" t="s">
        <v>785</v>
      </c>
      <c r="F775" t="s"/>
      <c r="G775" t="s"/>
      <c r="H775" t="s"/>
      <c r="I775" t="s"/>
      <c r="J775" t="n">
        <v>0</v>
      </c>
      <c r="K775" t="n">
        <v>0</v>
      </c>
      <c r="L775" t="n">
        <v>1</v>
      </c>
      <c r="M775" t="n">
        <v>0</v>
      </c>
    </row>
    <row r="776" spans="1:13">
      <c r="A776" s="1">
        <f>HYPERLINK("http://www.twitter.com/NathanBLawrence/status/991112531149287426", "991112531149287426")</f>
        <v/>
      </c>
      <c r="B776" s="2" t="n">
        <v>43221.02101851852</v>
      </c>
      <c r="C776" t="n">
        <v>0</v>
      </c>
      <c r="D776" t="n">
        <v>3</v>
      </c>
      <c r="E776" t="s">
        <v>786</v>
      </c>
      <c r="F776" t="s"/>
      <c r="G776" t="s"/>
      <c r="H776" t="s"/>
      <c r="I776" t="s"/>
      <c r="J776" t="n">
        <v>-0.2263</v>
      </c>
      <c r="K776" t="n">
        <v>0.203</v>
      </c>
      <c r="L776" t="n">
        <v>0.656</v>
      </c>
      <c r="M776" t="n">
        <v>0.141</v>
      </c>
    </row>
    <row r="777" spans="1:13">
      <c r="A777" s="1">
        <f>HYPERLINK("http://www.twitter.com/NathanBLawrence/status/991112174381813760", "991112174381813760")</f>
        <v/>
      </c>
      <c r="B777" s="2" t="n">
        <v>43221.02003472222</v>
      </c>
      <c r="C777" t="n">
        <v>0</v>
      </c>
      <c r="D777" t="n">
        <v>1</v>
      </c>
      <c r="E777" t="s">
        <v>787</v>
      </c>
      <c r="F777" t="s"/>
      <c r="G777" t="s"/>
      <c r="H777" t="s"/>
      <c r="I777" t="s"/>
      <c r="J777" t="n">
        <v>-0.2263</v>
      </c>
      <c r="K777" t="n">
        <v>0.095</v>
      </c>
      <c r="L777" t="n">
        <v>0.905</v>
      </c>
      <c r="M777" t="n">
        <v>0</v>
      </c>
    </row>
    <row r="778" spans="1:13">
      <c r="A778" s="1">
        <f>HYPERLINK("http://www.twitter.com/NathanBLawrence/status/991111257255235584", "991111257255235584")</f>
        <v/>
      </c>
      <c r="B778" s="2" t="n">
        <v>43221.0175</v>
      </c>
      <c r="C778" t="n">
        <v>0</v>
      </c>
      <c r="D778" t="n">
        <v>0</v>
      </c>
      <c r="E778" t="s">
        <v>788</v>
      </c>
      <c r="F778" t="s"/>
      <c r="G778" t="s"/>
      <c r="H778" t="s"/>
      <c r="I778" t="s"/>
      <c r="J778" t="n">
        <v>0.4939</v>
      </c>
      <c r="K778" t="n">
        <v>0</v>
      </c>
      <c r="L778" t="n">
        <v>0.8139999999999999</v>
      </c>
      <c r="M778" t="n">
        <v>0.186</v>
      </c>
    </row>
    <row r="779" spans="1:13">
      <c r="A779" s="1">
        <f>HYPERLINK("http://www.twitter.com/NathanBLawrence/status/991110835123744769", "991110835123744769")</f>
        <v/>
      </c>
      <c r="B779" s="2" t="n">
        <v>43221.01633101852</v>
      </c>
      <c r="C779" t="n">
        <v>1</v>
      </c>
      <c r="D779" t="n">
        <v>0</v>
      </c>
      <c r="E779" t="s">
        <v>789</v>
      </c>
      <c r="F779" t="s"/>
      <c r="G779" t="s"/>
      <c r="H779" t="s"/>
      <c r="I779" t="s"/>
      <c r="J779" t="n">
        <v>0.3612</v>
      </c>
      <c r="K779" t="n">
        <v>0</v>
      </c>
      <c r="L779" t="n">
        <v>0.8</v>
      </c>
      <c r="M779" t="n">
        <v>0.2</v>
      </c>
    </row>
    <row r="780" spans="1:13">
      <c r="A780" s="1">
        <f>HYPERLINK("http://www.twitter.com/NathanBLawrence/status/991110564230377472", "991110564230377472")</f>
        <v/>
      </c>
      <c r="B780" s="2" t="n">
        <v>43221.01559027778</v>
      </c>
      <c r="C780" t="n">
        <v>0</v>
      </c>
      <c r="D780" t="n">
        <v>7</v>
      </c>
      <c r="E780" t="s">
        <v>790</v>
      </c>
      <c r="F780" t="s"/>
      <c r="G780" t="s"/>
      <c r="H780" t="s"/>
      <c r="I780" t="s"/>
      <c r="J780" t="n">
        <v>0.4404</v>
      </c>
      <c r="K780" t="n">
        <v>0</v>
      </c>
      <c r="L780" t="n">
        <v>0.888</v>
      </c>
      <c r="M780" t="n">
        <v>0.112</v>
      </c>
    </row>
    <row r="781" spans="1:13">
      <c r="A781" s="1">
        <f>HYPERLINK("http://www.twitter.com/NathanBLawrence/status/991110454796804099", "991110454796804099")</f>
        <v/>
      </c>
      <c r="B781" s="2" t="n">
        <v>43221.01528935185</v>
      </c>
      <c r="C781" t="n">
        <v>0</v>
      </c>
      <c r="D781" t="n">
        <v>0</v>
      </c>
      <c r="E781" t="s">
        <v>791</v>
      </c>
      <c r="F781" t="s"/>
      <c r="G781" t="s"/>
      <c r="H781" t="s"/>
      <c r="I781" t="s"/>
      <c r="J781" t="n">
        <v>0.5719</v>
      </c>
      <c r="K781" t="n">
        <v>0</v>
      </c>
      <c r="L781" t="n">
        <v>0.448</v>
      </c>
      <c r="M781" t="n">
        <v>0.552</v>
      </c>
    </row>
    <row r="782" spans="1:13">
      <c r="A782" s="1">
        <f>HYPERLINK("http://www.twitter.com/NathanBLawrence/status/991110410337124353", "991110410337124353")</f>
        <v/>
      </c>
      <c r="B782" s="2" t="n">
        <v>43221.01516203704</v>
      </c>
      <c r="C782" t="n">
        <v>0</v>
      </c>
      <c r="D782" t="n">
        <v>55</v>
      </c>
      <c r="E782" t="s">
        <v>792</v>
      </c>
      <c r="F782" t="s"/>
      <c r="G782" t="s"/>
      <c r="H782" t="s"/>
      <c r="I782" t="s"/>
      <c r="J782" t="n">
        <v>0.3612</v>
      </c>
      <c r="K782" t="n">
        <v>0.066</v>
      </c>
      <c r="L782" t="n">
        <v>0.8110000000000001</v>
      </c>
      <c r="M782" t="n">
        <v>0.124</v>
      </c>
    </row>
    <row r="783" spans="1:13">
      <c r="A783" s="1">
        <f>HYPERLINK("http://www.twitter.com/NathanBLawrence/status/991110222432350208", "991110222432350208")</f>
        <v/>
      </c>
      <c r="B783" s="2" t="n">
        <v>43221.01464120371</v>
      </c>
      <c r="C783" t="n">
        <v>0</v>
      </c>
      <c r="D783" t="n">
        <v>0</v>
      </c>
      <c r="E783" t="s">
        <v>793</v>
      </c>
      <c r="F783" t="s"/>
      <c r="G783" t="s"/>
      <c r="H783" t="s"/>
      <c r="I783" t="s"/>
      <c r="J783" t="n">
        <v>0.8856000000000001</v>
      </c>
      <c r="K783" t="n">
        <v>0</v>
      </c>
      <c r="L783" t="n">
        <v>0.403</v>
      </c>
      <c r="M783" t="n">
        <v>0.597</v>
      </c>
    </row>
    <row r="784" spans="1:13">
      <c r="A784" s="1">
        <f>HYPERLINK("http://www.twitter.com/NathanBLawrence/status/991109395311362048", "991109395311362048")</f>
        <v/>
      </c>
      <c r="B784" s="2" t="n">
        <v>43221.01236111111</v>
      </c>
      <c r="C784" t="n">
        <v>0</v>
      </c>
      <c r="D784" t="n">
        <v>37</v>
      </c>
      <c r="E784" t="s">
        <v>794</v>
      </c>
      <c r="F784">
        <f>HYPERLINK("http://pbs.twimg.com/media/Db_8peKW4AAft2x.jpg", "http://pbs.twimg.com/media/Db_8peKW4AAft2x.jpg")</f>
        <v/>
      </c>
      <c r="G784" t="s"/>
      <c r="H784" t="s"/>
      <c r="I784" t="s"/>
      <c r="J784" t="n">
        <v>0</v>
      </c>
      <c r="K784" t="n">
        <v>0</v>
      </c>
      <c r="L784" t="n">
        <v>1</v>
      </c>
      <c r="M784" t="n">
        <v>0</v>
      </c>
    </row>
    <row r="785" spans="1:13">
      <c r="A785" s="1">
        <f>HYPERLINK("http://www.twitter.com/NathanBLawrence/status/991109354056282112", "991109354056282112")</f>
        <v/>
      </c>
      <c r="B785" s="2" t="n">
        <v>43221.01224537037</v>
      </c>
      <c r="C785" t="n">
        <v>0</v>
      </c>
      <c r="D785" t="n">
        <v>18</v>
      </c>
      <c r="E785" t="s">
        <v>795</v>
      </c>
      <c r="F785" t="s"/>
      <c r="G785" t="s"/>
      <c r="H785" t="s"/>
      <c r="I785" t="s"/>
      <c r="J785" t="n">
        <v>0.5023</v>
      </c>
      <c r="K785" t="n">
        <v>0</v>
      </c>
      <c r="L785" t="n">
        <v>0.871</v>
      </c>
      <c r="M785" t="n">
        <v>0.129</v>
      </c>
    </row>
    <row r="786" spans="1:13">
      <c r="A786" s="1">
        <f>HYPERLINK("http://www.twitter.com/NathanBLawrence/status/991109260783341568", "991109260783341568")</f>
        <v/>
      </c>
      <c r="B786" s="2" t="n">
        <v>43221.01199074074</v>
      </c>
      <c r="C786" t="n">
        <v>1</v>
      </c>
      <c r="D786" t="n">
        <v>0</v>
      </c>
      <c r="E786" t="s">
        <v>796</v>
      </c>
      <c r="F786" t="s"/>
      <c r="G786" t="s"/>
      <c r="H786" t="s"/>
      <c r="I786" t="s"/>
      <c r="J786" t="n">
        <v>-0.1531</v>
      </c>
      <c r="K786" t="n">
        <v>0.091</v>
      </c>
      <c r="L786" t="n">
        <v>0.909</v>
      </c>
      <c r="M786" t="n">
        <v>0</v>
      </c>
    </row>
    <row r="787" spans="1:13">
      <c r="A787" s="1">
        <f>HYPERLINK("http://www.twitter.com/NathanBLawrence/status/991108989239939072", "991108989239939072")</f>
        <v/>
      </c>
      <c r="B787" s="2" t="n">
        <v>43221.01123842593</v>
      </c>
      <c r="C787" t="n">
        <v>0</v>
      </c>
      <c r="D787" t="n">
        <v>23</v>
      </c>
      <c r="E787" t="s">
        <v>797</v>
      </c>
      <c r="F787" t="s"/>
      <c r="G787" t="s"/>
      <c r="H787" t="s"/>
      <c r="I787" t="s"/>
      <c r="J787" t="n">
        <v>0.8074</v>
      </c>
      <c r="K787" t="n">
        <v>0</v>
      </c>
      <c r="L787" t="n">
        <v>0.696</v>
      </c>
      <c r="M787" t="n">
        <v>0.304</v>
      </c>
    </row>
    <row r="788" spans="1:13">
      <c r="A788" s="1">
        <f>HYPERLINK("http://www.twitter.com/NathanBLawrence/status/991108839486492672", "991108839486492672")</f>
        <v/>
      </c>
      <c r="B788" s="2" t="n">
        <v>43221.01082175926</v>
      </c>
      <c r="C788" t="n">
        <v>1</v>
      </c>
      <c r="D788" t="n">
        <v>0</v>
      </c>
      <c r="E788" t="s">
        <v>798</v>
      </c>
      <c r="F788" t="s"/>
      <c r="G788" t="s"/>
      <c r="H788" t="s"/>
      <c r="I788" t="s"/>
      <c r="J788" t="n">
        <v>-0.296</v>
      </c>
      <c r="K788" t="n">
        <v>0.145</v>
      </c>
      <c r="L788" t="n">
        <v>0.855</v>
      </c>
      <c r="M788" t="n">
        <v>0</v>
      </c>
    </row>
    <row r="789" spans="1:13">
      <c r="A789" s="1">
        <f>HYPERLINK("http://www.twitter.com/NathanBLawrence/status/991108426670530560", "991108426670530560")</f>
        <v/>
      </c>
      <c r="B789" s="2" t="n">
        <v>43221.0096875</v>
      </c>
      <c r="C789" t="n">
        <v>1</v>
      </c>
      <c r="D789" t="n">
        <v>0</v>
      </c>
      <c r="E789" t="s">
        <v>799</v>
      </c>
      <c r="F789" t="s"/>
      <c r="G789" t="s"/>
      <c r="H789" t="s"/>
      <c r="I789" t="s"/>
      <c r="J789" t="n">
        <v>-0.4404</v>
      </c>
      <c r="K789" t="n">
        <v>0.153</v>
      </c>
      <c r="L789" t="n">
        <v>0.847</v>
      </c>
      <c r="M789" t="n">
        <v>0</v>
      </c>
    </row>
    <row r="790" spans="1:13">
      <c r="A790" s="1">
        <f>HYPERLINK("http://www.twitter.com/NathanBLawrence/status/991108144679018496", "991108144679018496")</f>
        <v/>
      </c>
      <c r="B790" s="2" t="n">
        <v>43221.00891203704</v>
      </c>
      <c r="C790" t="n">
        <v>0</v>
      </c>
      <c r="D790" t="n">
        <v>25</v>
      </c>
      <c r="E790" t="s">
        <v>800</v>
      </c>
      <c r="F790" t="s"/>
      <c r="G790" t="s"/>
      <c r="H790" t="s"/>
      <c r="I790" t="s"/>
      <c r="J790" t="n">
        <v>0.4344</v>
      </c>
      <c r="K790" t="n">
        <v>0.058</v>
      </c>
      <c r="L790" t="n">
        <v>0.773</v>
      </c>
      <c r="M790" t="n">
        <v>0.169</v>
      </c>
    </row>
    <row r="791" spans="1:13">
      <c r="A791" s="1">
        <f>HYPERLINK("http://www.twitter.com/NathanBLawrence/status/991108096402644992", "991108096402644992")</f>
        <v/>
      </c>
      <c r="B791" s="2" t="n">
        <v>43221.00877314815</v>
      </c>
      <c r="C791" t="n">
        <v>0</v>
      </c>
      <c r="D791" t="n">
        <v>38</v>
      </c>
      <c r="E791" t="s">
        <v>801</v>
      </c>
      <c r="F791" t="s"/>
      <c r="G791" t="s"/>
      <c r="H791" t="s"/>
      <c r="I791" t="s"/>
      <c r="J791" t="n">
        <v>-0.5719</v>
      </c>
      <c r="K791" t="n">
        <v>0.187</v>
      </c>
      <c r="L791" t="n">
        <v>0.769</v>
      </c>
      <c r="M791" t="n">
        <v>0.044</v>
      </c>
    </row>
    <row r="792" spans="1:13">
      <c r="A792" s="1">
        <f>HYPERLINK("http://www.twitter.com/NathanBLawrence/status/991107789295669248", "991107789295669248")</f>
        <v/>
      </c>
      <c r="B792" s="2" t="n">
        <v>43221.00792824074</v>
      </c>
      <c r="C792" t="n">
        <v>1</v>
      </c>
      <c r="D792" t="n">
        <v>0</v>
      </c>
      <c r="E792" t="s">
        <v>802</v>
      </c>
      <c r="F792" t="s"/>
      <c r="G792" t="s"/>
      <c r="H792" t="s"/>
      <c r="I792" t="s"/>
      <c r="J792" t="n">
        <v>0.6597</v>
      </c>
      <c r="K792" t="n">
        <v>0</v>
      </c>
      <c r="L792" t="n">
        <v>0.6899999999999999</v>
      </c>
      <c r="M792" t="n">
        <v>0.31</v>
      </c>
    </row>
    <row r="793" spans="1:13">
      <c r="A793" s="1">
        <f>HYPERLINK("http://www.twitter.com/NathanBLawrence/status/991107543824044033", "991107543824044033")</f>
        <v/>
      </c>
      <c r="B793" s="2" t="n">
        <v>43221.00724537037</v>
      </c>
      <c r="C793" t="n">
        <v>0</v>
      </c>
      <c r="D793" t="n">
        <v>1</v>
      </c>
      <c r="E793" t="s">
        <v>803</v>
      </c>
      <c r="F793" t="s"/>
      <c r="G793" t="s"/>
      <c r="H793" t="s"/>
      <c r="I793" t="s"/>
      <c r="J793" t="n">
        <v>-0.1926</v>
      </c>
      <c r="K793" t="n">
        <v>0.066</v>
      </c>
      <c r="L793" t="n">
        <v>0.9340000000000001</v>
      </c>
      <c r="M793" t="n">
        <v>0</v>
      </c>
    </row>
    <row r="794" spans="1:13">
      <c r="A794" s="1">
        <f>HYPERLINK("http://www.twitter.com/NathanBLawrence/status/991106835083120641", "991106835083120641")</f>
        <v/>
      </c>
      <c r="B794" s="2" t="n">
        <v>43221.00530092593</v>
      </c>
      <c r="C794" t="n">
        <v>0</v>
      </c>
      <c r="D794" t="n">
        <v>9</v>
      </c>
      <c r="E794" t="s">
        <v>804</v>
      </c>
      <c r="F794" t="s"/>
      <c r="G794" t="s"/>
      <c r="H794" t="s"/>
      <c r="I794" t="s"/>
      <c r="J794" t="n">
        <v>-0.6369</v>
      </c>
      <c r="K794" t="n">
        <v>0.229</v>
      </c>
      <c r="L794" t="n">
        <v>0.6850000000000001</v>
      </c>
      <c r="M794" t="n">
        <v>0.08599999999999999</v>
      </c>
    </row>
    <row r="795" spans="1:13">
      <c r="A795" s="1">
        <f>HYPERLINK("http://www.twitter.com/NathanBLawrence/status/991106772403412992", "991106772403412992")</f>
        <v/>
      </c>
      <c r="B795" s="2" t="n">
        <v>43221.00512731481</v>
      </c>
      <c r="C795" t="n">
        <v>0</v>
      </c>
      <c r="D795" t="n">
        <v>9</v>
      </c>
      <c r="E795" t="s">
        <v>805</v>
      </c>
      <c r="F795" t="s"/>
      <c r="G795" t="s"/>
      <c r="H795" t="s"/>
      <c r="I795" t="s"/>
      <c r="J795" t="n">
        <v>0</v>
      </c>
      <c r="K795" t="n">
        <v>0</v>
      </c>
      <c r="L795" t="n">
        <v>1</v>
      </c>
      <c r="M795" t="n">
        <v>0</v>
      </c>
    </row>
    <row r="796" spans="1:13">
      <c r="A796" s="1">
        <f>HYPERLINK("http://www.twitter.com/NathanBLawrence/status/991106723996938240", "991106723996938240")</f>
        <v/>
      </c>
      <c r="B796" s="2" t="n">
        <v>43221.00498842593</v>
      </c>
      <c r="C796" t="n">
        <v>0</v>
      </c>
      <c r="D796" t="n">
        <v>11</v>
      </c>
      <c r="E796" t="s">
        <v>806</v>
      </c>
      <c r="F796" t="s"/>
      <c r="G796" t="s"/>
      <c r="H796" t="s"/>
      <c r="I796" t="s"/>
      <c r="J796" t="n">
        <v>0.504</v>
      </c>
      <c r="K796" t="n">
        <v>0</v>
      </c>
      <c r="L796" t="n">
        <v>0.854</v>
      </c>
      <c r="M796" t="n">
        <v>0.146</v>
      </c>
    </row>
    <row r="797" spans="1:13">
      <c r="A797" s="1">
        <f>HYPERLINK("http://www.twitter.com/NathanBLawrence/status/991106683563905024", "991106683563905024")</f>
        <v/>
      </c>
      <c r="B797" s="2" t="n">
        <v>43221.00487268518</v>
      </c>
      <c r="C797" t="n">
        <v>1</v>
      </c>
      <c r="D797" t="n">
        <v>1</v>
      </c>
      <c r="E797" t="s">
        <v>807</v>
      </c>
      <c r="F797" t="s"/>
      <c r="G797" t="s"/>
      <c r="H797" t="s"/>
      <c r="I797" t="s"/>
      <c r="J797" t="n">
        <v>0</v>
      </c>
      <c r="K797" t="n">
        <v>0</v>
      </c>
      <c r="L797" t="n">
        <v>1</v>
      </c>
      <c r="M797" t="n">
        <v>0</v>
      </c>
    </row>
    <row r="798" spans="1:13">
      <c r="A798" s="1">
        <f>HYPERLINK("http://www.twitter.com/NathanBLawrence/status/991106442517209088", "991106442517209088")</f>
        <v/>
      </c>
      <c r="B798" s="2" t="n">
        <v>43221.00421296297</v>
      </c>
      <c r="C798" t="n">
        <v>0</v>
      </c>
      <c r="D798" t="n">
        <v>34</v>
      </c>
      <c r="E798" t="s">
        <v>808</v>
      </c>
      <c r="F798" t="s"/>
      <c r="G798" t="s"/>
      <c r="H798" t="s"/>
      <c r="I798" t="s"/>
      <c r="J798" t="n">
        <v>0</v>
      </c>
      <c r="K798" t="n">
        <v>0</v>
      </c>
      <c r="L798" t="n">
        <v>1</v>
      </c>
      <c r="M798" t="n">
        <v>0</v>
      </c>
    </row>
    <row r="799" spans="1:13">
      <c r="A799" s="1">
        <f>HYPERLINK("http://www.twitter.com/NathanBLawrence/status/991106132356882432", "991106132356882432")</f>
        <v/>
      </c>
      <c r="B799" s="2" t="n">
        <v>43221.00335648148</v>
      </c>
      <c r="C799" t="n">
        <v>0</v>
      </c>
      <c r="D799" t="n">
        <v>18</v>
      </c>
      <c r="E799" t="s">
        <v>809</v>
      </c>
      <c r="F799">
        <f>HYPERLINK("http://pbs.twimg.com/media/DcEVYnTX4AAwnac.jpg", "http://pbs.twimg.com/media/DcEVYnTX4AAwnac.jpg")</f>
        <v/>
      </c>
      <c r="G799" t="s"/>
      <c r="H799" t="s"/>
      <c r="I799" t="s"/>
      <c r="J799" t="n">
        <v>0</v>
      </c>
      <c r="K799" t="n">
        <v>0</v>
      </c>
      <c r="L799" t="n">
        <v>1</v>
      </c>
      <c r="M799" t="n">
        <v>0</v>
      </c>
    </row>
    <row r="800" spans="1:13">
      <c r="A800" s="1">
        <f>HYPERLINK("http://www.twitter.com/NathanBLawrence/status/991106000504713216", "991106000504713216")</f>
        <v/>
      </c>
      <c r="B800" s="2" t="n">
        <v>43221.00299768519</v>
      </c>
      <c r="C800" t="n">
        <v>0</v>
      </c>
      <c r="D800" t="n">
        <v>17</v>
      </c>
      <c r="E800" t="s">
        <v>810</v>
      </c>
      <c r="F800" t="s"/>
      <c r="G800" t="s"/>
      <c r="H800" t="s"/>
      <c r="I800" t="s"/>
      <c r="J800" t="n">
        <v>0</v>
      </c>
      <c r="K800" t="n">
        <v>0</v>
      </c>
      <c r="L800" t="n">
        <v>1</v>
      </c>
      <c r="M800" t="n">
        <v>0</v>
      </c>
    </row>
    <row r="801" spans="1:13">
      <c r="A801" s="1">
        <f>HYPERLINK("http://www.twitter.com/NathanBLawrence/status/991105931005054976", "991105931005054976")</f>
        <v/>
      </c>
      <c r="B801" s="2" t="n">
        <v>43221.00280092593</v>
      </c>
      <c r="C801" t="n">
        <v>0</v>
      </c>
      <c r="D801" t="n">
        <v>11</v>
      </c>
      <c r="E801" t="s">
        <v>811</v>
      </c>
      <c r="F801" t="s"/>
      <c r="G801" t="s"/>
      <c r="H801" t="s"/>
      <c r="I801" t="s"/>
      <c r="J801" t="n">
        <v>-0.296</v>
      </c>
      <c r="K801" t="n">
        <v>0.104</v>
      </c>
      <c r="L801" t="n">
        <v>0.896</v>
      </c>
      <c r="M801" t="n">
        <v>0</v>
      </c>
    </row>
    <row r="802" spans="1:13">
      <c r="A802" s="1">
        <f>HYPERLINK("http://www.twitter.com/NathanBLawrence/status/991105809173098496", "991105809173098496")</f>
        <v/>
      </c>
      <c r="B802" s="2" t="n">
        <v>43221.00246527778</v>
      </c>
      <c r="C802" t="n">
        <v>0</v>
      </c>
      <c r="D802" t="n">
        <v>68</v>
      </c>
      <c r="E802" t="s">
        <v>812</v>
      </c>
      <c r="F802" t="s"/>
      <c r="G802" t="s"/>
      <c r="H802" t="s"/>
      <c r="I802" t="s"/>
      <c r="J802" t="n">
        <v>0</v>
      </c>
      <c r="K802" t="n">
        <v>0</v>
      </c>
      <c r="L802" t="n">
        <v>1</v>
      </c>
      <c r="M802" t="n">
        <v>0</v>
      </c>
    </row>
    <row r="803" spans="1:13">
      <c r="A803" s="1">
        <f>HYPERLINK("http://www.twitter.com/NathanBLawrence/status/991105765799809025", "991105765799809025")</f>
        <v/>
      </c>
      <c r="B803" s="2" t="n">
        <v>43221.00234953704</v>
      </c>
      <c r="C803" t="n">
        <v>0</v>
      </c>
      <c r="D803" t="n">
        <v>40</v>
      </c>
      <c r="E803" t="s">
        <v>813</v>
      </c>
      <c r="F803">
        <f>HYPERLINK("http://pbs.twimg.com/media/DcEP1EyVAAAAJtl.jpg", "http://pbs.twimg.com/media/DcEP1EyVAAAAJtl.jpg")</f>
        <v/>
      </c>
      <c r="G803" t="s"/>
      <c r="H803" t="s"/>
      <c r="I803" t="s"/>
      <c r="J803" t="n">
        <v>0</v>
      </c>
      <c r="K803" t="n">
        <v>0</v>
      </c>
      <c r="L803" t="n">
        <v>1</v>
      </c>
      <c r="M803" t="n">
        <v>0</v>
      </c>
    </row>
    <row r="804" spans="1:13">
      <c r="A804" s="1">
        <f>HYPERLINK("http://www.twitter.com/NathanBLawrence/status/991104795808288770", "991104795808288770")</f>
        <v/>
      </c>
      <c r="B804" s="2" t="n">
        <v>43220.99966435185</v>
      </c>
      <c r="C804" t="n">
        <v>0</v>
      </c>
      <c r="D804" t="n">
        <v>1</v>
      </c>
      <c r="E804" t="s">
        <v>814</v>
      </c>
      <c r="F804" t="s"/>
      <c r="G804" t="s"/>
      <c r="H804" t="s"/>
      <c r="I804" t="s"/>
      <c r="J804" t="n">
        <v>-0.5949</v>
      </c>
      <c r="K804" t="n">
        <v>0.195</v>
      </c>
      <c r="L804" t="n">
        <v>0.805</v>
      </c>
      <c r="M804" t="n">
        <v>0</v>
      </c>
    </row>
    <row r="805" spans="1:13">
      <c r="A805" s="1">
        <f>HYPERLINK("http://www.twitter.com/NathanBLawrence/status/991103930842132480", "991103930842132480")</f>
        <v/>
      </c>
      <c r="B805" s="2" t="n">
        <v>43220.99728009259</v>
      </c>
      <c r="C805" t="n">
        <v>0</v>
      </c>
      <c r="D805" t="n">
        <v>7</v>
      </c>
      <c r="E805" t="s">
        <v>815</v>
      </c>
      <c r="F805" t="s"/>
      <c r="G805" t="s"/>
      <c r="H805" t="s"/>
      <c r="I805" t="s"/>
      <c r="J805" t="n">
        <v>0.6371</v>
      </c>
      <c r="K805" t="n">
        <v>0.132</v>
      </c>
      <c r="L805" t="n">
        <v>0.591</v>
      </c>
      <c r="M805" t="n">
        <v>0.277</v>
      </c>
    </row>
    <row r="806" spans="1:13">
      <c r="A806" s="1">
        <f>HYPERLINK("http://www.twitter.com/NathanBLawrence/status/991103850777071617", "991103850777071617")</f>
        <v/>
      </c>
      <c r="B806" s="2" t="n">
        <v>43220.99706018518</v>
      </c>
      <c r="C806" t="n">
        <v>0</v>
      </c>
      <c r="D806" t="n">
        <v>1</v>
      </c>
      <c r="E806" t="s">
        <v>816</v>
      </c>
      <c r="F806" t="s"/>
      <c r="G806" t="s"/>
      <c r="H806" t="s"/>
      <c r="I806" t="s"/>
      <c r="J806" t="n">
        <v>0</v>
      </c>
      <c r="K806" t="n">
        <v>0</v>
      </c>
      <c r="L806" t="n">
        <v>1</v>
      </c>
      <c r="M806" t="n">
        <v>0</v>
      </c>
    </row>
    <row r="807" spans="1:13">
      <c r="A807" s="1">
        <f>HYPERLINK("http://www.twitter.com/NathanBLawrence/status/991103790181994496", "991103790181994496")</f>
        <v/>
      </c>
      <c r="B807" s="2" t="n">
        <v>43220.99689814815</v>
      </c>
      <c r="C807" t="n">
        <v>0</v>
      </c>
      <c r="D807" t="n">
        <v>400</v>
      </c>
      <c r="E807" t="s">
        <v>817</v>
      </c>
      <c r="F807" t="s"/>
      <c r="G807" t="s"/>
      <c r="H807" t="s"/>
      <c r="I807" t="s"/>
      <c r="J807" t="n">
        <v>0</v>
      </c>
      <c r="K807" t="n">
        <v>0</v>
      </c>
      <c r="L807" t="n">
        <v>1</v>
      </c>
      <c r="M807" t="n">
        <v>0</v>
      </c>
    </row>
    <row r="808" spans="1:13">
      <c r="A808" s="1">
        <f>HYPERLINK("http://www.twitter.com/NathanBLawrence/status/990377886954803201", "990377886954803201")</f>
        <v/>
      </c>
      <c r="B808" s="2" t="n">
        <v>43218.99378472222</v>
      </c>
      <c r="C808" t="n">
        <v>0</v>
      </c>
      <c r="D808" t="n">
        <v>0</v>
      </c>
      <c r="E808" t="s">
        <v>818</v>
      </c>
      <c r="F808" t="s"/>
      <c r="G808" t="s"/>
      <c r="H808" t="s"/>
      <c r="I808" t="s"/>
      <c r="J808" t="n">
        <v>-0.8591</v>
      </c>
      <c r="K808" t="n">
        <v>0.436</v>
      </c>
      <c r="L808" t="n">
        <v>0.5639999999999999</v>
      </c>
      <c r="M808" t="n">
        <v>0</v>
      </c>
    </row>
    <row r="809" spans="1:13">
      <c r="A809" s="1">
        <f>HYPERLINK("http://www.twitter.com/NathanBLawrence/status/990092073696100353", "990092073696100353")</f>
        <v/>
      </c>
      <c r="B809" s="2" t="n">
        <v>43218.20509259259</v>
      </c>
      <c r="C809" t="n">
        <v>0</v>
      </c>
      <c r="D809" t="n">
        <v>1</v>
      </c>
      <c r="E809" t="s">
        <v>819</v>
      </c>
      <c r="F809" t="s"/>
      <c r="G809" t="s"/>
      <c r="H809" t="s"/>
      <c r="I809" t="s"/>
      <c r="J809" t="n">
        <v>-0.8205</v>
      </c>
      <c r="K809" t="n">
        <v>0.351</v>
      </c>
      <c r="L809" t="n">
        <v>0.649</v>
      </c>
      <c r="M809" t="n">
        <v>0</v>
      </c>
    </row>
    <row r="810" spans="1:13">
      <c r="A810" s="1">
        <f>HYPERLINK("http://www.twitter.com/NathanBLawrence/status/990090643769839616", "990090643769839616")</f>
        <v/>
      </c>
      <c r="B810" s="2" t="n">
        <v>43218.20114583334</v>
      </c>
      <c r="C810" t="n">
        <v>0</v>
      </c>
      <c r="D810" t="n">
        <v>2</v>
      </c>
      <c r="E810" t="s">
        <v>820</v>
      </c>
      <c r="F810" t="s"/>
      <c r="G810" t="s"/>
      <c r="H810" t="s"/>
      <c r="I810" t="s"/>
      <c r="J810" t="n">
        <v>0</v>
      </c>
      <c r="K810" t="n">
        <v>0</v>
      </c>
      <c r="L810" t="n">
        <v>1</v>
      </c>
      <c r="M810" t="n">
        <v>0</v>
      </c>
    </row>
    <row r="811" spans="1:13">
      <c r="A811" s="1">
        <f>HYPERLINK("http://www.twitter.com/NathanBLawrence/status/990090561825763329", "990090561825763329")</f>
        <v/>
      </c>
      <c r="B811" s="2" t="n">
        <v>43218.20091435185</v>
      </c>
      <c r="C811" t="n">
        <v>1</v>
      </c>
      <c r="D811" t="n">
        <v>0</v>
      </c>
      <c r="E811" t="s">
        <v>821</v>
      </c>
      <c r="F811" t="s"/>
      <c r="G811" t="s"/>
      <c r="H811" t="s"/>
      <c r="I811" t="s"/>
      <c r="J811" t="n">
        <v>-0.8142</v>
      </c>
      <c r="K811" t="n">
        <v>0.268</v>
      </c>
      <c r="L811" t="n">
        <v>0.732</v>
      </c>
      <c r="M811" t="n">
        <v>0</v>
      </c>
    </row>
    <row r="812" spans="1:13">
      <c r="A812" s="1">
        <f>HYPERLINK("http://www.twitter.com/NathanBLawrence/status/990089568547459072", "990089568547459072")</f>
        <v/>
      </c>
      <c r="B812" s="2" t="n">
        <v>43218.1981712963</v>
      </c>
      <c r="C812" t="n">
        <v>0</v>
      </c>
      <c r="D812" t="n">
        <v>2</v>
      </c>
      <c r="E812" t="s">
        <v>822</v>
      </c>
      <c r="F812" t="s"/>
      <c r="G812" t="s"/>
      <c r="H812" t="s"/>
      <c r="I812" t="s"/>
      <c r="J812" t="n">
        <v>0.5473</v>
      </c>
      <c r="K812" t="n">
        <v>0</v>
      </c>
      <c r="L812" t="n">
        <v>0.718</v>
      </c>
      <c r="M812" t="n">
        <v>0.282</v>
      </c>
    </row>
    <row r="813" spans="1:13">
      <c r="A813" s="1">
        <f>HYPERLINK("http://www.twitter.com/NathanBLawrence/status/990089533696958464", "990089533696958464")</f>
        <v/>
      </c>
      <c r="B813" s="2" t="n">
        <v>43218.1980787037</v>
      </c>
      <c r="C813" t="n">
        <v>3</v>
      </c>
      <c r="D813" t="n">
        <v>0</v>
      </c>
      <c r="E813" t="s">
        <v>823</v>
      </c>
      <c r="F813" t="s"/>
      <c r="G813" t="s"/>
      <c r="H813" t="s"/>
      <c r="I813" t="s"/>
      <c r="J813" t="n">
        <v>-0.4588</v>
      </c>
      <c r="K813" t="n">
        <v>0.273</v>
      </c>
      <c r="L813" t="n">
        <v>0.727</v>
      </c>
      <c r="M813" t="n">
        <v>0</v>
      </c>
    </row>
    <row r="814" spans="1:13">
      <c r="A814" s="1">
        <f>HYPERLINK("http://www.twitter.com/NathanBLawrence/status/990088472764538881", "990088472764538881")</f>
        <v/>
      </c>
      <c r="B814" s="2" t="n">
        <v>43218.19515046296</v>
      </c>
      <c r="C814" t="n">
        <v>0</v>
      </c>
      <c r="D814" t="n">
        <v>1</v>
      </c>
      <c r="E814" t="s">
        <v>824</v>
      </c>
      <c r="F814" t="s"/>
      <c r="G814" t="s"/>
      <c r="H814" t="s"/>
      <c r="I814" t="s"/>
      <c r="J814" t="n">
        <v>0</v>
      </c>
      <c r="K814" t="n">
        <v>0</v>
      </c>
      <c r="L814" t="n">
        <v>1</v>
      </c>
      <c r="M814" t="n">
        <v>0</v>
      </c>
    </row>
    <row r="815" spans="1:13">
      <c r="A815" s="1">
        <f>HYPERLINK("http://www.twitter.com/NathanBLawrence/status/990088159085068288", "990088159085068288")</f>
        <v/>
      </c>
      <c r="B815" s="2" t="n">
        <v>43218.19428240741</v>
      </c>
      <c r="C815" t="n">
        <v>0</v>
      </c>
      <c r="D815" t="n">
        <v>3</v>
      </c>
      <c r="E815" t="s">
        <v>825</v>
      </c>
      <c r="F815" t="s"/>
      <c r="G815" t="s"/>
      <c r="H815" t="s"/>
      <c r="I815" t="s"/>
      <c r="J815" t="n">
        <v>0</v>
      </c>
      <c r="K815" t="n">
        <v>0</v>
      </c>
      <c r="L815" t="n">
        <v>1</v>
      </c>
      <c r="M815" t="n">
        <v>0</v>
      </c>
    </row>
    <row r="816" spans="1:13">
      <c r="A816" s="1">
        <f>HYPERLINK("http://www.twitter.com/NathanBLawrence/status/989836256828895232", "989836256828895232")</f>
        <v/>
      </c>
      <c r="B816" s="2" t="n">
        <v>43217.49916666667</v>
      </c>
      <c r="C816" t="n">
        <v>0</v>
      </c>
      <c r="D816" t="n">
        <v>10</v>
      </c>
      <c r="E816" t="s">
        <v>826</v>
      </c>
      <c r="F816" t="s"/>
      <c r="G816" t="s"/>
      <c r="H816" t="s"/>
      <c r="I816" t="s"/>
      <c r="J816" t="n">
        <v>-0.3612</v>
      </c>
      <c r="K816" t="n">
        <v>0.111</v>
      </c>
      <c r="L816" t="n">
        <v>0.889</v>
      </c>
      <c r="M816" t="n">
        <v>0</v>
      </c>
    </row>
    <row r="817" spans="1:13">
      <c r="A817" s="1">
        <f>HYPERLINK("http://www.twitter.com/NathanBLawrence/status/989836190223347718", "989836190223347718")</f>
        <v/>
      </c>
      <c r="B817" s="2" t="n">
        <v>43217.49898148148</v>
      </c>
      <c r="C817" t="n">
        <v>0</v>
      </c>
      <c r="D817" t="n">
        <v>11</v>
      </c>
      <c r="E817" t="s">
        <v>827</v>
      </c>
      <c r="F817" t="s"/>
      <c r="G817" t="s"/>
      <c r="H817" t="s"/>
      <c r="I817" t="s"/>
      <c r="J817" t="n">
        <v>-0.6515</v>
      </c>
      <c r="K817" t="n">
        <v>0.239</v>
      </c>
      <c r="L817" t="n">
        <v>0.761</v>
      </c>
      <c r="M817" t="n">
        <v>0</v>
      </c>
    </row>
    <row r="818" spans="1:13">
      <c r="A818" s="1">
        <f>HYPERLINK("http://www.twitter.com/NathanBLawrence/status/989836091388776448", "989836091388776448")</f>
        <v/>
      </c>
      <c r="B818" s="2" t="n">
        <v>43217.49871527778</v>
      </c>
      <c r="C818" t="n">
        <v>0</v>
      </c>
      <c r="D818" t="n">
        <v>16</v>
      </c>
      <c r="E818" t="s">
        <v>828</v>
      </c>
      <c r="F818" t="s"/>
      <c r="G818" t="s"/>
      <c r="H818" t="s"/>
      <c r="I818" t="s"/>
      <c r="J818" t="n">
        <v>-0.8481</v>
      </c>
      <c r="K818" t="n">
        <v>0.305</v>
      </c>
      <c r="L818" t="n">
        <v>0.695</v>
      </c>
      <c r="M818" t="n">
        <v>0</v>
      </c>
    </row>
    <row r="819" spans="1:13">
      <c r="A819" s="1">
        <f>HYPERLINK("http://www.twitter.com/NathanBLawrence/status/989835926250672129", "989835926250672129")</f>
        <v/>
      </c>
      <c r="B819" s="2" t="n">
        <v>43217.49825231481</v>
      </c>
      <c r="C819" t="n">
        <v>0</v>
      </c>
      <c r="D819" t="n">
        <v>38</v>
      </c>
      <c r="E819" t="s">
        <v>829</v>
      </c>
      <c r="F819">
        <f>HYPERLINK("http://pbs.twimg.com/media/DbwtcplU8AEWq-6.jpg", "http://pbs.twimg.com/media/DbwtcplU8AEWq-6.jpg")</f>
        <v/>
      </c>
      <c r="G819" t="s"/>
      <c r="H819" t="s"/>
      <c r="I819" t="s"/>
      <c r="J819" t="n">
        <v>0.7985</v>
      </c>
      <c r="K819" t="n">
        <v>0.118</v>
      </c>
      <c r="L819" t="n">
        <v>0.577</v>
      </c>
      <c r="M819" t="n">
        <v>0.305</v>
      </c>
    </row>
    <row r="820" spans="1:13">
      <c r="A820" s="1">
        <f>HYPERLINK("http://www.twitter.com/NathanBLawrence/status/989835787209445376", "989835787209445376")</f>
        <v/>
      </c>
      <c r="B820" s="2" t="n">
        <v>43217.49787037037</v>
      </c>
      <c r="C820" t="n">
        <v>0</v>
      </c>
      <c r="D820" t="n">
        <v>2</v>
      </c>
      <c r="E820" t="s">
        <v>830</v>
      </c>
      <c r="F820" t="s"/>
      <c r="G820" t="s"/>
      <c r="H820" t="s"/>
      <c r="I820" t="s"/>
      <c r="J820" t="n">
        <v>0.0516</v>
      </c>
      <c r="K820" t="n">
        <v>0.151</v>
      </c>
      <c r="L820" t="n">
        <v>0.6899999999999999</v>
      </c>
      <c r="M820" t="n">
        <v>0.159</v>
      </c>
    </row>
    <row r="821" spans="1:13">
      <c r="A821" s="1">
        <f>HYPERLINK("http://www.twitter.com/NathanBLawrence/status/989835705424797696", "989835705424797696")</f>
        <v/>
      </c>
      <c r="B821" s="2" t="n">
        <v>43217.49765046296</v>
      </c>
      <c r="C821" t="n">
        <v>0</v>
      </c>
      <c r="D821" t="n">
        <v>15</v>
      </c>
      <c r="E821" t="s">
        <v>831</v>
      </c>
      <c r="F821">
        <f>HYPERLINK("http://pbs.twimg.com/media/DbwSpsPVwAAMK8S.jpg", "http://pbs.twimg.com/media/DbwSpsPVwAAMK8S.jpg")</f>
        <v/>
      </c>
      <c r="G821" t="s"/>
      <c r="H821" t="s"/>
      <c r="I821" t="s"/>
      <c r="J821" t="n">
        <v>0.4019</v>
      </c>
      <c r="K821" t="n">
        <v>0</v>
      </c>
      <c r="L821" t="n">
        <v>0.903</v>
      </c>
      <c r="M821" t="n">
        <v>0.097</v>
      </c>
    </row>
    <row r="822" spans="1:13">
      <c r="A822" s="1">
        <f>HYPERLINK("http://www.twitter.com/NathanBLawrence/status/989835610335666177", "989835610335666177")</f>
        <v/>
      </c>
      <c r="B822" s="2" t="n">
        <v>43217.49738425926</v>
      </c>
      <c r="C822" t="n">
        <v>0</v>
      </c>
      <c r="D822" t="n">
        <v>11111</v>
      </c>
      <c r="E822" t="s">
        <v>832</v>
      </c>
      <c r="F822" t="s"/>
      <c r="G822" t="s"/>
      <c r="H822" t="s"/>
      <c r="I822" t="s"/>
      <c r="J822" t="n">
        <v>-0.128</v>
      </c>
      <c r="K822" t="n">
        <v>0.061</v>
      </c>
      <c r="L822" t="n">
        <v>0.9389999999999999</v>
      </c>
      <c r="M822" t="n">
        <v>0</v>
      </c>
    </row>
    <row r="823" spans="1:13">
      <c r="A823" s="1">
        <f>HYPERLINK("http://www.twitter.com/NathanBLawrence/status/989835585492832256", "989835585492832256")</f>
        <v/>
      </c>
      <c r="B823" s="2" t="n">
        <v>43217.49731481481</v>
      </c>
      <c r="C823" t="n">
        <v>0</v>
      </c>
      <c r="D823" t="n">
        <v>3533</v>
      </c>
      <c r="E823" t="s">
        <v>833</v>
      </c>
      <c r="F823" t="s"/>
      <c r="G823" t="s"/>
      <c r="H823" t="s"/>
      <c r="I823" t="s"/>
      <c r="J823" t="n">
        <v>-0.4585</v>
      </c>
      <c r="K823" t="n">
        <v>0.115</v>
      </c>
      <c r="L823" t="n">
        <v>0.885</v>
      </c>
      <c r="M823" t="n">
        <v>0</v>
      </c>
    </row>
    <row r="824" spans="1:13">
      <c r="A824" s="1">
        <f>HYPERLINK("http://www.twitter.com/NathanBLawrence/status/989835448423010305", "989835448423010305")</f>
        <v/>
      </c>
      <c r="B824" s="2" t="n">
        <v>43217.49693287037</v>
      </c>
      <c r="C824" t="n">
        <v>0</v>
      </c>
      <c r="D824" t="n">
        <v>396</v>
      </c>
      <c r="E824" t="s">
        <v>834</v>
      </c>
      <c r="F824">
        <f>HYPERLINK("https://video.twimg.com/ext_tw_video/989728030967791624/pu/vid/720x720/-yz9Nm4fkJp4AZHr.mp4?tag=3", "https://video.twimg.com/ext_tw_video/989728030967791624/pu/vid/720x720/-yz9Nm4fkJp4AZHr.mp4?tag=3")</f>
        <v/>
      </c>
      <c r="G824" t="s"/>
      <c r="H824" t="s"/>
      <c r="I824" t="s"/>
      <c r="J824" t="n">
        <v>0</v>
      </c>
      <c r="K824" t="n">
        <v>0</v>
      </c>
      <c r="L824" t="n">
        <v>1</v>
      </c>
      <c r="M824" t="n">
        <v>0</v>
      </c>
    </row>
    <row r="825" spans="1:13">
      <c r="A825" s="1">
        <f>HYPERLINK("http://www.twitter.com/NathanBLawrence/status/989835390558318593", "989835390558318593")</f>
        <v/>
      </c>
      <c r="B825" s="2" t="n">
        <v>43217.4967824074</v>
      </c>
      <c r="C825" t="n">
        <v>0</v>
      </c>
      <c r="D825" t="n">
        <v>24823</v>
      </c>
      <c r="E825" t="s">
        <v>835</v>
      </c>
      <c r="F825" t="s"/>
      <c r="G825" t="s"/>
      <c r="H825" t="s"/>
      <c r="I825" t="s"/>
      <c r="J825" t="n">
        <v>0.8826000000000001</v>
      </c>
      <c r="K825" t="n">
        <v>0.092</v>
      </c>
      <c r="L825" t="n">
        <v>0.474</v>
      </c>
      <c r="M825" t="n">
        <v>0.434</v>
      </c>
    </row>
    <row r="826" spans="1:13">
      <c r="A826" s="1">
        <f>HYPERLINK("http://www.twitter.com/NathanBLawrence/status/989835182046932992", "989835182046932992")</f>
        <v/>
      </c>
      <c r="B826" s="2" t="n">
        <v>43217.4962037037</v>
      </c>
      <c r="C826" t="n">
        <v>0</v>
      </c>
      <c r="D826" t="n">
        <v>3</v>
      </c>
      <c r="E826" t="s">
        <v>836</v>
      </c>
      <c r="F826" t="s"/>
      <c r="G826" t="s"/>
      <c r="H826" t="s"/>
      <c r="I826" t="s"/>
      <c r="J826" t="n">
        <v>-0.4939</v>
      </c>
      <c r="K826" t="n">
        <v>0.158</v>
      </c>
      <c r="L826" t="n">
        <v>0.842</v>
      </c>
      <c r="M826" t="n">
        <v>0</v>
      </c>
    </row>
    <row r="827" spans="1:13">
      <c r="A827" s="1">
        <f>HYPERLINK("http://www.twitter.com/NathanBLawrence/status/989835129999720448", "989835129999720448")</f>
        <v/>
      </c>
      <c r="B827" s="2" t="n">
        <v>43217.49605324074</v>
      </c>
      <c r="C827" t="n">
        <v>0</v>
      </c>
      <c r="D827" t="n">
        <v>120</v>
      </c>
      <c r="E827" t="s">
        <v>837</v>
      </c>
      <c r="F827">
        <f>HYPERLINK("https://video.twimg.com/ext_tw_video/989753868274749440/pu/vid/720x1280/ICiS0ShSKfeybouQ.mp4?tag=3", "https://video.twimg.com/ext_tw_video/989753868274749440/pu/vid/720x1280/ICiS0ShSKfeybouQ.mp4?tag=3")</f>
        <v/>
      </c>
      <c r="G827" t="s"/>
      <c r="H827" t="s"/>
      <c r="I827" t="s"/>
      <c r="J827" t="n">
        <v>0.4767</v>
      </c>
      <c r="K827" t="n">
        <v>0</v>
      </c>
      <c r="L827" t="n">
        <v>0.846</v>
      </c>
      <c r="M827" t="n">
        <v>0.154</v>
      </c>
    </row>
    <row r="828" spans="1:13">
      <c r="A828" s="1">
        <f>HYPERLINK("http://www.twitter.com/NathanBLawrence/status/989284435437682690", "989284435437682690")</f>
        <v/>
      </c>
      <c r="B828" s="2" t="n">
        <v>43215.97643518518</v>
      </c>
      <c r="C828" t="n">
        <v>0</v>
      </c>
      <c r="D828" t="n">
        <v>294</v>
      </c>
      <c r="E828" t="s">
        <v>838</v>
      </c>
      <c r="F828" t="s"/>
      <c r="G828" t="s"/>
      <c r="H828" t="s"/>
      <c r="I828" t="s"/>
      <c r="J828" t="n">
        <v>-0.4404</v>
      </c>
      <c r="K828" t="n">
        <v>0.121</v>
      </c>
      <c r="L828" t="n">
        <v>0.879</v>
      </c>
      <c r="M828" t="n">
        <v>0</v>
      </c>
    </row>
    <row r="829" spans="1:13">
      <c r="A829" s="1">
        <f>HYPERLINK("http://www.twitter.com/NathanBLawrence/status/989284377539555329", "989284377539555329")</f>
        <v/>
      </c>
      <c r="B829" s="2" t="n">
        <v>43215.97627314815</v>
      </c>
      <c r="C829" t="n">
        <v>0</v>
      </c>
      <c r="D829" t="n">
        <v>1091</v>
      </c>
      <c r="E829" t="s">
        <v>839</v>
      </c>
      <c r="F829" t="s"/>
      <c r="G829" t="s"/>
      <c r="H829" t="s"/>
      <c r="I829" t="s"/>
      <c r="J829" t="n">
        <v>0</v>
      </c>
      <c r="K829" t="n">
        <v>0</v>
      </c>
      <c r="L829" t="n">
        <v>1</v>
      </c>
      <c r="M829" t="n">
        <v>0</v>
      </c>
    </row>
    <row r="830" spans="1:13">
      <c r="A830" s="1">
        <f>HYPERLINK("http://www.twitter.com/NathanBLawrence/status/989284322342514688", "989284322342514688")</f>
        <v/>
      </c>
      <c r="B830" s="2" t="n">
        <v>43215.97612268518</v>
      </c>
      <c r="C830" t="n">
        <v>0</v>
      </c>
      <c r="D830" t="n">
        <v>0</v>
      </c>
      <c r="E830" t="s">
        <v>840</v>
      </c>
      <c r="F830" t="s"/>
      <c r="G830" t="s"/>
      <c r="H830" t="s"/>
      <c r="I830" t="s"/>
      <c r="J830" t="n">
        <v>0</v>
      </c>
      <c r="K830" t="n">
        <v>0</v>
      </c>
      <c r="L830" t="n">
        <v>1</v>
      </c>
      <c r="M830" t="n">
        <v>0</v>
      </c>
    </row>
    <row r="831" spans="1:13">
      <c r="A831" s="1">
        <f>HYPERLINK("http://www.twitter.com/NathanBLawrence/status/989284319788232705", "989284319788232705")</f>
        <v/>
      </c>
      <c r="B831" s="2" t="n">
        <v>43215.97611111111</v>
      </c>
      <c r="C831" t="n">
        <v>0</v>
      </c>
      <c r="D831" t="n">
        <v>0</v>
      </c>
      <c r="E831" t="s">
        <v>841</v>
      </c>
      <c r="F831" t="s"/>
      <c r="G831" t="s"/>
      <c r="H831" t="s"/>
      <c r="I831" t="s"/>
      <c r="J831" t="n">
        <v>-0.4767</v>
      </c>
      <c r="K831" t="n">
        <v>0.383</v>
      </c>
      <c r="L831" t="n">
        <v>0.617</v>
      </c>
      <c r="M831" t="n">
        <v>0</v>
      </c>
    </row>
    <row r="832" spans="1:13">
      <c r="A832" s="1">
        <f>HYPERLINK("http://www.twitter.com/NathanBLawrence/status/989284318198591488", "989284318198591488")</f>
        <v/>
      </c>
      <c r="B832" s="2" t="n">
        <v>43215.97611111111</v>
      </c>
      <c r="C832" t="n">
        <v>2</v>
      </c>
      <c r="D832" t="n">
        <v>0</v>
      </c>
      <c r="E832" t="s">
        <v>842</v>
      </c>
      <c r="F832" t="s"/>
      <c r="G832" t="s"/>
      <c r="H832" t="s"/>
      <c r="I832" t="s"/>
      <c r="J832" t="n">
        <v>0.4019</v>
      </c>
      <c r="K832" t="n">
        <v>0</v>
      </c>
      <c r="L832" t="n">
        <v>0.828</v>
      </c>
      <c r="M832" t="n">
        <v>0.172</v>
      </c>
    </row>
    <row r="833" spans="1:13">
      <c r="A833" s="1">
        <f>HYPERLINK("http://www.twitter.com/NathanBLawrence/status/989284316726382593", "989284316726382593")</f>
        <v/>
      </c>
      <c r="B833" s="2" t="n">
        <v>43215.97609953704</v>
      </c>
      <c r="C833" t="n">
        <v>3</v>
      </c>
      <c r="D833" t="n">
        <v>0</v>
      </c>
      <c r="E833" t="s">
        <v>843</v>
      </c>
      <c r="F833" t="s"/>
      <c r="G833" t="s"/>
      <c r="H833" t="s"/>
      <c r="I833" t="s"/>
      <c r="J833" t="n">
        <v>0.4215</v>
      </c>
      <c r="K833" t="n">
        <v>0</v>
      </c>
      <c r="L833" t="n">
        <v>0.714</v>
      </c>
      <c r="M833" t="n">
        <v>0.286</v>
      </c>
    </row>
    <row r="834" spans="1:13">
      <c r="A834" s="1">
        <f>HYPERLINK("http://www.twitter.com/NathanBLawrence/status/989284310753660929", "989284310753660929")</f>
        <v/>
      </c>
      <c r="B834" s="2" t="n">
        <v>43215.97608796296</v>
      </c>
      <c r="C834" t="n">
        <v>1</v>
      </c>
      <c r="D834" t="n">
        <v>0</v>
      </c>
      <c r="E834" t="s">
        <v>844</v>
      </c>
      <c r="F834" t="s"/>
      <c r="G834" t="s"/>
      <c r="H834" t="s"/>
      <c r="I834" t="s"/>
      <c r="J834" t="n">
        <v>0</v>
      </c>
      <c r="K834" t="n">
        <v>0</v>
      </c>
      <c r="L834" t="n">
        <v>1</v>
      </c>
      <c r="M834" t="n">
        <v>0</v>
      </c>
    </row>
    <row r="835" spans="1:13">
      <c r="A835" s="1">
        <f>HYPERLINK("http://www.twitter.com/NathanBLawrence/status/989284296274993153", "989284296274993153")</f>
        <v/>
      </c>
      <c r="B835" s="2" t="n">
        <v>43215.97604166667</v>
      </c>
      <c r="C835" t="n">
        <v>1</v>
      </c>
      <c r="D835" t="n">
        <v>1</v>
      </c>
      <c r="E835" t="s">
        <v>845</v>
      </c>
      <c r="F835" t="s"/>
      <c r="G835" t="s"/>
      <c r="H835" t="s"/>
      <c r="I835" t="s"/>
      <c r="J835" t="n">
        <v>-0.6807</v>
      </c>
      <c r="K835" t="n">
        <v>0.238</v>
      </c>
      <c r="L835" t="n">
        <v>0.599</v>
      </c>
      <c r="M835" t="n">
        <v>0.163</v>
      </c>
    </row>
    <row r="836" spans="1:13">
      <c r="A836" s="1">
        <f>HYPERLINK("http://www.twitter.com/NathanBLawrence/status/989284294144217088", "989284294144217088")</f>
        <v/>
      </c>
      <c r="B836" s="2" t="n">
        <v>43215.97604166667</v>
      </c>
      <c r="C836" t="n">
        <v>0</v>
      </c>
      <c r="D836" t="n">
        <v>0</v>
      </c>
      <c r="E836" t="s">
        <v>846</v>
      </c>
      <c r="F836" t="s"/>
      <c r="G836" t="s"/>
      <c r="H836" t="s"/>
      <c r="I836" t="s"/>
      <c r="J836" t="n">
        <v>-0.4767</v>
      </c>
      <c r="K836" t="n">
        <v>0.437</v>
      </c>
      <c r="L836" t="n">
        <v>0.5629999999999999</v>
      </c>
      <c r="M836" t="n">
        <v>0</v>
      </c>
    </row>
    <row r="837" spans="1:13">
      <c r="A837" s="1">
        <f>HYPERLINK("http://www.twitter.com/NathanBLawrence/status/989284289362702336", "989284289362702336")</f>
        <v/>
      </c>
      <c r="B837" s="2" t="n">
        <v>43215.97603009259</v>
      </c>
      <c r="C837" t="n">
        <v>4</v>
      </c>
      <c r="D837" t="n">
        <v>0</v>
      </c>
      <c r="E837" t="s">
        <v>847</v>
      </c>
      <c r="F837" t="s"/>
      <c r="G837" t="s"/>
      <c r="H837" t="s"/>
      <c r="I837" t="s"/>
      <c r="J837" t="n">
        <v>0</v>
      </c>
      <c r="K837" t="n">
        <v>0</v>
      </c>
      <c r="L837" t="n">
        <v>1</v>
      </c>
      <c r="M837" t="n">
        <v>0</v>
      </c>
    </row>
    <row r="838" spans="1:13">
      <c r="A838" s="1">
        <f>HYPERLINK("http://www.twitter.com/NathanBLawrence/status/989284280328228864", "989284280328228864")</f>
        <v/>
      </c>
      <c r="B838" s="2" t="n">
        <v>43215.97600694445</v>
      </c>
      <c r="C838" t="n">
        <v>4</v>
      </c>
      <c r="D838" t="n">
        <v>0</v>
      </c>
      <c r="E838" t="s">
        <v>848</v>
      </c>
      <c r="F838" t="s"/>
      <c r="G838" t="s"/>
      <c r="H838" t="s"/>
      <c r="I838" t="s"/>
      <c r="J838" t="n">
        <v>0.25</v>
      </c>
      <c r="K838" t="n">
        <v>0.083</v>
      </c>
      <c r="L838" t="n">
        <v>0.784</v>
      </c>
      <c r="M838" t="n">
        <v>0.132</v>
      </c>
    </row>
    <row r="839" spans="1:13">
      <c r="A839" s="1">
        <f>HYPERLINK("http://www.twitter.com/NathanBLawrence/status/989284278713421824", "989284278713421824")</f>
        <v/>
      </c>
      <c r="B839" s="2" t="n">
        <v>43215.97599537037</v>
      </c>
      <c r="C839" t="n">
        <v>4</v>
      </c>
      <c r="D839" t="n">
        <v>0</v>
      </c>
      <c r="E839" t="s">
        <v>849</v>
      </c>
      <c r="F839" t="s"/>
      <c r="G839" t="s"/>
      <c r="H839" t="s"/>
      <c r="I839" t="s"/>
      <c r="J839" t="n">
        <v>-0.34</v>
      </c>
      <c r="K839" t="n">
        <v>0.112</v>
      </c>
      <c r="L839" t="n">
        <v>0.888</v>
      </c>
      <c r="M839" t="n">
        <v>0</v>
      </c>
    </row>
    <row r="840" spans="1:13">
      <c r="A840" s="1">
        <f>HYPERLINK("http://www.twitter.com/NathanBLawrence/status/989284277014720513", "989284277014720513")</f>
        <v/>
      </c>
      <c r="B840" s="2" t="n">
        <v>43215.97599537037</v>
      </c>
      <c r="C840" t="n">
        <v>1</v>
      </c>
      <c r="D840" t="n">
        <v>0</v>
      </c>
      <c r="E840" t="s">
        <v>850</v>
      </c>
      <c r="F840" t="s"/>
      <c r="G840" t="s"/>
      <c r="H840" t="s"/>
      <c r="I840" t="s"/>
      <c r="J840" t="n">
        <v>0</v>
      </c>
      <c r="K840" t="n">
        <v>0</v>
      </c>
      <c r="L840" t="n">
        <v>1</v>
      </c>
      <c r="M840" t="n">
        <v>0</v>
      </c>
    </row>
    <row r="841" spans="1:13">
      <c r="A841" s="1">
        <f>HYPERLINK("http://www.twitter.com/NathanBLawrence/status/989284271335538693", "989284271335538693")</f>
        <v/>
      </c>
      <c r="B841" s="2" t="n">
        <v>43215.97597222222</v>
      </c>
      <c r="C841" t="n">
        <v>4</v>
      </c>
      <c r="D841" t="n">
        <v>0</v>
      </c>
      <c r="E841" t="s">
        <v>851</v>
      </c>
      <c r="F841" t="s"/>
      <c r="G841" t="s"/>
      <c r="H841" t="s"/>
      <c r="I841" t="s"/>
      <c r="J841" t="n">
        <v>0</v>
      </c>
      <c r="K841" t="n">
        <v>0</v>
      </c>
      <c r="L841" t="n">
        <v>1</v>
      </c>
      <c r="M841" t="n">
        <v>0</v>
      </c>
    </row>
    <row r="842" spans="1:13">
      <c r="A842" s="1">
        <f>HYPERLINK("http://www.twitter.com/NathanBLawrence/status/989284249713958912", "989284249713958912")</f>
        <v/>
      </c>
      <c r="B842" s="2" t="n">
        <v>43215.97591435185</v>
      </c>
      <c r="C842" t="n">
        <v>4</v>
      </c>
      <c r="D842" t="n">
        <v>0</v>
      </c>
      <c r="E842" t="s">
        <v>852</v>
      </c>
      <c r="F842" t="s"/>
      <c r="G842" t="s"/>
      <c r="H842" t="s"/>
      <c r="I842" t="s"/>
      <c r="J842" t="n">
        <v>-0.296</v>
      </c>
      <c r="K842" t="n">
        <v>0.128</v>
      </c>
      <c r="L842" t="n">
        <v>0.872</v>
      </c>
      <c r="M842" t="n">
        <v>0</v>
      </c>
    </row>
    <row r="843" spans="1:13">
      <c r="A843" s="1">
        <f>HYPERLINK("http://www.twitter.com/NathanBLawrence/status/989284220450328576", "989284220450328576")</f>
        <v/>
      </c>
      <c r="B843" s="2" t="n">
        <v>43215.97583333333</v>
      </c>
      <c r="C843" t="n">
        <v>2</v>
      </c>
      <c r="D843" t="n">
        <v>0</v>
      </c>
      <c r="E843" t="s">
        <v>853</v>
      </c>
      <c r="F843" t="s"/>
      <c r="G843" t="s"/>
      <c r="H843" t="s"/>
      <c r="I843" t="s"/>
      <c r="J843" t="n">
        <v>0</v>
      </c>
      <c r="K843" t="n">
        <v>0</v>
      </c>
      <c r="L843" t="n">
        <v>1</v>
      </c>
      <c r="M843" t="n">
        <v>0</v>
      </c>
    </row>
    <row r="844" spans="1:13">
      <c r="A844" s="1">
        <f>HYPERLINK("http://www.twitter.com/NathanBLawrence/status/989284219431026688", "989284219431026688")</f>
        <v/>
      </c>
      <c r="B844" s="2" t="n">
        <v>43215.97583333333</v>
      </c>
      <c r="C844" t="n">
        <v>2</v>
      </c>
      <c r="D844" t="n">
        <v>0</v>
      </c>
      <c r="E844" t="s">
        <v>854</v>
      </c>
      <c r="F844" t="s"/>
      <c r="G844" t="s"/>
      <c r="H844" t="s"/>
      <c r="I844" t="s"/>
      <c r="J844" t="n">
        <v>-0.4767</v>
      </c>
      <c r="K844" t="n">
        <v>0.307</v>
      </c>
      <c r="L844" t="n">
        <v>0.6929999999999999</v>
      </c>
      <c r="M844" t="n">
        <v>0</v>
      </c>
    </row>
    <row r="845" spans="1:13">
      <c r="A845" s="1">
        <f>HYPERLINK("http://www.twitter.com/NathanBLawrence/status/989284216440610818", "989284216440610818")</f>
        <v/>
      </c>
      <c r="B845" s="2" t="n">
        <v>43215.97582175926</v>
      </c>
      <c r="C845" t="n">
        <v>3</v>
      </c>
      <c r="D845" t="n">
        <v>0</v>
      </c>
      <c r="E845" t="s">
        <v>855</v>
      </c>
      <c r="F845" t="s"/>
      <c r="G845" t="s"/>
      <c r="H845" t="s"/>
      <c r="I845" t="s"/>
      <c r="J845" t="n">
        <v>0</v>
      </c>
      <c r="K845" t="n">
        <v>0</v>
      </c>
      <c r="L845" t="n">
        <v>1</v>
      </c>
      <c r="M845" t="n">
        <v>0</v>
      </c>
    </row>
    <row r="846" spans="1:13">
      <c r="A846" s="1">
        <f>HYPERLINK("http://www.twitter.com/NathanBLawrence/status/989284214435610624", "989284214435610624")</f>
        <v/>
      </c>
      <c r="B846" s="2" t="n">
        <v>43215.97582175926</v>
      </c>
      <c r="C846" t="n">
        <v>1</v>
      </c>
      <c r="D846" t="n">
        <v>0</v>
      </c>
      <c r="E846" t="s">
        <v>856</v>
      </c>
      <c r="F846" t="s"/>
      <c r="G846" t="s"/>
      <c r="H846" t="s"/>
      <c r="I846" t="s"/>
      <c r="J846" t="n">
        <v>-0.7845</v>
      </c>
      <c r="K846" t="n">
        <v>0.53</v>
      </c>
      <c r="L846" t="n">
        <v>0.47</v>
      </c>
      <c r="M846" t="n">
        <v>0</v>
      </c>
    </row>
    <row r="847" spans="1:13">
      <c r="A847" s="1">
        <f>HYPERLINK("http://www.twitter.com/NathanBLawrence/status/989284213131304960", "989284213131304960")</f>
        <v/>
      </c>
      <c r="B847" s="2" t="n">
        <v>43215.97582175926</v>
      </c>
      <c r="C847" t="n">
        <v>4</v>
      </c>
      <c r="D847" t="n">
        <v>0</v>
      </c>
      <c r="E847" t="s">
        <v>857</v>
      </c>
      <c r="F847" t="s"/>
      <c r="G847" t="s"/>
      <c r="H847" t="s"/>
      <c r="I847" t="s"/>
      <c r="J847" t="n">
        <v>-0.8699</v>
      </c>
      <c r="K847" t="n">
        <v>0.381</v>
      </c>
      <c r="L847" t="n">
        <v>0.619</v>
      </c>
      <c r="M847" t="n">
        <v>0</v>
      </c>
    </row>
    <row r="848" spans="1:13">
      <c r="A848" s="1">
        <f>HYPERLINK("http://www.twitter.com/NathanBLawrence/status/989284210790797313", "989284210790797313")</f>
        <v/>
      </c>
      <c r="B848" s="2" t="n">
        <v>43215.97581018518</v>
      </c>
      <c r="C848" t="n">
        <v>2</v>
      </c>
      <c r="D848" t="n">
        <v>0</v>
      </c>
      <c r="E848" t="s">
        <v>858</v>
      </c>
      <c r="F848" t="s"/>
      <c r="G848" t="s"/>
      <c r="H848" t="s"/>
      <c r="I848" t="s"/>
      <c r="J848" t="n">
        <v>0.0107</v>
      </c>
      <c r="K848" t="n">
        <v>0.23</v>
      </c>
      <c r="L848" t="n">
        <v>0.587</v>
      </c>
      <c r="M848" t="n">
        <v>0.183</v>
      </c>
    </row>
    <row r="849" spans="1:13">
      <c r="A849" s="1">
        <f>HYPERLINK("http://www.twitter.com/NathanBLawrence/status/989147860473122817", "989147860473122817")</f>
        <v/>
      </c>
      <c r="B849" s="2" t="n">
        <v>43215.59956018518</v>
      </c>
      <c r="C849" t="n">
        <v>0</v>
      </c>
      <c r="D849" t="n">
        <v>4</v>
      </c>
      <c r="E849" t="s">
        <v>859</v>
      </c>
      <c r="F849" t="s"/>
      <c r="G849" t="s"/>
      <c r="H849" t="s"/>
      <c r="I849" t="s"/>
      <c r="J849" t="n">
        <v>-0.5574</v>
      </c>
      <c r="K849" t="n">
        <v>0.159</v>
      </c>
      <c r="L849" t="n">
        <v>0.841</v>
      </c>
      <c r="M849" t="n">
        <v>0</v>
      </c>
    </row>
    <row r="850" spans="1:13">
      <c r="A850" s="1">
        <f>HYPERLINK("http://www.twitter.com/NathanBLawrence/status/989147536580542465", "989147536580542465")</f>
        <v/>
      </c>
      <c r="B850" s="2" t="n">
        <v>43215.5986574074</v>
      </c>
      <c r="C850" t="n">
        <v>0</v>
      </c>
      <c r="D850" t="n">
        <v>14</v>
      </c>
      <c r="E850" t="s">
        <v>860</v>
      </c>
      <c r="F850" t="s"/>
      <c r="G850" t="s"/>
      <c r="H850" t="s"/>
      <c r="I850" t="s"/>
      <c r="J850" t="n">
        <v>0</v>
      </c>
      <c r="K850" t="n">
        <v>0</v>
      </c>
      <c r="L850" t="n">
        <v>1</v>
      </c>
      <c r="M850" t="n">
        <v>0</v>
      </c>
    </row>
    <row r="851" spans="1:13">
      <c r="A851" s="1">
        <f>HYPERLINK("http://www.twitter.com/NathanBLawrence/status/989146939584376834", "989146939584376834")</f>
        <v/>
      </c>
      <c r="B851" s="2" t="n">
        <v>43215.59701388889</v>
      </c>
      <c r="C851" t="n">
        <v>0</v>
      </c>
      <c r="D851" t="n">
        <v>34</v>
      </c>
      <c r="E851" t="s">
        <v>861</v>
      </c>
      <c r="F851" t="s"/>
      <c r="G851" t="s"/>
      <c r="H851" t="s"/>
      <c r="I851" t="s"/>
      <c r="J851" t="n">
        <v>0.3182</v>
      </c>
      <c r="K851" t="n">
        <v>0.114</v>
      </c>
      <c r="L851" t="n">
        <v>0.675</v>
      </c>
      <c r="M851" t="n">
        <v>0.211</v>
      </c>
    </row>
    <row r="852" spans="1:13">
      <c r="A852" s="1">
        <f>HYPERLINK("http://www.twitter.com/NathanBLawrence/status/989146899474100224", "989146899474100224")</f>
        <v/>
      </c>
      <c r="B852" s="2" t="n">
        <v>43215.59689814815</v>
      </c>
      <c r="C852" t="n">
        <v>0</v>
      </c>
      <c r="D852" t="n">
        <v>219</v>
      </c>
      <c r="E852" t="s">
        <v>862</v>
      </c>
      <c r="F852" t="s"/>
      <c r="G852" t="s"/>
      <c r="H852" t="s"/>
      <c r="I852" t="s"/>
      <c r="J852" t="n">
        <v>0.4738</v>
      </c>
      <c r="K852" t="n">
        <v>0</v>
      </c>
      <c r="L852" t="n">
        <v>0.781</v>
      </c>
      <c r="M852" t="n">
        <v>0.219</v>
      </c>
    </row>
    <row r="853" spans="1:13">
      <c r="A853" s="1">
        <f>HYPERLINK("http://www.twitter.com/NathanBLawrence/status/989144446615851008", "989144446615851008")</f>
        <v/>
      </c>
      <c r="B853" s="2" t="n">
        <v>43215.59013888889</v>
      </c>
      <c r="C853" t="n">
        <v>0</v>
      </c>
      <c r="D853" t="n">
        <v>1</v>
      </c>
      <c r="E853" t="s">
        <v>863</v>
      </c>
      <c r="F853" t="s"/>
      <c r="G853" t="s"/>
      <c r="H853" t="s"/>
      <c r="I853" t="s"/>
      <c r="J853" t="n">
        <v>0</v>
      </c>
      <c r="K853" t="n">
        <v>0</v>
      </c>
      <c r="L853" t="n">
        <v>1</v>
      </c>
      <c r="M853" t="n">
        <v>0</v>
      </c>
    </row>
    <row r="854" spans="1:13">
      <c r="A854" s="1">
        <f>HYPERLINK("http://www.twitter.com/NathanBLawrence/status/989140842060439552", "989140842060439552")</f>
        <v/>
      </c>
      <c r="B854" s="2" t="n">
        <v>43215.58018518519</v>
      </c>
      <c r="C854" t="n">
        <v>0</v>
      </c>
      <c r="D854" t="n">
        <v>1</v>
      </c>
      <c r="E854" t="s">
        <v>864</v>
      </c>
      <c r="F854" t="s"/>
      <c r="G854" t="s"/>
      <c r="H854" t="s"/>
      <c r="I854" t="s"/>
      <c r="J854" t="n">
        <v>0</v>
      </c>
      <c r="K854" t="n">
        <v>0</v>
      </c>
      <c r="L854" t="n">
        <v>1</v>
      </c>
      <c r="M854" t="n">
        <v>0</v>
      </c>
    </row>
    <row r="855" spans="1:13">
      <c r="A855" s="1">
        <f>HYPERLINK("http://www.twitter.com/NathanBLawrence/status/989140676410527744", "989140676410527744")</f>
        <v/>
      </c>
      <c r="B855" s="2" t="n">
        <v>43215.57973379629</v>
      </c>
      <c r="C855" t="n">
        <v>0</v>
      </c>
      <c r="D855" t="n">
        <v>1</v>
      </c>
      <c r="E855" t="s">
        <v>865</v>
      </c>
      <c r="F855" t="s"/>
      <c r="G855" t="s"/>
      <c r="H855" t="s"/>
      <c r="I855" t="s"/>
      <c r="J855" t="n">
        <v>0.2869</v>
      </c>
      <c r="K855" t="n">
        <v>0.058</v>
      </c>
      <c r="L855" t="n">
        <v>0.835</v>
      </c>
      <c r="M855" t="n">
        <v>0.107</v>
      </c>
    </row>
    <row r="856" spans="1:13">
      <c r="A856" s="1">
        <f>HYPERLINK("http://www.twitter.com/NathanBLawrence/status/989139928675180546", "989139928675180546")</f>
        <v/>
      </c>
      <c r="B856" s="2" t="n">
        <v>43215.57766203704</v>
      </c>
      <c r="C856" t="n">
        <v>0</v>
      </c>
      <c r="D856" t="n">
        <v>23</v>
      </c>
      <c r="E856" t="s">
        <v>866</v>
      </c>
      <c r="F856">
        <f>HYPERLINK("http://pbs.twimg.com/media/DbmADfUU8AApTSj.jpg", "http://pbs.twimg.com/media/DbmADfUU8AApTSj.jpg")</f>
        <v/>
      </c>
      <c r="G856" t="s"/>
      <c r="H856" t="s"/>
      <c r="I856" t="s"/>
      <c r="J856" t="n">
        <v>-0.6072</v>
      </c>
      <c r="K856" t="n">
        <v>0.159</v>
      </c>
      <c r="L856" t="n">
        <v>0.841</v>
      </c>
      <c r="M856" t="n">
        <v>0</v>
      </c>
    </row>
    <row r="857" spans="1:13">
      <c r="A857" s="1">
        <f>HYPERLINK("http://www.twitter.com/NathanBLawrence/status/989139799893336065", "989139799893336065")</f>
        <v/>
      </c>
      <c r="B857" s="2" t="n">
        <v>43215.57731481481</v>
      </c>
      <c r="C857" t="n">
        <v>0</v>
      </c>
      <c r="D857" t="n">
        <v>6</v>
      </c>
      <c r="E857" t="s">
        <v>867</v>
      </c>
      <c r="F857" t="s"/>
      <c r="G857" t="s"/>
      <c r="H857" t="s"/>
      <c r="I857" t="s"/>
      <c r="J857" t="n">
        <v>0.7096</v>
      </c>
      <c r="K857" t="n">
        <v>0</v>
      </c>
      <c r="L857" t="n">
        <v>0.653</v>
      </c>
      <c r="M857" t="n">
        <v>0.347</v>
      </c>
    </row>
    <row r="858" spans="1:13">
      <c r="A858" s="1">
        <f>HYPERLINK("http://www.twitter.com/NathanBLawrence/status/989139708570755073", "989139708570755073")</f>
        <v/>
      </c>
      <c r="B858" s="2" t="n">
        <v>43215.57706018518</v>
      </c>
      <c r="C858" t="n">
        <v>0</v>
      </c>
      <c r="D858" t="n">
        <v>32</v>
      </c>
      <c r="E858" t="s">
        <v>868</v>
      </c>
      <c r="F858" t="s"/>
      <c r="G858" t="s"/>
      <c r="H858" t="s"/>
      <c r="I858" t="s"/>
      <c r="J858" t="n">
        <v>0.3291</v>
      </c>
      <c r="K858" t="n">
        <v>0</v>
      </c>
      <c r="L858" t="n">
        <v>0.907</v>
      </c>
      <c r="M858" t="n">
        <v>0.093</v>
      </c>
    </row>
    <row r="859" spans="1:13">
      <c r="A859" s="1">
        <f>HYPERLINK("http://www.twitter.com/NathanBLawrence/status/989139668531900416", "989139668531900416")</f>
        <v/>
      </c>
      <c r="B859" s="2" t="n">
        <v>43215.57694444444</v>
      </c>
      <c r="C859" t="n">
        <v>0</v>
      </c>
      <c r="D859" t="n">
        <v>96</v>
      </c>
      <c r="E859" t="s">
        <v>869</v>
      </c>
      <c r="F859" t="s"/>
      <c r="G859" t="s"/>
      <c r="H859" t="s"/>
      <c r="I859" t="s"/>
      <c r="J859" t="n">
        <v>0</v>
      </c>
      <c r="K859" t="n">
        <v>0</v>
      </c>
      <c r="L859" t="n">
        <v>1</v>
      </c>
      <c r="M859" t="n">
        <v>0</v>
      </c>
    </row>
    <row r="860" spans="1:13">
      <c r="A860" s="1">
        <f>HYPERLINK("http://www.twitter.com/NathanBLawrence/status/989138846213443585", "989138846213443585")</f>
        <v/>
      </c>
      <c r="B860" s="2" t="n">
        <v>43215.57467592593</v>
      </c>
      <c r="C860" t="n">
        <v>0</v>
      </c>
      <c r="D860" t="n">
        <v>11</v>
      </c>
      <c r="E860" t="s">
        <v>870</v>
      </c>
      <c r="F860" t="s"/>
      <c r="G860" t="s"/>
      <c r="H860" t="s"/>
      <c r="I860" t="s"/>
      <c r="J860" t="n">
        <v>0</v>
      </c>
      <c r="K860" t="n">
        <v>0</v>
      </c>
      <c r="L860" t="n">
        <v>1</v>
      </c>
      <c r="M860" t="n">
        <v>0</v>
      </c>
    </row>
    <row r="861" spans="1:13">
      <c r="A861" s="1">
        <f>HYPERLINK("http://www.twitter.com/NathanBLawrence/status/989138745164169217", "989138745164169217")</f>
        <v/>
      </c>
      <c r="B861" s="2" t="n">
        <v>43215.57439814815</v>
      </c>
      <c r="C861" t="n">
        <v>0</v>
      </c>
      <c r="D861" t="n">
        <v>43</v>
      </c>
      <c r="E861" t="s">
        <v>871</v>
      </c>
      <c r="F861" t="s"/>
      <c r="G861" t="s"/>
      <c r="H861" t="s"/>
      <c r="I861" t="s"/>
      <c r="J861" t="n">
        <v>0</v>
      </c>
      <c r="K861" t="n">
        <v>0</v>
      </c>
      <c r="L861" t="n">
        <v>1</v>
      </c>
      <c r="M861" t="n">
        <v>0</v>
      </c>
    </row>
    <row r="862" spans="1:13">
      <c r="A862" s="1">
        <f>HYPERLINK("http://www.twitter.com/NathanBLawrence/status/989138628575203329", "989138628575203329")</f>
        <v/>
      </c>
      <c r="B862" s="2" t="n">
        <v>43215.57408564815</v>
      </c>
      <c r="C862" t="n">
        <v>0</v>
      </c>
      <c r="D862" t="n">
        <v>77</v>
      </c>
      <c r="E862" t="s">
        <v>872</v>
      </c>
      <c r="F862" t="s"/>
      <c r="G862" t="s"/>
      <c r="H862" t="s"/>
      <c r="I862" t="s"/>
      <c r="J862" t="n">
        <v>-0.4404</v>
      </c>
      <c r="K862" t="n">
        <v>0.162</v>
      </c>
      <c r="L862" t="n">
        <v>0.838</v>
      </c>
      <c r="M862" t="n">
        <v>0</v>
      </c>
    </row>
    <row r="863" spans="1:13">
      <c r="A863" s="1">
        <f>HYPERLINK("http://www.twitter.com/NathanBLawrence/status/989138463286054917", "989138463286054917")</f>
        <v/>
      </c>
      <c r="B863" s="2" t="n">
        <v>43215.57362268519</v>
      </c>
      <c r="C863" t="n">
        <v>0</v>
      </c>
      <c r="D863" t="n">
        <v>24</v>
      </c>
      <c r="E863" t="s">
        <v>873</v>
      </c>
      <c r="F863">
        <f>HYPERLINK("http://pbs.twimg.com/media/Dbl28UuXUAIYS9i.jpg", "http://pbs.twimg.com/media/Dbl28UuXUAIYS9i.jpg")</f>
        <v/>
      </c>
      <c r="G863" t="s"/>
      <c r="H863" t="s"/>
      <c r="I863" t="s"/>
      <c r="J863" t="n">
        <v>-0.296</v>
      </c>
      <c r="K863" t="n">
        <v>0.167</v>
      </c>
      <c r="L863" t="n">
        <v>0.833</v>
      </c>
      <c r="M863" t="n">
        <v>0</v>
      </c>
    </row>
    <row r="864" spans="1:13">
      <c r="A864" s="1">
        <f>HYPERLINK("http://www.twitter.com/NathanBLawrence/status/989138410672738304", "989138410672738304")</f>
        <v/>
      </c>
      <c r="B864" s="2" t="n">
        <v>43215.5734837963</v>
      </c>
      <c r="C864" t="n">
        <v>0</v>
      </c>
      <c r="D864" t="n">
        <v>1064</v>
      </c>
      <c r="E864" t="s">
        <v>874</v>
      </c>
      <c r="F864" t="s"/>
      <c r="G864" t="s"/>
      <c r="H864" t="s"/>
      <c r="I864" t="s"/>
      <c r="J864" t="n">
        <v>0.296</v>
      </c>
      <c r="K864" t="n">
        <v>0</v>
      </c>
      <c r="L864" t="n">
        <v>0.896</v>
      </c>
      <c r="M864" t="n">
        <v>0.104</v>
      </c>
    </row>
    <row r="865" spans="1:13">
      <c r="A865" s="1">
        <f>HYPERLINK("http://www.twitter.com/NathanBLawrence/status/989138175380598786", "989138175380598786")</f>
        <v/>
      </c>
      <c r="B865" s="2" t="n">
        <v>43215.57282407407</v>
      </c>
      <c r="C865" t="n">
        <v>0</v>
      </c>
      <c r="D865" t="n">
        <v>50</v>
      </c>
      <c r="E865" t="s">
        <v>875</v>
      </c>
      <c r="F865" t="s"/>
      <c r="G865" t="s"/>
      <c r="H865" t="s"/>
      <c r="I865" t="s"/>
      <c r="J865" t="n">
        <v>0.6588000000000001</v>
      </c>
      <c r="K865" t="n">
        <v>0</v>
      </c>
      <c r="L865" t="n">
        <v>0.759</v>
      </c>
      <c r="M865" t="n">
        <v>0.241</v>
      </c>
    </row>
    <row r="866" spans="1:13">
      <c r="A866" s="1">
        <f>HYPERLINK("http://www.twitter.com/NathanBLawrence/status/989137983189241856", "989137983189241856")</f>
        <v/>
      </c>
      <c r="B866" s="2" t="n">
        <v>43215.57230324074</v>
      </c>
      <c r="C866" t="n">
        <v>0</v>
      </c>
      <c r="D866" t="n">
        <v>3</v>
      </c>
      <c r="E866" t="s">
        <v>876</v>
      </c>
      <c r="F866" t="s"/>
      <c r="G866" t="s"/>
      <c r="H866" t="s"/>
      <c r="I866" t="s"/>
      <c r="J866" t="n">
        <v>0</v>
      </c>
      <c r="K866" t="n">
        <v>0</v>
      </c>
      <c r="L866" t="n">
        <v>1</v>
      </c>
      <c r="M866" t="n">
        <v>0</v>
      </c>
    </row>
    <row r="867" spans="1:13">
      <c r="A867" s="1">
        <f>HYPERLINK("http://www.twitter.com/NathanBLawrence/status/989136867546271744", "989136867546271744")</f>
        <v/>
      </c>
      <c r="B867" s="2" t="n">
        <v>43215.56922453704</v>
      </c>
      <c r="C867" t="n">
        <v>0</v>
      </c>
      <c r="D867" t="n">
        <v>2</v>
      </c>
      <c r="E867" t="s">
        <v>877</v>
      </c>
      <c r="F867" t="s"/>
      <c r="G867" t="s"/>
      <c r="H867" t="s"/>
      <c r="I867" t="s"/>
      <c r="J867" t="n">
        <v>0.3612</v>
      </c>
      <c r="K867" t="n">
        <v>0</v>
      </c>
      <c r="L867" t="n">
        <v>0.839</v>
      </c>
      <c r="M867" t="n">
        <v>0.161</v>
      </c>
    </row>
    <row r="868" spans="1:13">
      <c r="A868" s="1">
        <f>HYPERLINK("http://www.twitter.com/NathanBLawrence/status/989136824357588998", "989136824357588998")</f>
        <v/>
      </c>
      <c r="B868" s="2" t="n">
        <v>43215.56909722222</v>
      </c>
      <c r="C868" t="n">
        <v>0</v>
      </c>
      <c r="D868" t="n">
        <v>3</v>
      </c>
      <c r="E868" t="s">
        <v>878</v>
      </c>
      <c r="F868" t="s"/>
      <c r="G868" t="s"/>
      <c r="H868" t="s"/>
      <c r="I868" t="s"/>
      <c r="J868" t="n">
        <v>-0.8016</v>
      </c>
      <c r="K868" t="n">
        <v>0.339</v>
      </c>
      <c r="L868" t="n">
        <v>0.661</v>
      </c>
      <c r="M868" t="n">
        <v>0</v>
      </c>
    </row>
    <row r="869" spans="1:13">
      <c r="A869" s="1">
        <f>HYPERLINK("http://www.twitter.com/NathanBLawrence/status/989136465375490050", "989136465375490050")</f>
        <v/>
      </c>
      <c r="B869" s="2" t="n">
        <v>43215.56811342593</v>
      </c>
      <c r="C869" t="n">
        <v>0</v>
      </c>
      <c r="D869" t="n">
        <v>53</v>
      </c>
      <c r="E869" t="s">
        <v>879</v>
      </c>
      <c r="F869" t="s"/>
      <c r="G869" t="s"/>
      <c r="H869" t="s"/>
      <c r="I869" t="s"/>
      <c r="J869" t="n">
        <v>0.1901</v>
      </c>
      <c r="K869" t="n">
        <v>0</v>
      </c>
      <c r="L869" t="n">
        <v>0.911</v>
      </c>
      <c r="M869" t="n">
        <v>0.089</v>
      </c>
    </row>
    <row r="870" spans="1:13">
      <c r="A870" s="1">
        <f>HYPERLINK("http://www.twitter.com/NathanBLawrence/status/989133931604774912", "989133931604774912")</f>
        <v/>
      </c>
      <c r="B870" s="2" t="n">
        <v>43215.56112268518</v>
      </c>
      <c r="C870" t="n">
        <v>3</v>
      </c>
      <c r="D870" t="n">
        <v>0</v>
      </c>
      <c r="E870" t="s">
        <v>880</v>
      </c>
      <c r="F870" t="s"/>
      <c r="G870" t="s"/>
      <c r="H870" t="s"/>
      <c r="I870" t="s"/>
      <c r="J870" t="n">
        <v>-0.2732</v>
      </c>
      <c r="K870" t="n">
        <v>0.262</v>
      </c>
      <c r="L870" t="n">
        <v>0.588</v>
      </c>
      <c r="M870" t="n">
        <v>0.15</v>
      </c>
    </row>
    <row r="871" spans="1:13">
      <c r="A871" s="1">
        <f>HYPERLINK("http://www.twitter.com/NathanBLawrence/status/989133127728750592", "989133127728750592")</f>
        <v/>
      </c>
      <c r="B871" s="2" t="n">
        <v>43215.55890046297</v>
      </c>
      <c r="C871" t="n">
        <v>2</v>
      </c>
      <c r="D871" t="n">
        <v>0</v>
      </c>
      <c r="E871" t="s">
        <v>881</v>
      </c>
      <c r="F871" t="s"/>
      <c r="G871" t="s"/>
      <c r="H871" t="s"/>
      <c r="I871" t="s"/>
      <c r="J871" t="n">
        <v>-0.5255</v>
      </c>
      <c r="K871" t="n">
        <v>0.207</v>
      </c>
      <c r="L871" t="n">
        <v>0.793</v>
      </c>
      <c r="M871" t="n">
        <v>0</v>
      </c>
    </row>
    <row r="872" spans="1:13">
      <c r="A872" s="1">
        <f>HYPERLINK("http://www.twitter.com/NathanBLawrence/status/989132577247244288", "989132577247244288")</f>
        <v/>
      </c>
      <c r="B872" s="2" t="n">
        <v>43215.55738425926</v>
      </c>
      <c r="C872" t="n">
        <v>0</v>
      </c>
      <c r="D872" t="n">
        <v>2</v>
      </c>
      <c r="E872" t="s">
        <v>882</v>
      </c>
      <c r="F872" t="s"/>
      <c r="G872" t="s"/>
      <c r="H872" t="s"/>
      <c r="I872" t="s"/>
      <c r="J872" t="n">
        <v>0</v>
      </c>
      <c r="K872" t="n">
        <v>0</v>
      </c>
      <c r="L872" t="n">
        <v>1</v>
      </c>
      <c r="M872" t="n">
        <v>0</v>
      </c>
    </row>
    <row r="873" spans="1:13">
      <c r="A873" s="1">
        <f>HYPERLINK("http://www.twitter.com/NathanBLawrence/status/989132357646110720", "989132357646110720")</f>
        <v/>
      </c>
      <c r="B873" s="2" t="n">
        <v>43215.55677083333</v>
      </c>
      <c r="C873" t="n">
        <v>0</v>
      </c>
      <c r="D873" t="n">
        <v>1</v>
      </c>
      <c r="E873" t="s">
        <v>883</v>
      </c>
      <c r="F873" t="s"/>
      <c r="G873" t="s"/>
      <c r="H873" t="s"/>
      <c r="I873" t="s"/>
      <c r="J873" t="n">
        <v>0</v>
      </c>
      <c r="K873" t="n">
        <v>0</v>
      </c>
      <c r="L873" t="n">
        <v>1</v>
      </c>
      <c r="M873" t="n">
        <v>0</v>
      </c>
    </row>
    <row r="874" spans="1:13">
      <c r="A874" s="1">
        <f>HYPERLINK("http://www.twitter.com/NathanBLawrence/status/989131877154983936", "989131877154983936")</f>
        <v/>
      </c>
      <c r="B874" s="2" t="n">
        <v>43215.55545138889</v>
      </c>
      <c r="C874" t="n">
        <v>6</v>
      </c>
      <c r="D874" t="n">
        <v>0</v>
      </c>
      <c r="E874" t="s">
        <v>884</v>
      </c>
      <c r="F874" t="s"/>
      <c r="G874" t="s"/>
      <c r="H874" t="s"/>
      <c r="I874" t="s"/>
      <c r="J874" t="n">
        <v>-0.5994</v>
      </c>
      <c r="K874" t="n">
        <v>0.225</v>
      </c>
      <c r="L874" t="n">
        <v>0.6909999999999999</v>
      </c>
      <c r="M874" t="n">
        <v>0.08400000000000001</v>
      </c>
    </row>
    <row r="875" spans="1:13">
      <c r="A875" s="1">
        <f>HYPERLINK("http://www.twitter.com/NathanBLawrence/status/989130960653438977", "989130960653438977")</f>
        <v/>
      </c>
      <c r="B875" s="2" t="n">
        <v>43215.55291666667</v>
      </c>
      <c r="C875" t="n">
        <v>1</v>
      </c>
      <c r="D875" t="n">
        <v>0</v>
      </c>
      <c r="E875" t="s">
        <v>885</v>
      </c>
      <c r="F875" t="s"/>
      <c r="G875" t="s"/>
      <c r="H875" t="s"/>
      <c r="I875" t="s"/>
      <c r="J875" t="n">
        <v>0</v>
      </c>
      <c r="K875" t="n">
        <v>0</v>
      </c>
      <c r="L875" t="n">
        <v>1</v>
      </c>
      <c r="M875" t="n">
        <v>0</v>
      </c>
    </row>
    <row r="876" spans="1:13">
      <c r="A876" s="1">
        <f>HYPERLINK("http://www.twitter.com/NathanBLawrence/status/989130453369151488", "989130453369151488")</f>
        <v/>
      </c>
      <c r="B876" s="2" t="n">
        <v>43215.5515162037</v>
      </c>
      <c r="C876" t="n">
        <v>0</v>
      </c>
      <c r="D876" t="n">
        <v>192</v>
      </c>
      <c r="E876" t="s">
        <v>886</v>
      </c>
      <c r="F876">
        <f>HYPERLINK("http://pbs.twimg.com/media/Dbl6EoLU0AATWQ_.jpg", "http://pbs.twimg.com/media/Dbl6EoLU0AATWQ_.jpg")</f>
        <v/>
      </c>
      <c r="G876" t="s"/>
      <c r="H876" t="s"/>
      <c r="I876" t="s"/>
      <c r="J876" t="n">
        <v>-0.8401999999999999</v>
      </c>
      <c r="K876" t="n">
        <v>0.31</v>
      </c>
      <c r="L876" t="n">
        <v>0.6899999999999999</v>
      </c>
      <c r="M876" t="n">
        <v>0</v>
      </c>
    </row>
    <row r="877" spans="1:13">
      <c r="A877" s="1">
        <f>HYPERLINK("http://www.twitter.com/NathanBLawrence/status/989130374155587586", "989130374155587586")</f>
        <v/>
      </c>
      <c r="B877" s="2" t="n">
        <v>43215.55130787037</v>
      </c>
      <c r="C877" t="n">
        <v>0</v>
      </c>
      <c r="D877" t="n">
        <v>0</v>
      </c>
      <c r="E877" t="s">
        <v>887</v>
      </c>
      <c r="F877" t="s"/>
      <c r="G877" t="s"/>
      <c r="H877" t="s"/>
      <c r="I877" t="s"/>
      <c r="J877" t="n">
        <v>-0.596</v>
      </c>
      <c r="K877" t="n">
        <v>0.301</v>
      </c>
      <c r="L877" t="n">
        <v>0.699</v>
      </c>
      <c r="M877" t="n">
        <v>0</v>
      </c>
    </row>
    <row r="878" spans="1:13">
      <c r="A878" s="1">
        <f>HYPERLINK("http://www.twitter.com/NathanBLawrence/status/989130145444311041", "989130145444311041")</f>
        <v/>
      </c>
      <c r="B878" s="2" t="n">
        <v>43215.5506712963</v>
      </c>
      <c r="C878" t="n">
        <v>0</v>
      </c>
      <c r="D878" t="n">
        <v>0</v>
      </c>
      <c r="E878" t="s">
        <v>888</v>
      </c>
      <c r="F878" t="s"/>
      <c r="G878" t="s"/>
      <c r="H878" t="s"/>
      <c r="I878" t="s"/>
      <c r="J878" t="n">
        <v>-0.5859</v>
      </c>
      <c r="K878" t="n">
        <v>0.183</v>
      </c>
      <c r="L878" t="n">
        <v>0.8169999999999999</v>
      </c>
      <c r="M878" t="n">
        <v>0</v>
      </c>
    </row>
    <row r="879" spans="1:13">
      <c r="A879" s="1">
        <f>HYPERLINK("http://www.twitter.com/NathanBLawrence/status/989129770419056641", "989129770419056641")</f>
        <v/>
      </c>
      <c r="B879" s="2" t="n">
        <v>43215.5496412037</v>
      </c>
      <c r="C879" t="n">
        <v>0</v>
      </c>
      <c r="D879" t="n">
        <v>172</v>
      </c>
      <c r="E879" t="s">
        <v>889</v>
      </c>
      <c r="F879" t="s"/>
      <c r="G879" t="s"/>
      <c r="H879" t="s"/>
      <c r="I879" t="s"/>
      <c r="J879" t="n">
        <v>0.4019</v>
      </c>
      <c r="K879" t="n">
        <v>0.103</v>
      </c>
      <c r="L879" t="n">
        <v>0.696</v>
      </c>
      <c r="M879" t="n">
        <v>0.201</v>
      </c>
    </row>
    <row r="880" spans="1:13">
      <c r="A880" s="1">
        <f>HYPERLINK("http://www.twitter.com/NathanBLawrence/status/989003853549973504", "989003853549973504")</f>
        <v/>
      </c>
      <c r="B880" s="2" t="n">
        <v>43215.20217592592</v>
      </c>
      <c r="C880" t="n">
        <v>2</v>
      </c>
      <c r="D880" t="n">
        <v>0</v>
      </c>
      <c r="E880" t="s">
        <v>890</v>
      </c>
      <c r="F880" t="s"/>
      <c r="G880" t="s"/>
      <c r="H880" t="s"/>
      <c r="I880" t="s"/>
      <c r="J880" t="n">
        <v>-0.7964</v>
      </c>
      <c r="K880" t="n">
        <v>0.254</v>
      </c>
      <c r="L880" t="n">
        <v>0.7</v>
      </c>
      <c r="M880" t="n">
        <v>0.047</v>
      </c>
    </row>
    <row r="881" spans="1:13">
      <c r="A881" s="1">
        <f>HYPERLINK("http://www.twitter.com/NathanBLawrence/status/989003138450575360", "989003138450575360")</f>
        <v/>
      </c>
      <c r="B881" s="2" t="n">
        <v>43215.20019675926</v>
      </c>
      <c r="C881" t="n">
        <v>0</v>
      </c>
      <c r="D881" t="n">
        <v>1</v>
      </c>
      <c r="E881" t="s">
        <v>891</v>
      </c>
      <c r="F881" t="s"/>
      <c r="G881" t="s"/>
      <c r="H881" t="s"/>
      <c r="I881" t="s"/>
      <c r="J881" t="n">
        <v>-0.8326</v>
      </c>
      <c r="K881" t="n">
        <v>0.349</v>
      </c>
      <c r="L881" t="n">
        <v>0.5590000000000001</v>
      </c>
      <c r="M881" t="n">
        <v>0.092</v>
      </c>
    </row>
    <row r="882" spans="1:13">
      <c r="A882" s="1">
        <f>HYPERLINK("http://www.twitter.com/NathanBLawrence/status/989002941586657280", "989002941586657280")</f>
        <v/>
      </c>
      <c r="B882" s="2" t="n">
        <v>43215.19965277778</v>
      </c>
      <c r="C882" t="n">
        <v>0</v>
      </c>
      <c r="D882" t="n">
        <v>19</v>
      </c>
      <c r="E882" t="s">
        <v>892</v>
      </c>
      <c r="F882" t="s"/>
      <c r="G882" t="s"/>
      <c r="H882" t="s"/>
      <c r="I882" t="s"/>
      <c r="J882" t="n">
        <v>0.6369</v>
      </c>
      <c r="K882" t="n">
        <v>0</v>
      </c>
      <c r="L882" t="n">
        <v>0.802</v>
      </c>
      <c r="M882" t="n">
        <v>0.198</v>
      </c>
    </row>
    <row r="883" spans="1:13">
      <c r="A883" s="1">
        <f>HYPERLINK("http://www.twitter.com/NathanBLawrence/status/988758106703310849", "988758106703310849")</f>
        <v/>
      </c>
      <c r="B883" s="2" t="n">
        <v>43214.52403935185</v>
      </c>
      <c r="C883" t="n">
        <v>0</v>
      </c>
      <c r="D883" t="n">
        <v>0</v>
      </c>
      <c r="E883" t="s">
        <v>893</v>
      </c>
      <c r="F883" t="s"/>
      <c r="G883" t="s"/>
      <c r="H883" t="s"/>
      <c r="I883" t="s"/>
      <c r="J883" t="n">
        <v>0</v>
      </c>
      <c r="K883" t="n">
        <v>0</v>
      </c>
      <c r="L883" t="n">
        <v>1</v>
      </c>
      <c r="M883" t="n">
        <v>0</v>
      </c>
    </row>
    <row r="884" spans="1:13">
      <c r="A884" s="1">
        <f>HYPERLINK("http://www.twitter.com/NathanBLawrence/status/988540373227261952", "988540373227261952")</f>
        <v/>
      </c>
      <c r="B884" s="2" t="n">
        <v>43213.92320601852</v>
      </c>
      <c r="C884" t="n">
        <v>0</v>
      </c>
      <c r="D884" t="n">
        <v>5</v>
      </c>
      <c r="E884" t="s">
        <v>894</v>
      </c>
      <c r="F884" t="s"/>
      <c r="G884" t="s"/>
      <c r="H884" t="s"/>
      <c r="I884" t="s"/>
      <c r="J884" t="n">
        <v>0</v>
      </c>
      <c r="K884" t="n">
        <v>0</v>
      </c>
      <c r="L884" t="n">
        <v>1</v>
      </c>
      <c r="M884" t="n">
        <v>0</v>
      </c>
    </row>
    <row r="885" spans="1:13">
      <c r="A885" s="1">
        <f>HYPERLINK("http://www.twitter.com/NathanBLawrence/status/988540355170766848", "988540355170766848")</f>
        <v/>
      </c>
      <c r="B885" s="2" t="n">
        <v>43213.92315972222</v>
      </c>
      <c r="C885" t="n">
        <v>0</v>
      </c>
      <c r="D885" t="n">
        <v>4</v>
      </c>
      <c r="E885" t="s">
        <v>895</v>
      </c>
      <c r="F885" t="s"/>
      <c r="G885" t="s"/>
      <c r="H885" t="s"/>
      <c r="I885" t="s"/>
      <c r="J885" t="n">
        <v>0</v>
      </c>
      <c r="K885" t="n">
        <v>0</v>
      </c>
      <c r="L885" t="n">
        <v>1</v>
      </c>
      <c r="M885" t="n">
        <v>0</v>
      </c>
    </row>
    <row r="886" spans="1:13">
      <c r="A886" s="1">
        <f>HYPERLINK("http://www.twitter.com/NathanBLawrence/status/988540318156017665", "988540318156017665")</f>
        <v/>
      </c>
      <c r="B886" s="2" t="n">
        <v>43213.92305555556</v>
      </c>
      <c r="C886" t="n">
        <v>0</v>
      </c>
      <c r="D886" t="n">
        <v>9</v>
      </c>
      <c r="E886" t="s">
        <v>896</v>
      </c>
      <c r="F886" t="s"/>
      <c r="G886" t="s"/>
      <c r="H886" t="s"/>
      <c r="I886" t="s"/>
      <c r="J886" t="n">
        <v>0.128</v>
      </c>
      <c r="K886" t="n">
        <v>0</v>
      </c>
      <c r="L886" t="n">
        <v>0.93</v>
      </c>
      <c r="M886" t="n">
        <v>0.07000000000000001</v>
      </c>
    </row>
    <row r="887" spans="1:13">
      <c r="A887" s="1">
        <f>HYPERLINK("http://www.twitter.com/NathanBLawrence/status/988540304964931586", "988540304964931586")</f>
        <v/>
      </c>
      <c r="B887" s="2" t="n">
        <v>43213.92302083333</v>
      </c>
      <c r="C887" t="n">
        <v>0</v>
      </c>
      <c r="D887" t="n">
        <v>17</v>
      </c>
      <c r="E887" t="s">
        <v>897</v>
      </c>
      <c r="F887" t="s"/>
      <c r="G887" t="s"/>
      <c r="H887" t="s"/>
      <c r="I887" t="s"/>
      <c r="J887" t="n">
        <v>0.1779</v>
      </c>
      <c r="K887" t="n">
        <v>0.095</v>
      </c>
      <c r="L887" t="n">
        <v>0.782</v>
      </c>
      <c r="M887" t="n">
        <v>0.123</v>
      </c>
    </row>
    <row r="888" spans="1:13">
      <c r="A888" s="1">
        <f>HYPERLINK("http://www.twitter.com/NathanBLawrence/status/988540233041014785", "988540233041014785")</f>
        <v/>
      </c>
      <c r="B888" s="2" t="n">
        <v>43213.92282407408</v>
      </c>
      <c r="C888" t="n">
        <v>0</v>
      </c>
      <c r="D888" t="n">
        <v>60</v>
      </c>
      <c r="E888" t="s">
        <v>898</v>
      </c>
      <c r="F888" t="s"/>
      <c r="G888" t="s"/>
      <c r="H888" t="s"/>
      <c r="I888" t="s"/>
      <c r="J888" t="n">
        <v>0</v>
      </c>
      <c r="K888" t="n">
        <v>0</v>
      </c>
      <c r="L888" t="n">
        <v>1</v>
      </c>
      <c r="M888" t="n">
        <v>0</v>
      </c>
    </row>
    <row r="889" spans="1:13">
      <c r="A889" s="1">
        <f>HYPERLINK("http://www.twitter.com/NathanBLawrence/status/988540082754908165", "988540082754908165")</f>
        <v/>
      </c>
      <c r="B889" s="2" t="n">
        <v>43213.92240740741</v>
      </c>
      <c r="C889" t="n">
        <v>0</v>
      </c>
      <c r="D889" t="n">
        <v>10</v>
      </c>
      <c r="E889" t="s">
        <v>899</v>
      </c>
      <c r="F889" t="s"/>
      <c r="G889" t="s"/>
      <c r="H889" t="s"/>
      <c r="I889" t="s"/>
      <c r="J889" t="n">
        <v>-0.296</v>
      </c>
      <c r="K889" t="n">
        <v>0.091</v>
      </c>
      <c r="L889" t="n">
        <v>0.909</v>
      </c>
      <c r="M889" t="n">
        <v>0</v>
      </c>
    </row>
    <row r="890" spans="1:13">
      <c r="A890" s="1">
        <f>HYPERLINK("http://www.twitter.com/NathanBLawrence/status/988540060298633217", "988540060298633217")</f>
        <v/>
      </c>
      <c r="B890" s="2" t="n">
        <v>43213.92234953704</v>
      </c>
      <c r="C890" t="n">
        <v>0</v>
      </c>
      <c r="D890" t="n">
        <v>18</v>
      </c>
      <c r="E890" t="s">
        <v>900</v>
      </c>
      <c r="F890" t="s"/>
      <c r="G890" t="s"/>
      <c r="H890" t="s"/>
      <c r="I890" t="s"/>
      <c r="J890" t="n">
        <v>0</v>
      </c>
      <c r="K890" t="n">
        <v>0</v>
      </c>
      <c r="L890" t="n">
        <v>1</v>
      </c>
      <c r="M890" t="n">
        <v>0</v>
      </c>
    </row>
    <row r="891" spans="1:13">
      <c r="A891" s="1">
        <f>HYPERLINK("http://www.twitter.com/NathanBLawrence/status/988540049942896640", "988540049942896640")</f>
        <v/>
      </c>
      <c r="B891" s="2" t="n">
        <v>43213.92231481482</v>
      </c>
      <c r="C891" t="n">
        <v>0</v>
      </c>
      <c r="D891" t="n">
        <v>32282</v>
      </c>
      <c r="E891" t="s">
        <v>901</v>
      </c>
      <c r="F891" t="s"/>
      <c r="G891" t="s"/>
      <c r="H891" t="s"/>
      <c r="I891" t="s"/>
      <c r="J891" t="n">
        <v>0.34</v>
      </c>
      <c r="K891" t="n">
        <v>0.106</v>
      </c>
      <c r="L891" t="n">
        <v>0.704</v>
      </c>
      <c r="M891" t="n">
        <v>0.19</v>
      </c>
    </row>
    <row r="892" spans="1:13">
      <c r="A892" s="1">
        <f>HYPERLINK("http://www.twitter.com/NathanBLawrence/status/988540032251322368", "988540032251322368")</f>
        <v/>
      </c>
      <c r="B892" s="2" t="n">
        <v>43213.92226851852</v>
      </c>
      <c r="C892" t="n">
        <v>0</v>
      </c>
      <c r="D892" t="n">
        <v>9</v>
      </c>
      <c r="E892" t="s">
        <v>902</v>
      </c>
      <c r="F892" t="s"/>
      <c r="G892" t="s"/>
      <c r="H892" t="s"/>
      <c r="I892" t="s"/>
      <c r="J892" t="n">
        <v>0.6124000000000001</v>
      </c>
      <c r="K892" t="n">
        <v>0.077</v>
      </c>
      <c r="L892" t="n">
        <v>0.669</v>
      </c>
      <c r="M892" t="n">
        <v>0.254</v>
      </c>
    </row>
    <row r="893" spans="1:13">
      <c r="A893" s="1">
        <f>HYPERLINK("http://www.twitter.com/NathanBLawrence/status/988540014651936768", "988540014651936768")</f>
        <v/>
      </c>
      <c r="B893" s="2" t="n">
        <v>43213.92222222222</v>
      </c>
      <c r="C893" t="n">
        <v>0</v>
      </c>
      <c r="D893" t="n">
        <v>8</v>
      </c>
      <c r="E893" t="s">
        <v>903</v>
      </c>
      <c r="F893" t="s"/>
      <c r="G893" t="s"/>
      <c r="H893" t="s"/>
      <c r="I893" t="s"/>
      <c r="J893" t="n">
        <v>0</v>
      </c>
      <c r="K893" t="n">
        <v>0</v>
      </c>
      <c r="L893" t="n">
        <v>1</v>
      </c>
      <c r="M893" t="n">
        <v>0</v>
      </c>
    </row>
    <row r="894" spans="1:13">
      <c r="A894" s="1">
        <f>HYPERLINK("http://www.twitter.com/NathanBLawrence/status/988539941524295681", "988539941524295681")</f>
        <v/>
      </c>
      <c r="B894" s="2" t="n">
        <v>43213.92201388889</v>
      </c>
      <c r="C894" t="n">
        <v>0</v>
      </c>
      <c r="D894" t="n">
        <v>4</v>
      </c>
      <c r="E894" t="s">
        <v>904</v>
      </c>
      <c r="F894">
        <f>HYPERLINK("http://pbs.twimg.com/media/Dbf6BryXcAA5yhu.jpg", "http://pbs.twimg.com/media/Dbf6BryXcAA5yhu.jpg")</f>
        <v/>
      </c>
      <c r="G894" t="s"/>
      <c r="H894" t="s"/>
      <c r="I894" t="s"/>
      <c r="J894" t="n">
        <v>-0.4215</v>
      </c>
      <c r="K894" t="n">
        <v>0.149</v>
      </c>
      <c r="L894" t="n">
        <v>0.851</v>
      </c>
      <c r="M894" t="n">
        <v>0</v>
      </c>
    </row>
    <row r="895" spans="1:13">
      <c r="A895" s="1">
        <f>HYPERLINK("http://www.twitter.com/NathanBLawrence/status/988539898503352320", "988539898503352320")</f>
        <v/>
      </c>
      <c r="B895" s="2" t="n">
        <v>43213.92189814815</v>
      </c>
      <c r="C895" t="n">
        <v>0</v>
      </c>
      <c r="D895" t="n">
        <v>37</v>
      </c>
      <c r="E895" t="s">
        <v>905</v>
      </c>
      <c r="F895" t="s"/>
      <c r="G895" t="s"/>
      <c r="H895" t="s"/>
      <c r="I895" t="s"/>
      <c r="J895" t="n">
        <v>0.8564000000000001</v>
      </c>
      <c r="K895" t="n">
        <v>0</v>
      </c>
      <c r="L895" t="n">
        <v>0.68</v>
      </c>
      <c r="M895" t="n">
        <v>0.32</v>
      </c>
    </row>
    <row r="896" spans="1:13">
      <c r="A896" s="1">
        <f>HYPERLINK("http://www.twitter.com/NathanBLawrence/status/988498213740187648", "988498213740187648")</f>
        <v/>
      </c>
      <c r="B896" s="2" t="n">
        <v>43213.806875</v>
      </c>
      <c r="C896" t="n">
        <v>0</v>
      </c>
      <c r="D896" t="n">
        <v>1</v>
      </c>
      <c r="E896" t="s">
        <v>906</v>
      </c>
      <c r="F896" t="s"/>
      <c r="G896" t="s"/>
      <c r="H896" t="s"/>
      <c r="I896" t="s"/>
      <c r="J896" t="n">
        <v>0</v>
      </c>
      <c r="K896" t="n">
        <v>0</v>
      </c>
      <c r="L896" t="n">
        <v>1</v>
      </c>
      <c r="M896" t="n">
        <v>0</v>
      </c>
    </row>
    <row r="897" spans="1:13">
      <c r="A897" s="1">
        <f>HYPERLINK("http://www.twitter.com/NathanBLawrence/status/988498098405113858", "988498098405113858")</f>
        <v/>
      </c>
      <c r="B897" s="2" t="n">
        <v>43213.80655092592</v>
      </c>
      <c r="C897" t="n">
        <v>0</v>
      </c>
      <c r="D897" t="n">
        <v>1</v>
      </c>
      <c r="E897" t="s">
        <v>907</v>
      </c>
      <c r="F897" t="s"/>
      <c r="G897" t="s"/>
      <c r="H897" t="s"/>
      <c r="I897" t="s"/>
      <c r="J897" t="n">
        <v>0</v>
      </c>
      <c r="K897" t="n">
        <v>0</v>
      </c>
      <c r="L897" t="n">
        <v>1</v>
      </c>
      <c r="M897" t="n">
        <v>0</v>
      </c>
    </row>
    <row r="898" spans="1:13">
      <c r="A898" s="1">
        <f>HYPERLINK("http://www.twitter.com/NathanBLawrence/status/988498083960033281", "988498083960033281")</f>
        <v/>
      </c>
      <c r="B898" s="2" t="n">
        <v>43213.8065162037</v>
      </c>
      <c r="C898" t="n">
        <v>0</v>
      </c>
      <c r="D898" t="n">
        <v>1</v>
      </c>
      <c r="E898" t="s">
        <v>908</v>
      </c>
      <c r="F898" t="s"/>
      <c r="G898" t="s"/>
      <c r="H898" t="s"/>
      <c r="I898" t="s"/>
      <c r="J898" t="n">
        <v>0</v>
      </c>
      <c r="K898" t="n">
        <v>0</v>
      </c>
      <c r="L898" t="n">
        <v>1</v>
      </c>
      <c r="M898" t="n">
        <v>0</v>
      </c>
    </row>
    <row r="899" spans="1:13">
      <c r="A899" s="1">
        <f>HYPERLINK("http://www.twitter.com/NathanBLawrence/status/988498059855388672", "988498059855388672")</f>
        <v/>
      </c>
      <c r="B899" s="2" t="n">
        <v>43213.80644675926</v>
      </c>
      <c r="C899" t="n">
        <v>0</v>
      </c>
      <c r="D899" t="n">
        <v>0</v>
      </c>
      <c r="E899" t="s">
        <v>909</v>
      </c>
      <c r="F899" t="s"/>
      <c r="G899" t="s"/>
      <c r="H899" t="s"/>
      <c r="I899" t="s"/>
      <c r="J899" t="n">
        <v>0</v>
      </c>
      <c r="K899" t="n">
        <v>0</v>
      </c>
      <c r="L899" t="n">
        <v>1</v>
      </c>
      <c r="M899" t="n">
        <v>0</v>
      </c>
    </row>
    <row r="900" spans="1:13">
      <c r="A900" s="1">
        <f>HYPERLINK("http://www.twitter.com/NathanBLawrence/status/988497960039342081", "988497960039342081")</f>
        <v/>
      </c>
      <c r="B900" s="2" t="n">
        <v>43213.80616898148</v>
      </c>
      <c r="C900" t="n">
        <v>1</v>
      </c>
      <c r="D900" t="n">
        <v>0</v>
      </c>
      <c r="E900" t="s">
        <v>910</v>
      </c>
      <c r="F900" t="s"/>
      <c r="G900" t="s"/>
      <c r="H900" t="s"/>
      <c r="I900" t="s"/>
      <c r="J900" t="n">
        <v>-0.3612</v>
      </c>
      <c r="K900" t="n">
        <v>0.161</v>
      </c>
      <c r="L900" t="n">
        <v>0.839</v>
      </c>
      <c r="M900" t="n">
        <v>0</v>
      </c>
    </row>
    <row r="901" spans="1:13">
      <c r="A901" s="1">
        <f>HYPERLINK("http://www.twitter.com/NathanBLawrence/status/988497751523708928", "988497751523708928")</f>
        <v/>
      </c>
      <c r="B901" s="2" t="n">
        <v>43213.80560185185</v>
      </c>
      <c r="C901" t="n">
        <v>0</v>
      </c>
      <c r="D901" t="n">
        <v>0</v>
      </c>
      <c r="E901" t="s">
        <v>911</v>
      </c>
      <c r="F901" t="s"/>
      <c r="G901" t="s"/>
      <c r="H901" t="s"/>
      <c r="I901" t="s"/>
      <c r="J901" t="n">
        <v>-0.5106000000000001</v>
      </c>
      <c r="K901" t="n">
        <v>0.398</v>
      </c>
      <c r="L901" t="n">
        <v>0.602</v>
      </c>
      <c r="M901" t="n">
        <v>0</v>
      </c>
    </row>
    <row r="902" spans="1:13">
      <c r="A902" s="1">
        <f>HYPERLINK("http://www.twitter.com/NathanBLawrence/status/988496843909844994", "988496843909844994")</f>
        <v/>
      </c>
      <c r="B902" s="2" t="n">
        <v>43213.80309027778</v>
      </c>
      <c r="C902" t="n">
        <v>0</v>
      </c>
      <c r="D902" t="n">
        <v>1</v>
      </c>
      <c r="E902" t="s">
        <v>912</v>
      </c>
      <c r="F902" t="s"/>
      <c r="G902" t="s"/>
      <c r="H902" t="s"/>
      <c r="I902" t="s"/>
      <c r="J902" t="n">
        <v>-0.4412</v>
      </c>
      <c r="K902" t="n">
        <v>0.145</v>
      </c>
      <c r="L902" t="n">
        <v>0.788</v>
      </c>
      <c r="M902" t="n">
        <v>0.066</v>
      </c>
    </row>
    <row r="903" spans="1:13">
      <c r="A903" s="1">
        <f>HYPERLINK("http://www.twitter.com/NathanBLawrence/status/988496152457830408", "988496152457830408")</f>
        <v/>
      </c>
      <c r="B903" s="2" t="n">
        <v>43213.80118055556</v>
      </c>
      <c r="C903" t="n">
        <v>0</v>
      </c>
      <c r="D903" t="n">
        <v>21</v>
      </c>
      <c r="E903" t="s">
        <v>913</v>
      </c>
      <c r="F903" t="s"/>
      <c r="G903" t="s"/>
      <c r="H903" t="s"/>
      <c r="I903" t="s"/>
      <c r="J903" t="n">
        <v>-0.296</v>
      </c>
      <c r="K903" t="n">
        <v>0.08699999999999999</v>
      </c>
      <c r="L903" t="n">
        <v>0.913</v>
      </c>
      <c r="M903" t="n">
        <v>0</v>
      </c>
    </row>
    <row r="904" spans="1:13">
      <c r="A904" s="1">
        <f>HYPERLINK("http://www.twitter.com/NathanBLawrence/status/988496040251838464", "988496040251838464")</f>
        <v/>
      </c>
      <c r="B904" s="2" t="n">
        <v>43213.80087962963</v>
      </c>
      <c r="C904" t="n">
        <v>0</v>
      </c>
      <c r="D904" t="n">
        <v>32</v>
      </c>
      <c r="E904" t="s">
        <v>914</v>
      </c>
      <c r="F904" t="s"/>
      <c r="G904" t="s"/>
      <c r="H904" t="s"/>
      <c r="I904" t="s"/>
      <c r="J904" t="n">
        <v>0.7791</v>
      </c>
      <c r="K904" t="n">
        <v>0.097</v>
      </c>
      <c r="L904" t="n">
        <v>0.585</v>
      </c>
      <c r="M904" t="n">
        <v>0.318</v>
      </c>
    </row>
    <row r="905" spans="1:13">
      <c r="A905" s="1">
        <f>HYPERLINK("http://www.twitter.com/NathanBLawrence/status/988496020437860352", "988496020437860352")</f>
        <v/>
      </c>
      <c r="B905" s="2" t="n">
        <v>43213.80082175926</v>
      </c>
      <c r="C905" t="n">
        <v>2</v>
      </c>
      <c r="D905" t="n">
        <v>1</v>
      </c>
      <c r="E905" t="s">
        <v>915</v>
      </c>
      <c r="F905" t="s"/>
      <c r="G905" t="s"/>
      <c r="H905" t="s"/>
      <c r="I905" t="s"/>
      <c r="J905" t="n">
        <v>-0.5266999999999999</v>
      </c>
      <c r="K905" t="n">
        <v>0.254</v>
      </c>
      <c r="L905" t="n">
        <v>0.746</v>
      </c>
      <c r="M905" t="n">
        <v>0</v>
      </c>
    </row>
    <row r="906" spans="1:13">
      <c r="A906" s="1">
        <f>HYPERLINK("http://www.twitter.com/NathanBLawrence/status/988495510276370437", "988495510276370437")</f>
        <v/>
      </c>
      <c r="B906" s="2" t="n">
        <v>43213.79940972223</v>
      </c>
      <c r="C906" t="n">
        <v>2</v>
      </c>
      <c r="D906" t="n">
        <v>0</v>
      </c>
      <c r="E906" t="s">
        <v>916</v>
      </c>
      <c r="F906" t="s"/>
      <c r="G906" t="s"/>
      <c r="H906" t="s"/>
      <c r="I906" t="s"/>
      <c r="J906" t="n">
        <v>-0.296</v>
      </c>
      <c r="K906" t="n">
        <v>0.239</v>
      </c>
      <c r="L906" t="n">
        <v>0.761</v>
      </c>
      <c r="M906" t="n">
        <v>0</v>
      </c>
    </row>
    <row r="907" spans="1:13">
      <c r="A907" s="1">
        <f>HYPERLINK("http://www.twitter.com/NathanBLawrence/status/988495281615499264", "988495281615499264")</f>
        <v/>
      </c>
      <c r="B907" s="2" t="n">
        <v>43213.79878472222</v>
      </c>
      <c r="C907" t="n">
        <v>0</v>
      </c>
      <c r="D907" t="n">
        <v>41</v>
      </c>
      <c r="E907" t="s">
        <v>917</v>
      </c>
      <c r="F907" t="s"/>
      <c r="G907" t="s"/>
      <c r="H907" t="s"/>
      <c r="I907" t="s"/>
      <c r="J907" t="n">
        <v>-0.5859</v>
      </c>
      <c r="K907" t="n">
        <v>0.147</v>
      </c>
      <c r="L907" t="n">
        <v>0.853</v>
      </c>
      <c r="M907" t="n">
        <v>0</v>
      </c>
    </row>
    <row r="908" spans="1:13">
      <c r="A908" s="1">
        <f>HYPERLINK("http://www.twitter.com/NathanBLawrence/status/988223756907810818", "988223756907810818")</f>
        <v/>
      </c>
      <c r="B908" s="2" t="n">
        <v>43213.04951388889</v>
      </c>
      <c r="C908" t="n">
        <v>0</v>
      </c>
      <c r="D908" t="n">
        <v>0</v>
      </c>
      <c r="E908" t="s">
        <v>918</v>
      </c>
      <c r="F908" t="s"/>
      <c r="G908" t="s"/>
      <c r="H908" t="s"/>
      <c r="I908" t="s"/>
      <c r="J908" t="n">
        <v>0</v>
      </c>
      <c r="K908" t="n">
        <v>0</v>
      </c>
      <c r="L908" t="n">
        <v>1</v>
      </c>
      <c r="M908" t="n">
        <v>0</v>
      </c>
    </row>
    <row r="909" spans="1:13">
      <c r="A909" s="1">
        <f>HYPERLINK("http://www.twitter.com/NathanBLawrence/status/988171692278239232", "988171692278239232")</f>
        <v/>
      </c>
      <c r="B909" s="2" t="n">
        <v>43212.90584490741</v>
      </c>
      <c r="C909" t="n">
        <v>2</v>
      </c>
      <c r="D909" t="n">
        <v>0</v>
      </c>
      <c r="E909" t="s">
        <v>919</v>
      </c>
      <c r="F909" t="s"/>
      <c r="G909" t="s"/>
      <c r="H909" t="s"/>
      <c r="I909" t="s"/>
      <c r="J909" t="n">
        <v>0</v>
      </c>
      <c r="K909" t="n">
        <v>0</v>
      </c>
      <c r="L909" t="n">
        <v>1</v>
      </c>
      <c r="M909" t="n">
        <v>0</v>
      </c>
    </row>
    <row r="910" spans="1:13">
      <c r="A910" s="1">
        <f>HYPERLINK("http://www.twitter.com/NathanBLawrence/status/988171283253858304", "988171283253858304")</f>
        <v/>
      </c>
      <c r="B910" s="2" t="n">
        <v>43212.90471064814</v>
      </c>
      <c r="C910" t="n">
        <v>0</v>
      </c>
      <c r="D910" t="n">
        <v>0</v>
      </c>
      <c r="E910" t="s">
        <v>920</v>
      </c>
      <c r="F910" t="s"/>
      <c r="G910" t="s"/>
      <c r="H910" t="s"/>
      <c r="I910" t="s"/>
      <c r="J910" t="n">
        <v>0</v>
      </c>
      <c r="K910" t="n">
        <v>0</v>
      </c>
      <c r="L910" t="n">
        <v>1</v>
      </c>
      <c r="M910" t="n">
        <v>0</v>
      </c>
    </row>
    <row r="911" spans="1:13">
      <c r="A911" s="1">
        <f>HYPERLINK("http://www.twitter.com/NathanBLawrence/status/988170497488769024", "988170497488769024")</f>
        <v/>
      </c>
      <c r="B911" s="2" t="n">
        <v>43212.9025462963</v>
      </c>
      <c r="C911" t="n">
        <v>1</v>
      </c>
      <c r="D911" t="n">
        <v>1</v>
      </c>
      <c r="E911" t="s">
        <v>921</v>
      </c>
      <c r="F911" t="s"/>
      <c r="G911" t="s"/>
      <c r="H911" t="s"/>
      <c r="I911" t="s"/>
      <c r="J911" t="n">
        <v>0</v>
      </c>
      <c r="K911" t="n">
        <v>0</v>
      </c>
      <c r="L911" t="n">
        <v>1</v>
      </c>
      <c r="M911" t="n">
        <v>0</v>
      </c>
    </row>
    <row r="912" spans="1:13">
      <c r="A912" s="1">
        <f>HYPERLINK("http://www.twitter.com/NathanBLawrence/status/988170090314129409", "988170090314129409")</f>
        <v/>
      </c>
      <c r="B912" s="2" t="n">
        <v>43212.90142361111</v>
      </c>
      <c r="C912" t="n">
        <v>0</v>
      </c>
      <c r="D912" t="n">
        <v>0</v>
      </c>
      <c r="E912" t="s">
        <v>922</v>
      </c>
      <c r="F912" t="s"/>
      <c r="G912" t="s"/>
      <c r="H912" t="s"/>
      <c r="I912" t="s"/>
      <c r="J912" t="n">
        <v>-0.7385</v>
      </c>
      <c r="K912" t="n">
        <v>0.41</v>
      </c>
      <c r="L912" t="n">
        <v>0.59</v>
      </c>
      <c r="M912" t="n">
        <v>0</v>
      </c>
    </row>
    <row r="913" spans="1:13">
      <c r="A913" s="1">
        <f>HYPERLINK("http://www.twitter.com/NathanBLawrence/status/988168486701748224", "988168486701748224")</f>
        <v/>
      </c>
      <c r="B913" s="2" t="n">
        <v>43212.89700231481</v>
      </c>
      <c r="C913" t="n">
        <v>0</v>
      </c>
      <c r="D913" t="n">
        <v>0</v>
      </c>
      <c r="E913" t="s">
        <v>923</v>
      </c>
      <c r="F913" t="s"/>
      <c r="G913" t="s"/>
      <c r="H913" t="s"/>
      <c r="I913" t="s"/>
      <c r="J913" t="n">
        <v>0</v>
      </c>
      <c r="K913" t="n">
        <v>0</v>
      </c>
      <c r="L913" t="n">
        <v>1</v>
      </c>
      <c r="M913" t="n">
        <v>0</v>
      </c>
    </row>
    <row r="914" spans="1:13">
      <c r="A914" s="1">
        <f>HYPERLINK("http://www.twitter.com/NathanBLawrence/status/988164240921030656", "988164240921030656")</f>
        <v/>
      </c>
      <c r="B914" s="2" t="n">
        <v>43212.88527777778</v>
      </c>
      <c r="C914" t="n">
        <v>4</v>
      </c>
      <c r="D914" t="n">
        <v>0</v>
      </c>
      <c r="E914" t="s">
        <v>924</v>
      </c>
      <c r="F914" t="s"/>
      <c r="G914" t="s"/>
      <c r="H914" t="s"/>
      <c r="I914" t="s"/>
      <c r="J914" t="n">
        <v>0</v>
      </c>
      <c r="K914" t="n">
        <v>0</v>
      </c>
      <c r="L914" t="n">
        <v>1</v>
      </c>
      <c r="M914" t="n">
        <v>0</v>
      </c>
    </row>
    <row r="915" spans="1:13">
      <c r="A915" s="1">
        <f>HYPERLINK("http://www.twitter.com/NathanBLawrence/status/988164183584837634", "988164183584837634")</f>
        <v/>
      </c>
      <c r="B915" s="2" t="n">
        <v>43212.88512731482</v>
      </c>
      <c r="C915" t="n">
        <v>0</v>
      </c>
      <c r="D915" t="n">
        <v>57</v>
      </c>
      <c r="E915" t="s">
        <v>925</v>
      </c>
      <c r="F915">
        <f>HYPERLINK("http://pbs.twimg.com/media/DbaFsNUVMAUqC9_.jpg", "http://pbs.twimg.com/media/DbaFsNUVMAUqC9_.jpg")</f>
        <v/>
      </c>
      <c r="G915" t="s"/>
      <c r="H915" t="s"/>
      <c r="I915" t="s"/>
      <c r="J915" t="n">
        <v>0</v>
      </c>
      <c r="K915" t="n">
        <v>0</v>
      </c>
      <c r="L915" t="n">
        <v>1</v>
      </c>
      <c r="M915" t="n">
        <v>0</v>
      </c>
    </row>
    <row r="916" spans="1:13">
      <c r="A916" s="1">
        <f>HYPERLINK("http://www.twitter.com/NathanBLawrence/status/988164139611717632", "988164139611717632")</f>
        <v/>
      </c>
      <c r="B916" s="2" t="n">
        <v>43212.885</v>
      </c>
      <c r="C916" t="n">
        <v>0</v>
      </c>
      <c r="D916" t="n">
        <v>1</v>
      </c>
      <c r="E916" t="s">
        <v>926</v>
      </c>
      <c r="F916" t="s"/>
      <c r="G916" t="s"/>
      <c r="H916" t="s"/>
      <c r="I916" t="s"/>
      <c r="J916" t="n">
        <v>0</v>
      </c>
      <c r="K916" t="n">
        <v>0</v>
      </c>
      <c r="L916" t="n">
        <v>1</v>
      </c>
      <c r="M916" t="n">
        <v>0</v>
      </c>
    </row>
    <row r="917" spans="1:13">
      <c r="A917" s="1">
        <f>HYPERLINK("http://www.twitter.com/NathanBLawrence/status/988164088470671362", "988164088470671362")</f>
        <v/>
      </c>
      <c r="B917" s="2" t="n">
        <v>43212.88486111111</v>
      </c>
      <c r="C917" t="n">
        <v>0</v>
      </c>
      <c r="D917" t="n">
        <v>35</v>
      </c>
      <c r="E917" t="s">
        <v>927</v>
      </c>
      <c r="F917">
        <f>HYPERLINK("http://pbs.twimg.com/media/DbZjgIQVQAEq7GN.jpg", "http://pbs.twimg.com/media/DbZjgIQVQAEq7GN.jpg")</f>
        <v/>
      </c>
      <c r="G917" t="s"/>
      <c r="H917" t="s"/>
      <c r="I917" t="s"/>
      <c r="J917" t="n">
        <v>0</v>
      </c>
      <c r="K917" t="n">
        <v>0</v>
      </c>
      <c r="L917" t="n">
        <v>1</v>
      </c>
      <c r="M917" t="n">
        <v>0</v>
      </c>
    </row>
    <row r="918" spans="1:13">
      <c r="A918" s="1">
        <f>HYPERLINK("http://www.twitter.com/NathanBLawrence/status/988164066811301892", "988164066811301892")</f>
        <v/>
      </c>
      <c r="B918" s="2" t="n">
        <v>43212.88480324074</v>
      </c>
      <c r="C918" t="n">
        <v>0</v>
      </c>
      <c r="D918" t="n">
        <v>3687</v>
      </c>
      <c r="E918" t="s">
        <v>928</v>
      </c>
      <c r="F918" t="s"/>
      <c r="G918" t="s"/>
      <c r="H918" t="s"/>
      <c r="I918" t="s"/>
      <c r="J918" t="n">
        <v>-0.4336</v>
      </c>
      <c r="K918" t="n">
        <v>0.149</v>
      </c>
      <c r="L918" t="n">
        <v>0.851</v>
      </c>
      <c r="M918" t="n">
        <v>0</v>
      </c>
    </row>
    <row r="919" spans="1:13">
      <c r="A919" s="1">
        <f>HYPERLINK("http://www.twitter.com/NathanBLawrence/status/988163971252477952", "988163971252477952")</f>
        <v/>
      </c>
      <c r="B919" s="2" t="n">
        <v>43212.88453703704</v>
      </c>
      <c r="C919" t="n">
        <v>0</v>
      </c>
      <c r="D919" t="n">
        <v>8</v>
      </c>
      <c r="E919" t="s">
        <v>929</v>
      </c>
      <c r="F919" t="s"/>
      <c r="G919" t="s"/>
      <c r="H919" t="s"/>
      <c r="I919" t="s"/>
      <c r="J919" t="n">
        <v>-0.4019</v>
      </c>
      <c r="K919" t="n">
        <v>0.207</v>
      </c>
      <c r="L919" t="n">
        <v>0.6899999999999999</v>
      </c>
      <c r="M919" t="n">
        <v>0.103</v>
      </c>
    </row>
    <row r="920" spans="1:13">
      <c r="A920" s="1">
        <f>HYPERLINK("http://www.twitter.com/NathanBLawrence/status/988163863542730753", "988163863542730753")</f>
        <v/>
      </c>
      <c r="B920" s="2" t="n">
        <v>43212.88423611111</v>
      </c>
      <c r="C920" t="n">
        <v>0</v>
      </c>
      <c r="D920" t="n">
        <v>9</v>
      </c>
      <c r="E920" t="s">
        <v>930</v>
      </c>
      <c r="F920" t="s"/>
      <c r="G920" t="s"/>
      <c r="H920" t="s"/>
      <c r="I920" t="s"/>
      <c r="J920" t="n">
        <v>-0.7544999999999999</v>
      </c>
      <c r="K920" t="n">
        <v>0.235</v>
      </c>
      <c r="L920" t="n">
        <v>0.765</v>
      </c>
      <c r="M920" t="n">
        <v>0</v>
      </c>
    </row>
    <row r="921" spans="1:13">
      <c r="A921" s="1">
        <f>HYPERLINK("http://www.twitter.com/NathanBLawrence/status/988163519580385281", "988163519580385281")</f>
        <v/>
      </c>
      <c r="B921" s="2" t="n">
        <v>43212.88328703704</v>
      </c>
      <c r="C921" t="n">
        <v>1</v>
      </c>
      <c r="D921" t="n">
        <v>0</v>
      </c>
      <c r="E921" t="s">
        <v>931</v>
      </c>
      <c r="F921" t="s"/>
      <c r="G921" t="s"/>
      <c r="H921" t="s"/>
      <c r="I921" t="s"/>
      <c r="J921" t="n">
        <v>-0.7633</v>
      </c>
      <c r="K921" t="n">
        <v>0.162</v>
      </c>
      <c r="L921" t="n">
        <v>0.838</v>
      </c>
      <c r="M921" t="n">
        <v>0</v>
      </c>
    </row>
    <row r="922" spans="1:13">
      <c r="A922" s="1">
        <f>HYPERLINK("http://www.twitter.com/NathanBLawrence/status/988162544740257794", "988162544740257794")</f>
        <v/>
      </c>
      <c r="B922" s="2" t="n">
        <v>43212.88060185185</v>
      </c>
      <c r="C922" t="n">
        <v>0</v>
      </c>
      <c r="D922" t="n">
        <v>10</v>
      </c>
      <c r="E922" t="s">
        <v>932</v>
      </c>
      <c r="F922" t="s"/>
      <c r="G922" t="s"/>
      <c r="H922" t="s"/>
      <c r="I922" t="s"/>
      <c r="J922" t="n">
        <v>-0.2263</v>
      </c>
      <c r="K922" t="n">
        <v>0.121</v>
      </c>
      <c r="L922" t="n">
        <v>0.792</v>
      </c>
      <c r="M922" t="n">
        <v>0.08699999999999999</v>
      </c>
    </row>
    <row r="923" spans="1:13">
      <c r="A923" s="1">
        <f>HYPERLINK("http://www.twitter.com/NathanBLawrence/status/988162140640043008", "988162140640043008")</f>
        <v/>
      </c>
      <c r="B923" s="2" t="n">
        <v>43212.87949074074</v>
      </c>
      <c r="C923" t="n">
        <v>0</v>
      </c>
      <c r="D923" t="n">
        <v>0</v>
      </c>
      <c r="E923" t="s">
        <v>933</v>
      </c>
      <c r="F923" t="s"/>
      <c r="G923" t="s"/>
      <c r="H923" t="s"/>
      <c r="I923" t="s"/>
      <c r="J923" t="n">
        <v>0.6892</v>
      </c>
      <c r="K923" t="n">
        <v>0</v>
      </c>
      <c r="L923" t="n">
        <v>0.774</v>
      </c>
      <c r="M923" t="n">
        <v>0.226</v>
      </c>
    </row>
    <row r="924" spans="1:13">
      <c r="A924" s="1">
        <f>HYPERLINK("http://www.twitter.com/NathanBLawrence/status/987903914963021824", "987903914963021824")</f>
        <v/>
      </c>
      <c r="B924" s="2" t="n">
        <v>43212.1669212963</v>
      </c>
      <c r="C924" t="n">
        <v>0</v>
      </c>
      <c r="D924" t="n">
        <v>0</v>
      </c>
      <c r="E924" t="s">
        <v>934</v>
      </c>
      <c r="F924" t="s"/>
      <c r="G924" t="s"/>
      <c r="H924" t="s"/>
      <c r="I924" t="s"/>
      <c r="J924" t="n">
        <v>0</v>
      </c>
      <c r="K924" t="n">
        <v>0</v>
      </c>
      <c r="L924" t="n">
        <v>1</v>
      </c>
      <c r="M924" t="n">
        <v>0</v>
      </c>
    </row>
    <row r="925" spans="1:13">
      <c r="A925" s="1">
        <f>HYPERLINK("http://www.twitter.com/NathanBLawrence/status/987903327714398213", "987903327714398213")</f>
        <v/>
      </c>
      <c r="B925" s="2" t="n">
        <v>43212.16530092592</v>
      </c>
      <c r="C925" t="n">
        <v>0</v>
      </c>
      <c r="D925" t="n">
        <v>1</v>
      </c>
      <c r="E925" t="s">
        <v>935</v>
      </c>
      <c r="F925" t="s"/>
      <c r="G925" t="s"/>
      <c r="H925" t="s"/>
      <c r="I925" t="s"/>
      <c r="J925" t="n">
        <v>-0.5266999999999999</v>
      </c>
      <c r="K925" t="n">
        <v>0.196</v>
      </c>
      <c r="L925" t="n">
        <v>0.804</v>
      </c>
      <c r="M925" t="n">
        <v>0</v>
      </c>
    </row>
    <row r="926" spans="1:13">
      <c r="A926" s="1">
        <f>HYPERLINK("http://www.twitter.com/NathanBLawrence/status/987902676477325312", "987902676477325312")</f>
        <v/>
      </c>
      <c r="B926" s="2" t="n">
        <v>43212.16350694445</v>
      </c>
      <c r="C926" t="n">
        <v>0</v>
      </c>
      <c r="D926" t="n">
        <v>0</v>
      </c>
      <c r="E926" t="s">
        <v>936</v>
      </c>
      <c r="F926" t="s"/>
      <c r="G926" t="s"/>
      <c r="H926" t="s"/>
      <c r="I926" t="s"/>
      <c r="J926" t="n">
        <v>0</v>
      </c>
      <c r="K926" t="n">
        <v>0</v>
      </c>
      <c r="L926" t="n">
        <v>1</v>
      </c>
      <c r="M926" t="n">
        <v>0</v>
      </c>
    </row>
    <row r="927" spans="1:13">
      <c r="A927" s="1">
        <f>HYPERLINK("http://www.twitter.com/NathanBLawrence/status/987902038737637376", "987902038737637376")</f>
        <v/>
      </c>
      <c r="B927" s="2" t="n">
        <v>43212.16174768518</v>
      </c>
      <c r="C927" t="n">
        <v>0</v>
      </c>
      <c r="D927" t="n">
        <v>13</v>
      </c>
      <c r="E927" t="s">
        <v>937</v>
      </c>
      <c r="F927">
        <f>HYPERLINK("http://pbs.twimg.com/media/DbT8WmHVAAA8yAP.jpg", "http://pbs.twimg.com/media/DbT8WmHVAAA8yAP.jpg")</f>
        <v/>
      </c>
      <c r="G927" t="s"/>
      <c r="H927" t="s"/>
      <c r="I927" t="s"/>
      <c r="J927" t="n">
        <v>0.1779</v>
      </c>
      <c r="K927" t="n">
        <v>0.097</v>
      </c>
      <c r="L927" t="n">
        <v>0.778</v>
      </c>
      <c r="M927" t="n">
        <v>0.125</v>
      </c>
    </row>
    <row r="928" spans="1:13">
      <c r="A928" s="1">
        <f>HYPERLINK("http://www.twitter.com/NathanBLawrence/status/987901917601857537", "987901917601857537")</f>
        <v/>
      </c>
      <c r="B928" s="2" t="n">
        <v>43212.16141203704</v>
      </c>
      <c r="C928" t="n">
        <v>0</v>
      </c>
      <c r="D928" t="n">
        <v>13</v>
      </c>
      <c r="E928" t="s">
        <v>938</v>
      </c>
      <c r="F928" t="s"/>
      <c r="G928" t="s"/>
      <c r="H928" t="s"/>
      <c r="I928" t="s"/>
      <c r="J928" t="n">
        <v>0.4019</v>
      </c>
      <c r="K928" t="n">
        <v>0.115</v>
      </c>
      <c r="L928" t="n">
        <v>0.6909999999999999</v>
      </c>
      <c r="M928" t="n">
        <v>0.194</v>
      </c>
    </row>
    <row r="929" spans="1:13">
      <c r="A929" s="1">
        <f>HYPERLINK("http://www.twitter.com/NathanBLawrence/status/986940072938401793", "986940072938401793")</f>
        <v/>
      </c>
      <c r="B929" s="2" t="n">
        <v>43209.50722222222</v>
      </c>
      <c r="C929" t="n">
        <v>0</v>
      </c>
      <c r="D929" t="n">
        <v>0</v>
      </c>
      <c r="E929" t="s">
        <v>939</v>
      </c>
      <c r="F929" t="s"/>
      <c r="G929" t="s"/>
      <c r="H929" t="s"/>
      <c r="I929" t="s"/>
      <c r="J929" t="n">
        <v>0</v>
      </c>
      <c r="K929" t="n">
        <v>0</v>
      </c>
      <c r="L929" t="n">
        <v>1</v>
      </c>
      <c r="M929" t="n">
        <v>0</v>
      </c>
    </row>
    <row r="930" spans="1:13">
      <c r="A930" s="1">
        <f>HYPERLINK("http://www.twitter.com/NathanBLawrence/status/986939896408535040", "986939896408535040")</f>
        <v/>
      </c>
      <c r="B930" s="2" t="n">
        <v>43209.50673611111</v>
      </c>
      <c r="C930" t="n">
        <v>0</v>
      </c>
      <c r="D930" t="n">
        <v>2</v>
      </c>
      <c r="E930" t="s">
        <v>940</v>
      </c>
      <c r="F930" t="s"/>
      <c r="G930" t="s"/>
      <c r="H930" t="s"/>
      <c r="I930" t="s"/>
      <c r="J930" t="n">
        <v>-0.1027</v>
      </c>
      <c r="K930" t="n">
        <v>0.097</v>
      </c>
      <c r="L930" t="n">
        <v>0.903</v>
      </c>
      <c r="M930" t="n">
        <v>0</v>
      </c>
    </row>
    <row r="931" spans="1:13">
      <c r="A931" s="1">
        <f>HYPERLINK("http://www.twitter.com/NathanBLawrence/status/986939771053363202", "986939771053363202")</f>
        <v/>
      </c>
      <c r="B931" s="2" t="n">
        <v>43209.50638888889</v>
      </c>
      <c r="C931" t="n">
        <v>0</v>
      </c>
      <c r="D931" t="n">
        <v>1</v>
      </c>
      <c r="E931" t="s">
        <v>941</v>
      </c>
      <c r="F931" t="s"/>
      <c r="G931" t="s"/>
      <c r="H931" t="s"/>
      <c r="I931" t="s"/>
      <c r="J931" t="n">
        <v>-0.0516</v>
      </c>
      <c r="K931" t="n">
        <v>0.149</v>
      </c>
      <c r="L931" t="n">
        <v>0.714</v>
      </c>
      <c r="M931" t="n">
        <v>0.136</v>
      </c>
    </row>
    <row r="932" spans="1:13">
      <c r="A932" s="1">
        <f>HYPERLINK("http://www.twitter.com/NathanBLawrence/status/986939665101066240", "986939665101066240")</f>
        <v/>
      </c>
      <c r="B932" s="2" t="n">
        <v>43209.50609953704</v>
      </c>
      <c r="C932" t="n">
        <v>0</v>
      </c>
      <c r="D932" t="n">
        <v>1</v>
      </c>
      <c r="E932" t="s">
        <v>942</v>
      </c>
      <c r="F932" t="s"/>
      <c r="G932" t="s"/>
      <c r="H932" t="s"/>
      <c r="I932" t="s"/>
      <c r="J932" t="n">
        <v>-0.5106000000000001</v>
      </c>
      <c r="K932" t="n">
        <v>0.155</v>
      </c>
      <c r="L932" t="n">
        <v>0.845</v>
      </c>
      <c r="M932" t="n">
        <v>0</v>
      </c>
    </row>
    <row r="933" spans="1:13">
      <c r="A933" s="1">
        <f>HYPERLINK("http://www.twitter.com/NathanBLawrence/status/986939639184482304", "986939639184482304")</f>
        <v/>
      </c>
      <c r="B933" s="2" t="n">
        <v>43209.50603009259</v>
      </c>
      <c r="C933" t="n">
        <v>0</v>
      </c>
      <c r="D933" t="n">
        <v>1</v>
      </c>
      <c r="E933" t="s">
        <v>943</v>
      </c>
      <c r="F933" t="s"/>
      <c r="G933" t="s"/>
      <c r="H933" t="s"/>
      <c r="I933" t="s"/>
      <c r="J933" t="n">
        <v>0</v>
      </c>
      <c r="K933" t="n">
        <v>0</v>
      </c>
      <c r="L933" t="n">
        <v>1</v>
      </c>
      <c r="M933" t="n">
        <v>0</v>
      </c>
    </row>
    <row r="934" spans="1:13">
      <c r="A934" s="1">
        <f>HYPERLINK("http://www.twitter.com/NathanBLawrence/status/986939538303078400", "986939538303078400")</f>
        <v/>
      </c>
      <c r="B934" s="2" t="n">
        <v>43209.50575231481</v>
      </c>
      <c r="C934" t="n">
        <v>0</v>
      </c>
      <c r="D934" t="n">
        <v>0</v>
      </c>
      <c r="E934" t="s">
        <v>944</v>
      </c>
      <c r="F934" t="s"/>
      <c r="G934" t="s"/>
      <c r="H934" t="s"/>
      <c r="I934" t="s"/>
      <c r="J934" t="n">
        <v>0</v>
      </c>
      <c r="K934" t="n">
        <v>0</v>
      </c>
      <c r="L934" t="n">
        <v>1</v>
      </c>
      <c r="M934" t="n">
        <v>0</v>
      </c>
    </row>
    <row r="935" spans="1:13">
      <c r="A935" s="1">
        <f>HYPERLINK("http://www.twitter.com/NathanBLawrence/status/986939389208158208", "986939389208158208")</f>
        <v/>
      </c>
      <c r="B935" s="2" t="n">
        <v>43209.50533564815</v>
      </c>
      <c r="C935" t="n">
        <v>0</v>
      </c>
      <c r="D935" t="n">
        <v>0</v>
      </c>
      <c r="E935" t="s">
        <v>945</v>
      </c>
      <c r="F935" t="s"/>
      <c r="G935" t="s"/>
      <c r="H935" t="s"/>
      <c r="I935" t="s"/>
      <c r="J935" t="n">
        <v>-0.3724</v>
      </c>
      <c r="K935" t="n">
        <v>0.104</v>
      </c>
      <c r="L935" t="n">
        <v>0.896</v>
      </c>
      <c r="M935" t="n">
        <v>0</v>
      </c>
    </row>
    <row r="936" spans="1:13">
      <c r="A936" s="1">
        <f>HYPERLINK("http://www.twitter.com/NathanBLawrence/status/986667493589692432", "986667493589692432")</f>
        <v/>
      </c>
      <c r="B936" s="2" t="n">
        <v>43208.7550462963</v>
      </c>
      <c r="C936" t="n">
        <v>0</v>
      </c>
      <c r="D936" t="n">
        <v>0</v>
      </c>
      <c r="E936" t="s">
        <v>946</v>
      </c>
      <c r="F936" t="s"/>
      <c r="G936" t="s"/>
      <c r="H936" t="s"/>
      <c r="I936" t="s"/>
      <c r="J936" t="n">
        <v>0.6597</v>
      </c>
      <c r="K936" t="n">
        <v>0</v>
      </c>
      <c r="L936" t="n">
        <v>0.649</v>
      </c>
      <c r="M936" t="n">
        <v>0.351</v>
      </c>
    </row>
    <row r="937" spans="1:13">
      <c r="A937" s="1">
        <f>HYPERLINK("http://www.twitter.com/NathanBLawrence/status/986667107579506695", "986667107579506695")</f>
        <v/>
      </c>
      <c r="B937" s="2" t="n">
        <v>43208.75398148148</v>
      </c>
      <c r="C937" t="n">
        <v>0</v>
      </c>
      <c r="D937" t="n">
        <v>11</v>
      </c>
      <c r="E937" t="s">
        <v>947</v>
      </c>
      <c r="F937" t="s"/>
      <c r="G937" t="s"/>
      <c r="H937" t="s"/>
      <c r="I937" t="s"/>
      <c r="J937" t="n">
        <v>0.2263</v>
      </c>
      <c r="K937" t="n">
        <v>0</v>
      </c>
      <c r="L937" t="n">
        <v>0.899</v>
      </c>
      <c r="M937" t="n">
        <v>0.101</v>
      </c>
    </row>
    <row r="938" spans="1:13">
      <c r="A938" s="1">
        <f>HYPERLINK("http://www.twitter.com/NathanBLawrence/status/986667027380219904", "986667027380219904")</f>
        <v/>
      </c>
      <c r="B938" s="2" t="n">
        <v>43208.75376157407</v>
      </c>
      <c r="C938" t="n">
        <v>0</v>
      </c>
      <c r="D938" t="n">
        <v>229</v>
      </c>
      <c r="E938" t="s">
        <v>948</v>
      </c>
      <c r="F938">
        <f>HYPERLINK("http://pbs.twimg.com/media/DbEmT8zX0AAYdhW.jpg", "http://pbs.twimg.com/media/DbEmT8zX0AAYdhW.jpg")</f>
        <v/>
      </c>
      <c r="G938" t="s"/>
      <c r="H938" t="s"/>
      <c r="I938" t="s"/>
      <c r="J938" t="n">
        <v>-0.7845</v>
      </c>
      <c r="K938" t="n">
        <v>0.231</v>
      </c>
      <c r="L938" t="n">
        <v>0.769</v>
      </c>
      <c r="M938" t="n">
        <v>0</v>
      </c>
    </row>
    <row r="939" spans="1:13">
      <c r="A939" s="1">
        <f>HYPERLINK("http://www.twitter.com/NathanBLawrence/status/986666709103923200", "986666709103923200")</f>
        <v/>
      </c>
      <c r="B939" s="2" t="n">
        <v>43208.75288194444</v>
      </c>
      <c r="C939" t="n">
        <v>0</v>
      </c>
      <c r="D939" t="n">
        <v>277</v>
      </c>
      <c r="E939" t="s">
        <v>949</v>
      </c>
      <c r="F939" t="s"/>
      <c r="G939" t="s"/>
      <c r="H939" t="s"/>
      <c r="I939" t="s"/>
      <c r="J939" t="n">
        <v>-0.5095</v>
      </c>
      <c r="K939" t="n">
        <v>0.148</v>
      </c>
      <c r="L939" t="n">
        <v>0.852</v>
      </c>
      <c r="M939" t="n">
        <v>0</v>
      </c>
    </row>
    <row r="940" spans="1:13">
      <c r="A940" s="1">
        <f>HYPERLINK("http://www.twitter.com/NathanBLawrence/status/986666506783248384", "986666506783248384")</f>
        <v/>
      </c>
      <c r="B940" s="2" t="n">
        <v>43208.75232638889</v>
      </c>
      <c r="C940" t="n">
        <v>0</v>
      </c>
      <c r="D940" t="n">
        <v>11</v>
      </c>
      <c r="E940" t="s">
        <v>950</v>
      </c>
      <c r="F940" t="s"/>
      <c r="G940" t="s"/>
      <c r="H940" t="s"/>
      <c r="I940" t="s"/>
      <c r="J940" t="n">
        <v>-0.0772</v>
      </c>
      <c r="K940" t="n">
        <v>0.058</v>
      </c>
      <c r="L940" t="n">
        <v>0.9419999999999999</v>
      </c>
      <c r="M940" t="n">
        <v>0</v>
      </c>
    </row>
    <row r="941" spans="1:13">
      <c r="A941" s="1">
        <f>HYPERLINK("http://www.twitter.com/NathanBLawrence/status/986666416261730304", "986666416261730304")</f>
        <v/>
      </c>
      <c r="B941" s="2" t="n">
        <v>43208.75207175926</v>
      </c>
      <c r="C941" t="n">
        <v>0</v>
      </c>
      <c r="D941" t="n">
        <v>8</v>
      </c>
      <c r="E941" t="s">
        <v>951</v>
      </c>
      <c r="F941" t="s"/>
      <c r="G941" t="s"/>
      <c r="H941" t="s"/>
      <c r="I941" t="s"/>
      <c r="J941" t="n">
        <v>0.1759</v>
      </c>
      <c r="K941" t="n">
        <v>0.135</v>
      </c>
      <c r="L941" t="n">
        <v>0.655</v>
      </c>
      <c r="M941" t="n">
        <v>0.209</v>
      </c>
    </row>
    <row r="942" spans="1:13">
      <c r="A942" s="1">
        <f>HYPERLINK("http://www.twitter.com/NathanBLawrence/status/986666302285733890", "986666302285733890")</f>
        <v/>
      </c>
      <c r="B942" s="2" t="n">
        <v>43208.75175925926</v>
      </c>
      <c r="C942" t="n">
        <v>0</v>
      </c>
      <c r="D942" t="n">
        <v>0</v>
      </c>
      <c r="E942" t="s">
        <v>952</v>
      </c>
      <c r="F942" t="s"/>
      <c r="G942" t="s"/>
      <c r="H942" t="s"/>
      <c r="I942" t="s"/>
      <c r="J942" t="n">
        <v>0.296</v>
      </c>
      <c r="K942" t="n">
        <v>0</v>
      </c>
      <c r="L942" t="n">
        <v>0.761</v>
      </c>
      <c r="M942" t="n">
        <v>0.239</v>
      </c>
    </row>
    <row r="943" spans="1:13">
      <c r="A943" s="1">
        <f>HYPERLINK("http://www.twitter.com/NathanBLawrence/status/986666110018838534", "986666110018838534")</f>
        <v/>
      </c>
      <c r="B943" s="2" t="n">
        <v>43208.75122685185</v>
      </c>
      <c r="C943" t="n">
        <v>0</v>
      </c>
      <c r="D943" t="n">
        <v>7</v>
      </c>
      <c r="E943" t="s">
        <v>953</v>
      </c>
      <c r="F943" t="s"/>
      <c r="G943" t="s"/>
      <c r="H943" t="s"/>
      <c r="I943" t="s"/>
      <c r="J943" t="n">
        <v>0.5994</v>
      </c>
      <c r="K943" t="n">
        <v>0</v>
      </c>
      <c r="L943" t="n">
        <v>0.786</v>
      </c>
      <c r="M943" t="n">
        <v>0.214</v>
      </c>
    </row>
    <row r="944" spans="1:13">
      <c r="A944" s="1">
        <f>HYPERLINK("http://www.twitter.com/NathanBLawrence/status/986665967521583104", "986665967521583104")</f>
        <v/>
      </c>
      <c r="B944" s="2" t="n">
        <v>43208.75083333333</v>
      </c>
      <c r="C944" t="n">
        <v>0</v>
      </c>
      <c r="D944" t="n">
        <v>1</v>
      </c>
      <c r="E944" t="s">
        <v>954</v>
      </c>
      <c r="F944" t="s"/>
      <c r="G944" t="s"/>
      <c r="H944" t="s"/>
      <c r="I944" t="s"/>
      <c r="J944" t="n">
        <v>0.8270999999999999</v>
      </c>
      <c r="K944" t="n">
        <v>0.137</v>
      </c>
      <c r="L944" t="n">
        <v>0.537</v>
      </c>
      <c r="M944" t="n">
        <v>0.326</v>
      </c>
    </row>
    <row r="945" spans="1:13">
      <c r="A945" s="1">
        <f>HYPERLINK("http://www.twitter.com/NathanBLawrence/status/986665886705692677", "986665886705692677")</f>
        <v/>
      </c>
      <c r="B945" s="2" t="n">
        <v>43208.75061342592</v>
      </c>
      <c r="C945" t="n">
        <v>0</v>
      </c>
      <c r="D945" t="n">
        <v>0</v>
      </c>
      <c r="E945" t="s">
        <v>955</v>
      </c>
      <c r="F945" t="s"/>
      <c r="G945" t="s"/>
      <c r="H945" t="s"/>
      <c r="I945" t="s"/>
      <c r="J945" t="n">
        <v>0</v>
      </c>
      <c r="K945" t="n">
        <v>0</v>
      </c>
      <c r="L945" t="n">
        <v>1</v>
      </c>
      <c r="M945" t="n">
        <v>0</v>
      </c>
    </row>
    <row r="946" spans="1:13">
      <c r="A946" s="1">
        <f>HYPERLINK("http://www.twitter.com/NathanBLawrence/status/986665539278966784", "986665539278966784")</f>
        <v/>
      </c>
      <c r="B946" s="2" t="n">
        <v>43208.74965277778</v>
      </c>
      <c r="C946" t="n">
        <v>0</v>
      </c>
      <c r="D946" t="n">
        <v>6</v>
      </c>
      <c r="E946" t="s">
        <v>956</v>
      </c>
      <c r="F946" t="s"/>
      <c r="G946" t="s"/>
      <c r="H946" t="s"/>
      <c r="I946" t="s"/>
      <c r="J946" t="n">
        <v>0.4215</v>
      </c>
      <c r="K946" t="n">
        <v>0</v>
      </c>
      <c r="L946" t="n">
        <v>0.882</v>
      </c>
      <c r="M946" t="n">
        <v>0.118</v>
      </c>
    </row>
    <row r="947" spans="1:13">
      <c r="A947" s="1">
        <f>HYPERLINK("http://www.twitter.com/NathanBLawrence/status/986665376518942725", "986665376518942725")</f>
        <v/>
      </c>
      <c r="B947" s="2" t="n">
        <v>43208.74920138889</v>
      </c>
      <c r="C947" t="n">
        <v>0</v>
      </c>
      <c r="D947" t="n">
        <v>546</v>
      </c>
      <c r="E947" t="s">
        <v>957</v>
      </c>
      <c r="F947" t="s"/>
      <c r="G947" t="s"/>
      <c r="H947" t="s"/>
      <c r="I947" t="s"/>
      <c r="J947" t="n">
        <v>0.4019</v>
      </c>
      <c r="K947" t="n">
        <v>0</v>
      </c>
      <c r="L947" t="n">
        <v>0.769</v>
      </c>
      <c r="M947" t="n">
        <v>0.231</v>
      </c>
    </row>
    <row r="948" spans="1:13">
      <c r="A948" s="1">
        <f>HYPERLINK("http://www.twitter.com/NathanBLawrence/status/986665327076487169", "986665327076487169")</f>
        <v/>
      </c>
      <c r="B948" s="2" t="n">
        <v>43208.7490625</v>
      </c>
      <c r="C948" t="n">
        <v>1</v>
      </c>
      <c r="D948" t="n">
        <v>1</v>
      </c>
      <c r="E948" t="s">
        <v>958</v>
      </c>
      <c r="F948" t="s"/>
      <c r="G948" t="s"/>
      <c r="H948" t="s"/>
      <c r="I948" t="s"/>
      <c r="J948" t="n">
        <v>-0.5719</v>
      </c>
      <c r="K948" t="n">
        <v>0.207</v>
      </c>
      <c r="L948" t="n">
        <v>0.793</v>
      </c>
      <c r="M948" t="n">
        <v>0</v>
      </c>
    </row>
    <row r="949" spans="1:13">
      <c r="A949" s="1">
        <f>HYPERLINK("http://www.twitter.com/NathanBLawrence/status/986664779182952448", "986664779182952448")</f>
        <v/>
      </c>
      <c r="B949" s="2" t="n">
        <v>43208.74755787037</v>
      </c>
      <c r="C949" t="n">
        <v>0</v>
      </c>
      <c r="D949" t="n">
        <v>7</v>
      </c>
      <c r="E949" t="s">
        <v>959</v>
      </c>
      <c r="F949" t="s"/>
      <c r="G949" t="s"/>
      <c r="H949" t="s"/>
      <c r="I949" t="s"/>
      <c r="J949" t="n">
        <v>0</v>
      </c>
      <c r="K949" t="n">
        <v>0</v>
      </c>
      <c r="L949" t="n">
        <v>1</v>
      </c>
      <c r="M949" t="n">
        <v>0</v>
      </c>
    </row>
    <row r="950" spans="1:13">
      <c r="A950" s="1">
        <f>HYPERLINK("http://www.twitter.com/NathanBLawrence/status/986664611209465857", "986664611209465857")</f>
        <v/>
      </c>
      <c r="B950" s="2" t="n">
        <v>43208.7470949074</v>
      </c>
      <c r="C950" t="n">
        <v>0</v>
      </c>
      <c r="D950" t="n">
        <v>393</v>
      </c>
      <c r="E950" t="s">
        <v>960</v>
      </c>
      <c r="F950" t="s"/>
      <c r="G950" t="s"/>
      <c r="H950" t="s"/>
      <c r="I950" t="s"/>
      <c r="J950" t="n">
        <v>0.358</v>
      </c>
      <c r="K950" t="n">
        <v>0</v>
      </c>
      <c r="L950" t="n">
        <v>0.902</v>
      </c>
      <c r="M950" t="n">
        <v>0.098</v>
      </c>
    </row>
    <row r="951" spans="1:13">
      <c r="A951" s="1">
        <f>HYPERLINK("http://www.twitter.com/NathanBLawrence/status/986664162624450566", "986664162624450566")</f>
        <v/>
      </c>
      <c r="B951" s="2" t="n">
        <v>43208.74585648148</v>
      </c>
      <c r="C951" t="n">
        <v>1</v>
      </c>
      <c r="D951" t="n">
        <v>1</v>
      </c>
      <c r="E951" t="s">
        <v>961</v>
      </c>
      <c r="F951" t="s"/>
      <c r="G951" t="s"/>
      <c r="H951" t="s"/>
      <c r="I951" t="s"/>
      <c r="J951" t="n">
        <v>0.0772</v>
      </c>
      <c r="K951" t="n">
        <v>0</v>
      </c>
      <c r="L951" t="n">
        <v>0.966</v>
      </c>
      <c r="M951" t="n">
        <v>0.034</v>
      </c>
    </row>
    <row r="952" spans="1:13">
      <c r="A952" s="1">
        <f>HYPERLINK("http://www.twitter.com/NathanBLawrence/status/986663503216955393", "986663503216955393")</f>
        <v/>
      </c>
      <c r="B952" s="2" t="n">
        <v>43208.74403935186</v>
      </c>
      <c r="C952" t="n">
        <v>1</v>
      </c>
      <c r="D952" t="n">
        <v>0</v>
      </c>
      <c r="E952" t="s">
        <v>962</v>
      </c>
      <c r="F952" t="s"/>
      <c r="G952" t="s"/>
      <c r="H952" t="s"/>
      <c r="I952" t="s"/>
      <c r="J952" t="n">
        <v>-0.3182</v>
      </c>
      <c r="K952" t="n">
        <v>0.061</v>
      </c>
      <c r="L952" t="n">
        <v>0.907</v>
      </c>
      <c r="M952" t="n">
        <v>0.032</v>
      </c>
    </row>
    <row r="953" spans="1:13">
      <c r="A953" s="1">
        <f>HYPERLINK("http://www.twitter.com/NathanBLawrence/status/986661423311925254", "986661423311925254")</f>
        <v/>
      </c>
      <c r="B953" s="2" t="n">
        <v>43208.73829861111</v>
      </c>
      <c r="C953" t="n">
        <v>0</v>
      </c>
      <c r="D953" t="n">
        <v>7287</v>
      </c>
      <c r="E953" t="s">
        <v>963</v>
      </c>
      <c r="F953" t="s"/>
      <c r="G953" t="s"/>
      <c r="H953" t="s"/>
      <c r="I953" t="s"/>
      <c r="J953" t="n">
        <v>-0.9118000000000001</v>
      </c>
      <c r="K953" t="n">
        <v>0.412</v>
      </c>
      <c r="L953" t="n">
        <v>0.552</v>
      </c>
      <c r="M953" t="n">
        <v>0.036</v>
      </c>
    </row>
    <row r="954" spans="1:13">
      <c r="A954" s="1">
        <f>HYPERLINK("http://www.twitter.com/NathanBLawrence/status/986661358283436039", "986661358283436039")</f>
        <v/>
      </c>
      <c r="B954" s="2" t="n">
        <v>43208.73811342593</v>
      </c>
      <c r="C954" t="n">
        <v>0</v>
      </c>
      <c r="D954" t="n">
        <v>10</v>
      </c>
      <c r="E954" t="s">
        <v>964</v>
      </c>
      <c r="F954" t="s"/>
      <c r="G954" t="s"/>
      <c r="H954" t="s"/>
      <c r="I954" t="s"/>
      <c r="J954" t="n">
        <v>-0.4019</v>
      </c>
      <c r="K954" t="n">
        <v>0.124</v>
      </c>
      <c r="L954" t="n">
        <v>0.876</v>
      </c>
      <c r="M954" t="n">
        <v>0</v>
      </c>
    </row>
    <row r="955" spans="1:13">
      <c r="A955" s="1">
        <f>HYPERLINK("http://www.twitter.com/NathanBLawrence/status/986661251957907456", "986661251957907456")</f>
        <v/>
      </c>
      <c r="B955" s="2" t="n">
        <v>43208.73782407407</v>
      </c>
      <c r="C955" t="n">
        <v>0</v>
      </c>
      <c r="D955" t="n">
        <v>281</v>
      </c>
      <c r="E955" t="s">
        <v>965</v>
      </c>
      <c r="F955">
        <f>HYPERLINK("http://pbs.twimg.com/media/DbCOtoVUwAAz2nQ.jpg", "http://pbs.twimg.com/media/DbCOtoVUwAAz2nQ.jpg")</f>
        <v/>
      </c>
      <c r="G955" t="s"/>
      <c r="H955" t="s"/>
      <c r="I955" t="s"/>
      <c r="J955" t="n">
        <v>0</v>
      </c>
      <c r="K955" t="n">
        <v>0</v>
      </c>
      <c r="L955" t="n">
        <v>1</v>
      </c>
      <c r="M955" t="n">
        <v>0</v>
      </c>
    </row>
    <row r="956" spans="1:13">
      <c r="A956" s="1">
        <f>HYPERLINK("http://www.twitter.com/NathanBLawrence/status/986567261120016384", "986567261120016384")</f>
        <v/>
      </c>
      <c r="B956" s="2" t="n">
        <v>43208.47846064815</v>
      </c>
      <c r="C956" t="n">
        <v>1</v>
      </c>
      <c r="D956" t="n">
        <v>0</v>
      </c>
      <c r="E956" t="s">
        <v>966</v>
      </c>
      <c r="F956" t="s"/>
      <c r="G956" t="s"/>
      <c r="H956" t="s"/>
      <c r="I956" t="s"/>
      <c r="J956" t="n">
        <v>0.296</v>
      </c>
      <c r="K956" t="n">
        <v>0</v>
      </c>
      <c r="L956" t="n">
        <v>0.804</v>
      </c>
      <c r="M956" t="n">
        <v>0.196</v>
      </c>
    </row>
    <row r="957" spans="1:13">
      <c r="A957" s="1">
        <f>HYPERLINK("http://www.twitter.com/NathanBLawrence/status/986566669861572609", "986566669861572609")</f>
        <v/>
      </c>
      <c r="B957" s="2" t="n">
        <v>43208.4768287037</v>
      </c>
      <c r="C957" t="n">
        <v>1</v>
      </c>
      <c r="D957" t="n">
        <v>0</v>
      </c>
      <c r="E957" t="s">
        <v>967</v>
      </c>
      <c r="F957" t="s"/>
      <c r="G957" t="s"/>
      <c r="H957" t="s"/>
      <c r="I957" t="s"/>
      <c r="J957" t="n">
        <v>0</v>
      </c>
      <c r="K957" t="n">
        <v>0</v>
      </c>
      <c r="L957" t="n">
        <v>1</v>
      </c>
      <c r="M957" t="n">
        <v>0</v>
      </c>
    </row>
    <row r="958" spans="1:13">
      <c r="A958" s="1">
        <f>HYPERLINK("http://www.twitter.com/NathanBLawrence/status/986566482669826050", "986566482669826050")</f>
        <v/>
      </c>
      <c r="B958" s="2" t="n">
        <v>43208.47630787037</v>
      </c>
      <c r="C958" t="n">
        <v>1</v>
      </c>
      <c r="D958" t="n">
        <v>0</v>
      </c>
      <c r="E958" t="s">
        <v>968</v>
      </c>
      <c r="F958" t="s"/>
      <c r="G958" t="s"/>
      <c r="H958" t="s"/>
      <c r="I958" t="s"/>
      <c r="J958" t="n">
        <v>0</v>
      </c>
      <c r="K958" t="n">
        <v>0</v>
      </c>
      <c r="L958" t="n">
        <v>1</v>
      </c>
      <c r="M958" t="n">
        <v>0</v>
      </c>
    </row>
    <row r="959" spans="1:13">
      <c r="A959" s="1">
        <f>HYPERLINK("http://www.twitter.com/NathanBLawrence/status/986566278512070656", "986566278512070656")</f>
        <v/>
      </c>
      <c r="B959" s="2" t="n">
        <v>43208.47574074074</v>
      </c>
      <c r="C959" t="n">
        <v>0</v>
      </c>
      <c r="D959" t="n">
        <v>9</v>
      </c>
      <c r="E959" t="s">
        <v>969</v>
      </c>
      <c r="F959" t="s"/>
      <c r="G959" t="s"/>
      <c r="H959" t="s"/>
      <c r="I959" t="s"/>
      <c r="J959" t="n">
        <v>0</v>
      </c>
      <c r="K959" t="n">
        <v>0</v>
      </c>
      <c r="L959" t="n">
        <v>1</v>
      </c>
      <c r="M959" t="n">
        <v>0</v>
      </c>
    </row>
    <row r="960" spans="1:13">
      <c r="A960" s="1">
        <f>HYPERLINK("http://www.twitter.com/NathanBLawrence/status/986565409565495297", "986565409565495297")</f>
        <v/>
      </c>
      <c r="B960" s="2" t="n">
        <v>43208.4733449074</v>
      </c>
      <c r="C960" t="n">
        <v>1</v>
      </c>
      <c r="D960" t="n">
        <v>0</v>
      </c>
      <c r="E960" t="s">
        <v>970</v>
      </c>
      <c r="F960" t="s"/>
      <c r="G960" t="s"/>
      <c r="H960" t="s"/>
      <c r="I960" t="s"/>
      <c r="J960" t="n">
        <v>0.0516</v>
      </c>
      <c r="K960" t="n">
        <v>0.237</v>
      </c>
      <c r="L960" t="n">
        <v>0.464</v>
      </c>
      <c r="M960" t="n">
        <v>0.299</v>
      </c>
    </row>
    <row r="961" spans="1:13">
      <c r="A961" s="1">
        <f>HYPERLINK("http://www.twitter.com/NathanBLawrence/status/986564733942812672", "986564733942812672")</f>
        <v/>
      </c>
      <c r="B961" s="2" t="n">
        <v>43208.47148148148</v>
      </c>
      <c r="C961" t="n">
        <v>0</v>
      </c>
      <c r="D961" t="n">
        <v>7</v>
      </c>
      <c r="E961" t="s">
        <v>971</v>
      </c>
      <c r="F961" t="s"/>
      <c r="G961" t="s"/>
      <c r="H961" t="s"/>
      <c r="I961" t="s"/>
      <c r="J961" t="n">
        <v>-0.0258</v>
      </c>
      <c r="K961" t="n">
        <v>0.19</v>
      </c>
      <c r="L961" t="n">
        <v>0.623</v>
      </c>
      <c r="M961" t="n">
        <v>0.187</v>
      </c>
    </row>
    <row r="962" spans="1:13">
      <c r="A962" s="1">
        <f>HYPERLINK("http://www.twitter.com/NathanBLawrence/status/986564669690318849", "986564669690318849")</f>
        <v/>
      </c>
      <c r="B962" s="2" t="n">
        <v>43208.47130787037</v>
      </c>
      <c r="C962" t="n">
        <v>5</v>
      </c>
      <c r="D962" t="n">
        <v>0</v>
      </c>
      <c r="E962" t="s">
        <v>972</v>
      </c>
      <c r="F962" t="s"/>
      <c r="G962" t="s"/>
      <c r="H962" t="s"/>
      <c r="I962" t="s"/>
      <c r="J962" t="n">
        <v>0.3134</v>
      </c>
      <c r="K962" t="n">
        <v>0.114</v>
      </c>
      <c r="L962" t="n">
        <v>0.653</v>
      </c>
      <c r="M962" t="n">
        <v>0.233</v>
      </c>
    </row>
    <row r="963" spans="1:13">
      <c r="A963" s="1">
        <f>HYPERLINK("http://www.twitter.com/NathanBLawrence/status/986564514022920195", "986564514022920195")</f>
        <v/>
      </c>
      <c r="B963" s="2" t="n">
        <v>43208.47087962963</v>
      </c>
      <c r="C963" t="n">
        <v>1</v>
      </c>
      <c r="D963" t="n">
        <v>1</v>
      </c>
      <c r="E963" t="s">
        <v>973</v>
      </c>
      <c r="F963" t="s"/>
      <c r="G963" t="s"/>
      <c r="H963" t="s"/>
      <c r="I963" t="s"/>
      <c r="J963" t="n">
        <v>0</v>
      </c>
      <c r="K963" t="n">
        <v>0</v>
      </c>
      <c r="L963" t="n">
        <v>1</v>
      </c>
      <c r="M963" t="n">
        <v>0</v>
      </c>
    </row>
    <row r="964" spans="1:13">
      <c r="A964" s="1">
        <f>HYPERLINK("http://www.twitter.com/NathanBLawrence/status/986564028821536770", "986564028821536770")</f>
        <v/>
      </c>
      <c r="B964" s="2" t="n">
        <v>43208.46953703704</v>
      </c>
      <c r="C964" t="n">
        <v>2</v>
      </c>
      <c r="D964" t="n">
        <v>0</v>
      </c>
      <c r="E964" t="s">
        <v>974</v>
      </c>
      <c r="F964" t="s"/>
      <c r="G964" t="s"/>
      <c r="H964" t="s"/>
      <c r="I964" t="s"/>
      <c r="J964" t="n">
        <v>0.5837</v>
      </c>
      <c r="K964" t="n">
        <v>0</v>
      </c>
      <c r="L964" t="n">
        <v>0.514</v>
      </c>
      <c r="M964" t="n">
        <v>0.486</v>
      </c>
    </row>
    <row r="965" spans="1:13">
      <c r="A965" s="1">
        <f>HYPERLINK("http://www.twitter.com/NathanBLawrence/status/986563833958367232", "986563833958367232")</f>
        <v/>
      </c>
      <c r="B965" s="2" t="n">
        <v>43208.46900462963</v>
      </c>
      <c r="C965" t="n">
        <v>0</v>
      </c>
      <c r="D965" t="n">
        <v>30</v>
      </c>
      <c r="E965" t="s">
        <v>975</v>
      </c>
      <c r="F965" t="s"/>
      <c r="G965" t="s"/>
      <c r="H965" t="s"/>
      <c r="I965" t="s"/>
      <c r="J965" t="n">
        <v>-0.386</v>
      </c>
      <c r="K965" t="n">
        <v>0.168</v>
      </c>
      <c r="L965" t="n">
        <v>0.832</v>
      </c>
      <c r="M965" t="n">
        <v>0</v>
      </c>
    </row>
    <row r="966" spans="1:13">
      <c r="A966" s="1">
        <f>HYPERLINK("http://www.twitter.com/NathanBLawrence/status/986562319353344000", "986562319353344000")</f>
        <v/>
      </c>
      <c r="B966" s="2" t="n">
        <v>43208.46482638889</v>
      </c>
      <c r="C966" t="n">
        <v>0</v>
      </c>
      <c r="D966" t="n">
        <v>50</v>
      </c>
      <c r="E966" t="s">
        <v>976</v>
      </c>
      <c r="F966" t="s"/>
      <c r="G966" t="s"/>
      <c r="H966" t="s"/>
      <c r="I966" t="s"/>
      <c r="J966" t="n">
        <v>-0.6758999999999999</v>
      </c>
      <c r="K966" t="n">
        <v>0.316</v>
      </c>
      <c r="L966" t="n">
        <v>0.6840000000000001</v>
      </c>
      <c r="M966" t="n">
        <v>0</v>
      </c>
    </row>
    <row r="967" spans="1:13">
      <c r="A967" s="1">
        <f>HYPERLINK("http://www.twitter.com/NathanBLawrence/status/986561692439113729", "986561692439113729")</f>
        <v/>
      </c>
      <c r="B967" s="2" t="n">
        <v>43208.46309027778</v>
      </c>
      <c r="C967" t="n">
        <v>0</v>
      </c>
      <c r="D967" t="n">
        <v>32</v>
      </c>
      <c r="E967" t="s">
        <v>977</v>
      </c>
      <c r="F967" t="s"/>
      <c r="G967" t="s"/>
      <c r="H967" t="s"/>
      <c r="I967" t="s"/>
      <c r="J967" t="n">
        <v>-0.3612</v>
      </c>
      <c r="K967" t="n">
        <v>0.161</v>
      </c>
      <c r="L967" t="n">
        <v>0.839</v>
      </c>
      <c r="M967" t="n">
        <v>0</v>
      </c>
    </row>
    <row r="968" spans="1:13">
      <c r="A968" s="1">
        <f>HYPERLINK("http://www.twitter.com/NathanBLawrence/status/986559865672826880", "986559865672826880")</f>
        <v/>
      </c>
      <c r="B968" s="2" t="n">
        <v>43208.45805555556</v>
      </c>
      <c r="C968" t="n">
        <v>3</v>
      </c>
      <c r="D968" t="n">
        <v>0</v>
      </c>
      <c r="E968" t="s">
        <v>978</v>
      </c>
      <c r="F968" t="s"/>
      <c r="G968" t="s"/>
      <c r="H968" t="s"/>
      <c r="I968" t="s"/>
      <c r="J968" t="n">
        <v>0.3612</v>
      </c>
      <c r="K968" t="n">
        <v>0</v>
      </c>
      <c r="L968" t="n">
        <v>0.839</v>
      </c>
      <c r="M968" t="n">
        <v>0.161</v>
      </c>
    </row>
    <row r="969" spans="1:13">
      <c r="A969" s="1">
        <f>HYPERLINK("http://www.twitter.com/NathanBLawrence/status/986559061658398720", "986559061658398720")</f>
        <v/>
      </c>
      <c r="B969" s="2" t="n">
        <v>43208.45583333333</v>
      </c>
      <c r="C969" t="n">
        <v>0</v>
      </c>
      <c r="D969" t="n">
        <v>212</v>
      </c>
      <c r="E969" t="s">
        <v>979</v>
      </c>
      <c r="F969">
        <f>HYPERLINK("https://video.twimg.com/amplify_video/986343526446387207/vid/720x720/U_M1iXRIDBXo1oJE.mp4?tag=6", "https://video.twimg.com/amplify_video/986343526446387207/vid/720x720/U_M1iXRIDBXo1oJE.mp4?tag=6")</f>
        <v/>
      </c>
      <c r="G969" t="s"/>
      <c r="H969" t="s"/>
      <c r="I969" t="s"/>
      <c r="J969" t="n">
        <v>0</v>
      </c>
      <c r="K969" t="n">
        <v>0</v>
      </c>
      <c r="L969" t="n">
        <v>1</v>
      </c>
      <c r="M969" t="n">
        <v>0</v>
      </c>
    </row>
    <row r="970" spans="1:13">
      <c r="A970" s="1">
        <f>HYPERLINK("http://www.twitter.com/NathanBLawrence/status/986558901792464897", "986558901792464897")</f>
        <v/>
      </c>
      <c r="B970" s="2" t="n">
        <v>43208.45539351852</v>
      </c>
      <c r="C970" t="n">
        <v>0</v>
      </c>
      <c r="D970" t="n">
        <v>582</v>
      </c>
      <c r="E970" t="s">
        <v>980</v>
      </c>
      <c r="F970" t="s"/>
      <c r="G970" t="s"/>
      <c r="H970" t="s"/>
      <c r="I970" t="s"/>
      <c r="J970" t="n">
        <v>0.2732</v>
      </c>
      <c r="K970" t="n">
        <v>0</v>
      </c>
      <c r="L970" t="n">
        <v>0.9</v>
      </c>
      <c r="M970" t="n">
        <v>0.1</v>
      </c>
    </row>
    <row r="971" spans="1:13">
      <c r="A971" s="1">
        <f>HYPERLINK("http://www.twitter.com/NathanBLawrence/status/986558740613795841", "986558740613795841")</f>
        <v/>
      </c>
      <c r="B971" s="2" t="n">
        <v>43208.45494212963</v>
      </c>
      <c r="C971" t="n">
        <v>0</v>
      </c>
      <c r="D971" t="n">
        <v>5</v>
      </c>
      <c r="E971" t="s">
        <v>981</v>
      </c>
      <c r="F971" t="s"/>
      <c r="G971" t="s"/>
      <c r="H971" t="s"/>
      <c r="I971" t="s"/>
      <c r="J971" t="n">
        <v>0.3382</v>
      </c>
      <c r="K971" t="n">
        <v>0</v>
      </c>
      <c r="L971" t="n">
        <v>0.893</v>
      </c>
      <c r="M971" t="n">
        <v>0.107</v>
      </c>
    </row>
    <row r="972" spans="1:13">
      <c r="A972" s="1">
        <f>HYPERLINK("http://www.twitter.com/NathanBLawrence/status/986557335308038146", "986557335308038146")</f>
        <v/>
      </c>
      <c r="B972" s="2" t="n">
        <v>43208.45106481481</v>
      </c>
      <c r="C972" t="n">
        <v>0</v>
      </c>
      <c r="D972" t="n">
        <v>408</v>
      </c>
      <c r="E972" t="s">
        <v>982</v>
      </c>
      <c r="F972">
        <f>HYPERLINK("http://pbs.twimg.com/media/DbByskrU8AAjVX2.jpg", "http://pbs.twimg.com/media/DbByskrU8AAjVX2.jpg")</f>
        <v/>
      </c>
      <c r="G972" t="s"/>
      <c r="H972" t="s"/>
      <c r="I972" t="s"/>
      <c r="J972" t="n">
        <v>0.1027</v>
      </c>
      <c r="K972" t="n">
        <v>0.093</v>
      </c>
      <c r="L972" t="n">
        <v>0.796</v>
      </c>
      <c r="M972" t="n">
        <v>0.111</v>
      </c>
    </row>
    <row r="973" spans="1:13">
      <c r="A973" s="1">
        <f>HYPERLINK("http://www.twitter.com/NathanBLawrence/status/986556717902237696", "986556717902237696")</f>
        <v/>
      </c>
      <c r="B973" s="2" t="n">
        <v>43208.44936342593</v>
      </c>
      <c r="C973" t="n">
        <v>0</v>
      </c>
      <c r="D973" t="n">
        <v>9</v>
      </c>
      <c r="E973" t="s">
        <v>983</v>
      </c>
      <c r="F973" t="s"/>
      <c r="G973" t="s"/>
      <c r="H973" t="s"/>
      <c r="I973" t="s"/>
      <c r="J973" t="n">
        <v>-0.9013</v>
      </c>
      <c r="K973" t="n">
        <v>0.335</v>
      </c>
      <c r="L973" t="n">
        <v>0.665</v>
      </c>
      <c r="M973" t="n">
        <v>0</v>
      </c>
    </row>
    <row r="974" spans="1:13">
      <c r="A974" s="1">
        <f>HYPERLINK("http://www.twitter.com/NathanBLawrence/status/986556597232177152", "986556597232177152")</f>
        <v/>
      </c>
      <c r="B974" s="2" t="n">
        <v>43208.44902777778</v>
      </c>
      <c r="C974" t="n">
        <v>0</v>
      </c>
      <c r="D974" t="n">
        <v>3</v>
      </c>
      <c r="E974" t="s">
        <v>984</v>
      </c>
      <c r="F974" t="s"/>
      <c r="G974" t="s"/>
      <c r="H974" t="s"/>
      <c r="I974" t="s"/>
      <c r="J974" t="n">
        <v>-0.0056</v>
      </c>
      <c r="K974" t="n">
        <v>0.159</v>
      </c>
      <c r="L974" t="n">
        <v>0.6820000000000001</v>
      </c>
      <c r="M974" t="n">
        <v>0.158</v>
      </c>
    </row>
    <row r="975" spans="1:13">
      <c r="A975" s="1">
        <f>HYPERLINK("http://www.twitter.com/NathanBLawrence/status/986556240737300480", "986556240737300480")</f>
        <v/>
      </c>
      <c r="B975" s="2" t="n">
        <v>43208.44804398148</v>
      </c>
      <c r="C975" t="n">
        <v>0</v>
      </c>
      <c r="D975" t="n">
        <v>2</v>
      </c>
      <c r="E975" t="s">
        <v>985</v>
      </c>
      <c r="F975" t="s"/>
      <c r="G975" t="s"/>
      <c r="H975" t="s"/>
      <c r="I975" t="s"/>
      <c r="J975" t="n">
        <v>-0.1531</v>
      </c>
      <c r="K975" t="n">
        <v>0.138</v>
      </c>
      <c r="L975" t="n">
        <v>0.746</v>
      </c>
      <c r="M975" t="n">
        <v>0.116</v>
      </c>
    </row>
    <row r="976" spans="1:13">
      <c r="A976" s="1">
        <f>HYPERLINK("http://www.twitter.com/NathanBLawrence/status/986555899727708161", "986555899727708161")</f>
        <v/>
      </c>
      <c r="B976" s="2" t="n">
        <v>43208.44710648148</v>
      </c>
      <c r="C976" t="n">
        <v>0</v>
      </c>
      <c r="D976" t="n">
        <v>3</v>
      </c>
      <c r="E976" t="s">
        <v>986</v>
      </c>
      <c r="F976" t="s"/>
      <c r="G976" t="s"/>
      <c r="H976" t="s"/>
      <c r="I976" t="s"/>
      <c r="J976" t="n">
        <v>0.7184</v>
      </c>
      <c r="K976" t="n">
        <v>0.064</v>
      </c>
      <c r="L976" t="n">
        <v>0.642</v>
      </c>
      <c r="M976" t="n">
        <v>0.294</v>
      </c>
    </row>
    <row r="977" spans="1:13">
      <c r="A977" s="1">
        <f>HYPERLINK("http://www.twitter.com/NathanBLawrence/status/986555802889736192", "986555802889736192")</f>
        <v/>
      </c>
      <c r="B977" s="2" t="n">
        <v>43208.44684027778</v>
      </c>
      <c r="C977" t="n">
        <v>0</v>
      </c>
      <c r="D977" t="n">
        <v>34</v>
      </c>
      <c r="E977" t="s">
        <v>987</v>
      </c>
      <c r="F977">
        <f>HYPERLINK("http://pbs.twimg.com/media/DbBBWVOV4AADwxn.jpg", "http://pbs.twimg.com/media/DbBBWVOV4AADwxn.jpg")</f>
        <v/>
      </c>
      <c r="G977">
        <f>HYPERLINK("http://pbs.twimg.com/media/DbBBWWTVQAAcTPD.jpg", "http://pbs.twimg.com/media/DbBBWWTVQAAcTPD.jpg")</f>
        <v/>
      </c>
      <c r="H977">
        <f>HYPERLINK("http://pbs.twimg.com/media/DbBBWVQU8AAIjbp.jpg", "http://pbs.twimg.com/media/DbBBWVQU8AAIjbp.jpg")</f>
        <v/>
      </c>
      <c r="I977">
        <f>HYPERLINK("http://pbs.twimg.com/media/DbBBWWWVMAEPf0k.jpg", "http://pbs.twimg.com/media/DbBBWWWVMAEPf0k.jpg")</f>
        <v/>
      </c>
      <c r="J977" t="n">
        <v>0</v>
      </c>
      <c r="K977" t="n">
        <v>0</v>
      </c>
      <c r="L977" t="n">
        <v>1</v>
      </c>
      <c r="M977" t="n">
        <v>0</v>
      </c>
    </row>
    <row r="978" spans="1:13">
      <c r="A978" s="1">
        <f>HYPERLINK("http://www.twitter.com/NathanBLawrence/status/986555645490024449", "986555645490024449")</f>
        <v/>
      </c>
      <c r="B978" s="2" t="n">
        <v>43208.44640046296</v>
      </c>
      <c r="C978" t="n">
        <v>4</v>
      </c>
      <c r="D978" t="n">
        <v>2</v>
      </c>
      <c r="E978" t="s">
        <v>988</v>
      </c>
      <c r="F978" t="s"/>
      <c r="G978" t="s"/>
      <c r="H978" t="s"/>
      <c r="I978" t="s"/>
      <c r="J978" t="n">
        <v>-0.3612</v>
      </c>
      <c r="K978" t="n">
        <v>0.217</v>
      </c>
      <c r="L978" t="n">
        <v>0.783</v>
      </c>
      <c r="M978" t="n">
        <v>0</v>
      </c>
    </row>
    <row r="979" spans="1:13">
      <c r="A979" s="1">
        <f>HYPERLINK("http://www.twitter.com/NathanBLawrence/status/986555266253639680", "986555266253639680")</f>
        <v/>
      </c>
      <c r="B979" s="2" t="n">
        <v>43208.4453587963</v>
      </c>
      <c r="C979" t="n">
        <v>0</v>
      </c>
      <c r="D979" t="n">
        <v>98</v>
      </c>
      <c r="E979" t="s">
        <v>989</v>
      </c>
      <c r="F979" t="s"/>
      <c r="G979" t="s"/>
      <c r="H979" t="s"/>
      <c r="I979" t="s"/>
      <c r="J979" t="n">
        <v>0</v>
      </c>
      <c r="K979" t="n">
        <v>0</v>
      </c>
      <c r="L979" t="n">
        <v>1</v>
      </c>
      <c r="M979" t="n">
        <v>0</v>
      </c>
    </row>
    <row r="980" spans="1:13">
      <c r="A980" s="1">
        <f>HYPERLINK("http://www.twitter.com/NathanBLawrence/status/986555242102841345", "986555242102841345")</f>
        <v/>
      </c>
      <c r="B980" s="2" t="n">
        <v>43208.44528935185</v>
      </c>
      <c r="C980" t="n">
        <v>0</v>
      </c>
      <c r="D980" t="n">
        <v>82</v>
      </c>
      <c r="E980" t="s">
        <v>990</v>
      </c>
      <c r="F980" t="s"/>
      <c r="G980" t="s"/>
      <c r="H980" t="s"/>
      <c r="I980" t="s"/>
      <c r="J980" t="n">
        <v>0</v>
      </c>
      <c r="K980" t="n">
        <v>0</v>
      </c>
      <c r="L980" t="n">
        <v>1</v>
      </c>
      <c r="M980" t="n">
        <v>0</v>
      </c>
    </row>
    <row r="981" spans="1:13">
      <c r="A981" s="1">
        <f>HYPERLINK("http://www.twitter.com/NathanBLawrence/status/986554724295036928", "986554724295036928")</f>
        <v/>
      </c>
      <c r="B981" s="2" t="n">
        <v>43208.44386574074</v>
      </c>
      <c r="C981" t="n">
        <v>0</v>
      </c>
      <c r="D981" t="n">
        <v>90</v>
      </c>
      <c r="E981" t="s">
        <v>991</v>
      </c>
      <c r="F981" t="s"/>
      <c r="G981" t="s"/>
      <c r="H981" t="s"/>
      <c r="I981" t="s"/>
      <c r="J981" t="n">
        <v>0</v>
      </c>
      <c r="K981" t="n">
        <v>0</v>
      </c>
      <c r="L981" t="n">
        <v>1</v>
      </c>
      <c r="M981" t="n">
        <v>0</v>
      </c>
    </row>
    <row r="982" spans="1:13">
      <c r="A982" s="1">
        <f>HYPERLINK("http://www.twitter.com/NathanBLawrence/status/986554701352185856", "986554701352185856")</f>
        <v/>
      </c>
      <c r="B982" s="2" t="n">
        <v>43208.4437962963</v>
      </c>
      <c r="C982" t="n">
        <v>0</v>
      </c>
      <c r="D982" t="n">
        <v>104</v>
      </c>
      <c r="E982" t="s">
        <v>992</v>
      </c>
      <c r="F982" t="s"/>
      <c r="G982" t="s"/>
      <c r="H982" t="s"/>
      <c r="I982" t="s"/>
      <c r="J982" t="n">
        <v>0</v>
      </c>
      <c r="K982" t="n">
        <v>0</v>
      </c>
      <c r="L982" t="n">
        <v>1</v>
      </c>
      <c r="M982" t="n">
        <v>0</v>
      </c>
    </row>
    <row r="983" spans="1:13">
      <c r="A983" s="1">
        <f>HYPERLINK("http://www.twitter.com/NathanBLawrence/status/986550142844186625", "986550142844186625")</f>
        <v/>
      </c>
      <c r="B983" s="2" t="n">
        <v>43208.43121527778</v>
      </c>
      <c r="C983" t="n">
        <v>0</v>
      </c>
      <c r="D983" t="n">
        <v>0</v>
      </c>
      <c r="E983" t="s">
        <v>993</v>
      </c>
      <c r="F983" t="s"/>
      <c r="G983" t="s"/>
      <c r="H983" t="s"/>
      <c r="I983" t="s"/>
      <c r="J983" t="n">
        <v>0</v>
      </c>
      <c r="K983" t="n">
        <v>0</v>
      </c>
      <c r="L983" t="n">
        <v>1</v>
      </c>
      <c r="M983" t="n">
        <v>0</v>
      </c>
    </row>
    <row r="984" spans="1:13">
      <c r="A984" s="1">
        <f>HYPERLINK("http://www.twitter.com/NathanBLawrence/status/986550062078726144", "986550062078726144")</f>
        <v/>
      </c>
      <c r="B984" s="2" t="n">
        <v>43208.43099537037</v>
      </c>
      <c r="C984" t="n">
        <v>0</v>
      </c>
      <c r="D984" t="n">
        <v>4</v>
      </c>
      <c r="E984" t="s">
        <v>994</v>
      </c>
      <c r="F984" t="s"/>
      <c r="G984" t="s"/>
      <c r="H984" t="s"/>
      <c r="I984" t="s"/>
      <c r="J984" t="n">
        <v>0.632</v>
      </c>
      <c r="K984" t="n">
        <v>0</v>
      </c>
      <c r="L984" t="n">
        <v>0.771</v>
      </c>
      <c r="M984" t="n">
        <v>0.229</v>
      </c>
    </row>
    <row r="985" spans="1:13">
      <c r="A985" s="1">
        <f>HYPERLINK("http://www.twitter.com/NathanBLawrence/status/986550025818865665", "986550025818865665")</f>
        <v/>
      </c>
      <c r="B985" s="2" t="n">
        <v>43208.43090277778</v>
      </c>
      <c r="C985" t="n">
        <v>0</v>
      </c>
      <c r="D985" t="n">
        <v>3</v>
      </c>
      <c r="E985" t="s">
        <v>995</v>
      </c>
      <c r="F985" t="s"/>
      <c r="G985" t="s"/>
      <c r="H985" t="s"/>
      <c r="I985" t="s"/>
      <c r="J985" t="n">
        <v>0</v>
      </c>
      <c r="K985" t="n">
        <v>0</v>
      </c>
      <c r="L985" t="n">
        <v>1</v>
      </c>
      <c r="M985" t="n">
        <v>0</v>
      </c>
    </row>
    <row r="986" spans="1:13">
      <c r="A986" s="1">
        <f>HYPERLINK("http://www.twitter.com/NathanBLawrence/status/986549999671668736", "986549999671668736")</f>
        <v/>
      </c>
      <c r="B986" s="2" t="n">
        <v>43208.43082175926</v>
      </c>
      <c r="C986" t="n">
        <v>0</v>
      </c>
      <c r="D986" t="n">
        <v>5</v>
      </c>
      <c r="E986" t="s">
        <v>996</v>
      </c>
      <c r="F986" t="s"/>
      <c r="G986" t="s"/>
      <c r="H986" t="s"/>
      <c r="I986" t="s"/>
      <c r="J986" t="n">
        <v>0.5562</v>
      </c>
      <c r="K986" t="n">
        <v>0</v>
      </c>
      <c r="L986" t="n">
        <v>0.715</v>
      </c>
      <c r="M986" t="n">
        <v>0.285</v>
      </c>
    </row>
    <row r="987" spans="1:13">
      <c r="A987" s="1">
        <f>HYPERLINK("http://www.twitter.com/NathanBLawrence/status/986549978695954433", "986549978695954433")</f>
        <v/>
      </c>
      <c r="B987" s="2" t="n">
        <v>43208.43076388889</v>
      </c>
      <c r="C987" t="n">
        <v>0</v>
      </c>
      <c r="D987" t="n">
        <v>3</v>
      </c>
      <c r="E987" t="s">
        <v>997</v>
      </c>
      <c r="F987" t="s"/>
      <c r="G987" t="s"/>
      <c r="H987" t="s"/>
      <c r="I987" t="s"/>
      <c r="J987" t="n">
        <v>0.4199</v>
      </c>
      <c r="K987" t="n">
        <v>0</v>
      </c>
      <c r="L987" t="n">
        <v>0.741</v>
      </c>
      <c r="M987" t="n">
        <v>0.259</v>
      </c>
    </row>
    <row r="988" spans="1:13">
      <c r="A988" s="1">
        <f>HYPERLINK("http://www.twitter.com/NathanBLawrence/status/986549962002649089", "986549962002649089")</f>
        <v/>
      </c>
      <c r="B988" s="2" t="n">
        <v>43208.43071759259</v>
      </c>
      <c r="C988" t="n">
        <v>0</v>
      </c>
      <c r="D988" t="n">
        <v>4</v>
      </c>
      <c r="E988" t="s">
        <v>998</v>
      </c>
      <c r="F988" t="s"/>
      <c r="G988" t="s"/>
      <c r="H988" t="s"/>
      <c r="I988" t="s"/>
      <c r="J988" t="n">
        <v>-0.4199</v>
      </c>
      <c r="K988" t="n">
        <v>0.318</v>
      </c>
      <c r="L988" t="n">
        <v>0.6820000000000001</v>
      </c>
      <c r="M988" t="n">
        <v>0</v>
      </c>
    </row>
    <row r="989" spans="1:13">
      <c r="A989" s="1">
        <f>HYPERLINK("http://www.twitter.com/NathanBLawrence/status/986549893501194241", "986549893501194241")</f>
        <v/>
      </c>
      <c r="B989" s="2" t="n">
        <v>43208.43053240741</v>
      </c>
      <c r="C989" t="n">
        <v>0</v>
      </c>
      <c r="D989" t="n">
        <v>2</v>
      </c>
      <c r="E989" t="s">
        <v>999</v>
      </c>
      <c r="F989" t="s"/>
      <c r="G989" t="s"/>
      <c r="H989" t="s"/>
      <c r="I989" t="s"/>
      <c r="J989" t="n">
        <v>0.6249</v>
      </c>
      <c r="K989" t="n">
        <v>0</v>
      </c>
      <c r="L989" t="n">
        <v>0.746</v>
      </c>
      <c r="M989" t="n">
        <v>0.254</v>
      </c>
    </row>
    <row r="990" spans="1:13">
      <c r="A990" s="1">
        <f>HYPERLINK("http://www.twitter.com/NathanBLawrence/status/986549331980443649", "986549331980443649")</f>
        <v/>
      </c>
      <c r="B990" s="2" t="n">
        <v>43208.42898148148</v>
      </c>
      <c r="C990" t="n">
        <v>1</v>
      </c>
      <c r="D990" t="n">
        <v>0</v>
      </c>
      <c r="E990" t="s">
        <v>1000</v>
      </c>
      <c r="F990" t="s"/>
      <c r="G990" t="s"/>
      <c r="H990" t="s"/>
      <c r="I990" t="s"/>
      <c r="J990" t="n">
        <v>0.6792</v>
      </c>
      <c r="K990" t="n">
        <v>0</v>
      </c>
      <c r="L990" t="n">
        <v>0.522</v>
      </c>
      <c r="M990" t="n">
        <v>0.478</v>
      </c>
    </row>
    <row r="991" spans="1:13">
      <c r="A991" s="1">
        <f>HYPERLINK("http://www.twitter.com/NathanBLawrence/status/986549243140812800", "986549243140812800")</f>
        <v/>
      </c>
      <c r="B991" s="2" t="n">
        <v>43208.42873842592</v>
      </c>
      <c r="C991" t="n">
        <v>0</v>
      </c>
      <c r="D991" t="n">
        <v>6</v>
      </c>
      <c r="E991" t="s">
        <v>1001</v>
      </c>
      <c r="F991" t="s"/>
      <c r="G991" t="s"/>
      <c r="H991" t="s"/>
      <c r="I991" t="s"/>
      <c r="J991" t="n">
        <v>0</v>
      </c>
      <c r="K991" t="n">
        <v>0</v>
      </c>
      <c r="L991" t="n">
        <v>1</v>
      </c>
      <c r="M991" t="n">
        <v>0</v>
      </c>
    </row>
    <row r="992" spans="1:13">
      <c r="A992" s="1">
        <f>HYPERLINK("http://www.twitter.com/NathanBLawrence/status/986548840496058379", "986548840496058379")</f>
        <v/>
      </c>
      <c r="B992" s="2" t="n">
        <v>43208.42762731481</v>
      </c>
      <c r="C992" t="n">
        <v>0</v>
      </c>
      <c r="D992" t="n">
        <v>8</v>
      </c>
      <c r="E992" t="s">
        <v>1002</v>
      </c>
      <c r="F992" t="s"/>
      <c r="G992" t="s"/>
      <c r="H992" t="s"/>
      <c r="I992" t="s"/>
      <c r="J992" t="n">
        <v>0.7964</v>
      </c>
      <c r="K992" t="n">
        <v>0</v>
      </c>
      <c r="L992" t="n">
        <v>0.712</v>
      </c>
      <c r="M992" t="n">
        <v>0.288</v>
      </c>
    </row>
    <row r="993" spans="1:13">
      <c r="A993" s="1">
        <f>HYPERLINK("http://www.twitter.com/NathanBLawrence/status/986548766013558794", "986548766013558794")</f>
        <v/>
      </c>
      <c r="B993" s="2" t="n">
        <v>43208.42741898148</v>
      </c>
      <c r="C993" t="n">
        <v>0</v>
      </c>
      <c r="D993" t="n">
        <v>2</v>
      </c>
      <c r="E993" t="s">
        <v>1003</v>
      </c>
      <c r="F993" t="s"/>
      <c r="G993" t="s"/>
      <c r="H993" t="s"/>
      <c r="I993" t="s"/>
      <c r="J993" t="n">
        <v>-0.4767</v>
      </c>
      <c r="K993" t="n">
        <v>0.256</v>
      </c>
      <c r="L993" t="n">
        <v>0.744</v>
      </c>
      <c r="M993" t="n">
        <v>0</v>
      </c>
    </row>
    <row r="994" spans="1:13">
      <c r="A994" s="1">
        <f>HYPERLINK("http://www.twitter.com/NathanBLawrence/status/986548533322043392", "986548533322043392")</f>
        <v/>
      </c>
      <c r="B994" s="2" t="n">
        <v>43208.4267824074</v>
      </c>
      <c r="C994" t="n">
        <v>0</v>
      </c>
      <c r="D994" t="n">
        <v>9</v>
      </c>
      <c r="E994" t="s">
        <v>1004</v>
      </c>
      <c r="F994" t="s"/>
      <c r="G994" t="s"/>
      <c r="H994" t="s"/>
      <c r="I994" t="s"/>
      <c r="J994" t="n">
        <v>0.7717000000000001</v>
      </c>
      <c r="K994" t="n">
        <v>0</v>
      </c>
      <c r="L994" t="n">
        <v>0.6909999999999999</v>
      </c>
      <c r="M994" t="n">
        <v>0.309</v>
      </c>
    </row>
    <row r="995" spans="1:13">
      <c r="A995" s="1">
        <f>HYPERLINK("http://www.twitter.com/NathanBLawrence/status/986548443169640448", "986548443169640448")</f>
        <v/>
      </c>
      <c r="B995" s="2" t="n">
        <v>43208.42652777778</v>
      </c>
      <c r="C995" t="n">
        <v>0</v>
      </c>
      <c r="D995" t="n">
        <v>8</v>
      </c>
      <c r="E995" t="s">
        <v>1005</v>
      </c>
      <c r="F995" t="s"/>
      <c r="G995" t="s"/>
      <c r="H995" t="s"/>
      <c r="I995" t="s"/>
      <c r="J995" t="n">
        <v>0.9098000000000001</v>
      </c>
      <c r="K995" t="n">
        <v>0</v>
      </c>
      <c r="L995" t="n">
        <v>0.597</v>
      </c>
      <c r="M995" t="n">
        <v>0.403</v>
      </c>
    </row>
    <row r="996" spans="1:13">
      <c r="A996" s="1">
        <f>HYPERLINK("http://www.twitter.com/NathanBLawrence/status/986548381521768448", "986548381521768448")</f>
        <v/>
      </c>
      <c r="B996" s="2" t="n">
        <v>43208.42635416667</v>
      </c>
      <c r="C996" t="n">
        <v>0</v>
      </c>
      <c r="D996" t="n">
        <v>2</v>
      </c>
      <c r="E996" t="s">
        <v>1006</v>
      </c>
      <c r="F996" t="s"/>
      <c r="G996" t="s"/>
      <c r="H996" t="s"/>
      <c r="I996" t="s"/>
      <c r="J996" t="n">
        <v>-0.296</v>
      </c>
      <c r="K996" t="n">
        <v>0.121</v>
      </c>
      <c r="L996" t="n">
        <v>0.879</v>
      </c>
      <c r="M996" t="n">
        <v>0</v>
      </c>
    </row>
    <row r="997" spans="1:13">
      <c r="A997" s="1">
        <f>HYPERLINK("http://www.twitter.com/NathanBLawrence/status/986548340065259521", "986548340065259521")</f>
        <v/>
      </c>
      <c r="B997" s="2" t="n">
        <v>43208.42625</v>
      </c>
      <c r="C997" t="n">
        <v>0</v>
      </c>
      <c r="D997" t="n">
        <v>0</v>
      </c>
      <c r="E997" t="s">
        <v>1007</v>
      </c>
      <c r="F997" t="s"/>
      <c r="G997" t="s"/>
      <c r="H997" t="s"/>
      <c r="I997" t="s"/>
      <c r="J997" t="n">
        <v>0</v>
      </c>
      <c r="K997" t="n">
        <v>0</v>
      </c>
      <c r="L997" t="n">
        <v>1</v>
      </c>
      <c r="M997" t="n">
        <v>0</v>
      </c>
    </row>
    <row r="998" spans="1:13">
      <c r="A998" s="1">
        <f>HYPERLINK("http://www.twitter.com/NathanBLawrence/status/986548075417268225", "986548075417268225")</f>
        <v/>
      </c>
      <c r="B998" s="2" t="n">
        <v>43208.42552083333</v>
      </c>
      <c r="C998" t="n">
        <v>0</v>
      </c>
      <c r="D998" t="n">
        <v>0</v>
      </c>
      <c r="E998" t="s">
        <v>1008</v>
      </c>
      <c r="F998" t="s"/>
      <c r="G998" t="s"/>
      <c r="H998" t="s"/>
      <c r="I998" t="s"/>
      <c r="J998" t="n">
        <v>0</v>
      </c>
      <c r="K998" t="n">
        <v>0</v>
      </c>
      <c r="L998" t="n">
        <v>1</v>
      </c>
      <c r="M998" t="n">
        <v>0</v>
      </c>
    </row>
    <row r="999" spans="1:13">
      <c r="A999" s="1">
        <f>HYPERLINK("http://www.twitter.com/NathanBLawrence/status/986548045826445312", "986548045826445312")</f>
        <v/>
      </c>
      <c r="B999" s="2" t="n">
        <v>43208.42542824074</v>
      </c>
      <c r="C999" t="n">
        <v>0</v>
      </c>
      <c r="D999" t="n">
        <v>6</v>
      </c>
      <c r="E999" t="s">
        <v>1009</v>
      </c>
      <c r="F999" t="s"/>
      <c r="G999" t="s"/>
      <c r="H999" t="s"/>
      <c r="I999" t="s"/>
      <c r="J999" t="n">
        <v>-0.4939</v>
      </c>
      <c r="K999" t="n">
        <v>0.233</v>
      </c>
      <c r="L999" t="n">
        <v>0.667</v>
      </c>
      <c r="M999" t="n">
        <v>0.1</v>
      </c>
    </row>
    <row r="1000" spans="1:13">
      <c r="A1000" s="1">
        <f>HYPERLINK("http://www.twitter.com/NathanBLawrence/status/986547795627794432", "986547795627794432")</f>
        <v/>
      </c>
      <c r="B1000" s="2" t="n">
        <v>43208.42474537037</v>
      </c>
      <c r="C1000" t="n">
        <v>0</v>
      </c>
      <c r="D1000" t="n">
        <v>4</v>
      </c>
      <c r="E1000" t="s">
        <v>1010</v>
      </c>
      <c r="F1000" t="s"/>
      <c r="G1000" t="s"/>
      <c r="H1000" t="s"/>
      <c r="I1000" t="s"/>
      <c r="J1000" t="n">
        <v>-0.6369</v>
      </c>
      <c r="K1000" t="n">
        <v>0.51</v>
      </c>
      <c r="L1000" t="n">
        <v>0.49</v>
      </c>
      <c r="M1000" t="n">
        <v>0</v>
      </c>
    </row>
    <row r="1001" spans="1:13">
      <c r="A1001" s="1">
        <f>HYPERLINK("http://www.twitter.com/NathanBLawrence/status/986547749498826752", "986547749498826752")</f>
        <v/>
      </c>
      <c r="B1001" s="2" t="n">
        <v>43208.42461805556</v>
      </c>
      <c r="C1001" t="n">
        <v>0</v>
      </c>
      <c r="D1001" t="n">
        <v>6</v>
      </c>
      <c r="E1001" t="s">
        <v>1011</v>
      </c>
      <c r="F1001" t="s"/>
      <c r="G1001" t="s"/>
      <c r="H1001" t="s"/>
      <c r="I1001" t="s"/>
      <c r="J1001" t="n">
        <v>-0.2023</v>
      </c>
      <c r="K1001" t="n">
        <v>0.125</v>
      </c>
      <c r="L1001" t="n">
        <v>0.781</v>
      </c>
      <c r="M1001" t="n">
        <v>0.094</v>
      </c>
    </row>
    <row r="1002" spans="1:13">
      <c r="A1002" s="1">
        <f>HYPERLINK("http://www.twitter.com/NathanBLawrence/status/986547675557515264", "986547675557515264")</f>
        <v/>
      </c>
      <c r="B1002" s="2" t="n">
        <v>43208.42440972223</v>
      </c>
      <c r="C1002" t="n">
        <v>0</v>
      </c>
      <c r="D1002" t="n">
        <v>5</v>
      </c>
      <c r="E1002" t="s">
        <v>1012</v>
      </c>
      <c r="F1002" t="s"/>
      <c r="G1002" t="s"/>
      <c r="H1002" t="s"/>
      <c r="I1002" t="s"/>
      <c r="J1002" t="n">
        <v>-0.6369</v>
      </c>
      <c r="K1002" t="n">
        <v>0.245</v>
      </c>
      <c r="L1002" t="n">
        <v>0.755</v>
      </c>
      <c r="M1002" t="n">
        <v>0</v>
      </c>
    </row>
    <row r="1003" spans="1:13">
      <c r="A1003" s="1">
        <f>HYPERLINK("http://www.twitter.com/NathanBLawrence/status/986547617575337984", "986547617575337984")</f>
        <v/>
      </c>
      <c r="B1003" s="2" t="n">
        <v>43208.42424768519</v>
      </c>
      <c r="C1003" t="n">
        <v>0</v>
      </c>
      <c r="D1003" t="n">
        <v>2</v>
      </c>
      <c r="E1003" t="s">
        <v>1013</v>
      </c>
      <c r="F1003" t="s"/>
      <c r="G1003" t="s"/>
      <c r="H1003" t="s"/>
      <c r="I1003" t="s"/>
      <c r="J1003" t="n">
        <v>0</v>
      </c>
      <c r="K1003" t="n">
        <v>0</v>
      </c>
      <c r="L1003" t="n">
        <v>1</v>
      </c>
      <c r="M1003" t="n">
        <v>0</v>
      </c>
    </row>
    <row r="1004" spans="1:13">
      <c r="A1004" s="1">
        <f>HYPERLINK("http://www.twitter.com/NathanBLawrence/status/986547478626557952", "986547478626557952")</f>
        <v/>
      </c>
      <c r="B1004" s="2" t="n">
        <v>43208.42386574074</v>
      </c>
      <c r="C1004" t="n">
        <v>0</v>
      </c>
      <c r="D1004" t="n">
        <v>0</v>
      </c>
      <c r="E1004" t="s">
        <v>1014</v>
      </c>
      <c r="F1004" t="s"/>
      <c r="G1004" t="s"/>
      <c r="H1004" t="s"/>
      <c r="I1004" t="s"/>
      <c r="J1004" t="n">
        <v>0.2617</v>
      </c>
      <c r="K1004" t="n">
        <v>0.052</v>
      </c>
      <c r="L1004" t="n">
        <v>0.895</v>
      </c>
      <c r="M1004" t="n">
        <v>0.053</v>
      </c>
    </row>
    <row r="1005" spans="1:13">
      <c r="A1005" s="1">
        <f>HYPERLINK("http://www.twitter.com/NathanBLawrence/status/986546387755073539", "986546387755073539")</f>
        <v/>
      </c>
      <c r="B1005" s="2" t="n">
        <v>43208.42085648148</v>
      </c>
      <c r="C1005" t="n">
        <v>0</v>
      </c>
      <c r="D1005" t="n">
        <v>1</v>
      </c>
      <c r="E1005" t="s">
        <v>1015</v>
      </c>
      <c r="F1005" t="s"/>
      <c r="G1005" t="s"/>
      <c r="H1005" t="s"/>
      <c r="I1005" t="s"/>
      <c r="J1005" t="n">
        <v>-0.2732</v>
      </c>
      <c r="K1005" t="n">
        <v>0.08699999999999999</v>
      </c>
      <c r="L1005" t="n">
        <v>0.913</v>
      </c>
      <c r="M1005" t="n">
        <v>0</v>
      </c>
    </row>
    <row r="1006" spans="1:13">
      <c r="A1006" s="1">
        <f>HYPERLINK("http://www.twitter.com/NathanBLawrence/status/986546351839305733", "986546351839305733")</f>
        <v/>
      </c>
      <c r="B1006" s="2" t="n">
        <v>43208.42076388889</v>
      </c>
      <c r="C1006" t="n">
        <v>0</v>
      </c>
      <c r="D1006" t="n">
        <v>2</v>
      </c>
      <c r="E1006" t="s">
        <v>1016</v>
      </c>
      <c r="F1006" t="s"/>
      <c r="G1006" t="s"/>
      <c r="H1006" t="s"/>
      <c r="I1006" t="s"/>
      <c r="J1006" t="n">
        <v>-0.6705</v>
      </c>
      <c r="K1006" t="n">
        <v>0.317</v>
      </c>
      <c r="L1006" t="n">
        <v>0.6830000000000001</v>
      </c>
      <c r="M1006" t="n">
        <v>0</v>
      </c>
    </row>
    <row r="1007" spans="1:13">
      <c r="A1007" s="1">
        <f>HYPERLINK("http://www.twitter.com/NathanBLawrence/status/986546272998952960", "986546272998952960")</f>
        <v/>
      </c>
      <c r="B1007" s="2" t="n">
        <v>43208.42054398148</v>
      </c>
      <c r="C1007" t="n">
        <v>0</v>
      </c>
      <c r="D1007" t="n">
        <v>6</v>
      </c>
      <c r="E1007" t="s">
        <v>1017</v>
      </c>
      <c r="F1007" t="s"/>
      <c r="G1007" t="s"/>
      <c r="H1007" t="s"/>
      <c r="I1007" t="s"/>
      <c r="J1007" t="n">
        <v>0</v>
      </c>
      <c r="K1007" t="n">
        <v>0</v>
      </c>
      <c r="L1007" t="n">
        <v>1</v>
      </c>
      <c r="M1007" t="n">
        <v>0</v>
      </c>
    </row>
    <row r="1008" spans="1:13">
      <c r="A1008" s="1">
        <f>HYPERLINK("http://www.twitter.com/NathanBLawrence/status/986546208964562944", "986546208964562944")</f>
        <v/>
      </c>
      <c r="B1008" s="2" t="n">
        <v>43208.42037037037</v>
      </c>
      <c r="C1008" t="n">
        <v>0</v>
      </c>
      <c r="D1008" t="n">
        <v>10</v>
      </c>
      <c r="E1008" t="s">
        <v>1018</v>
      </c>
      <c r="F1008">
        <f>HYPERLINK("http://pbs.twimg.com/media/DbBxVBoV4AEdfvH.jpg", "http://pbs.twimg.com/media/DbBxVBoV4AEdfvH.jpg")</f>
        <v/>
      </c>
      <c r="G1008" t="s"/>
      <c r="H1008" t="s"/>
      <c r="I1008" t="s"/>
      <c r="J1008" t="n">
        <v>0</v>
      </c>
      <c r="K1008" t="n">
        <v>0</v>
      </c>
      <c r="L1008" t="n">
        <v>1</v>
      </c>
      <c r="M1008" t="n">
        <v>0</v>
      </c>
    </row>
    <row r="1009" spans="1:13">
      <c r="A1009" s="1">
        <f>HYPERLINK("http://www.twitter.com/NathanBLawrence/status/986545493302968320", "986545493302968320")</f>
        <v/>
      </c>
      <c r="B1009" s="2" t="n">
        <v>43208.4183912037</v>
      </c>
      <c r="C1009" t="n">
        <v>0</v>
      </c>
      <c r="D1009" t="n">
        <v>9</v>
      </c>
      <c r="E1009" t="s">
        <v>1018</v>
      </c>
      <c r="F1009" t="s"/>
      <c r="G1009" t="s"/>
      <c r="H1009" t="s"/>
      <c r="I1009" t="s"/>
      <c r="J1009" t="n">
        <v>0</v>
      </c>
      <c r="K1009" t="n">
        <v>0</v>
      </c>
      <c r="L1009" t="n">
        <v>1</v>
      </c>
      <c r="M1009" t="n">
        <v>0</v>
      </c>
    </row>
    <row r="1010" spans="1:13">
      <c r="A1010" s="1">
        <f>HYPERLINK("http://www.twitter.com/NathanBLawrence/status/986545221910573056", "986545221910573056")</f>
        <v/>
      </c>
      <c r="B1010" s="2" t="n">
        <v>43208.41763888889</v>
      </c>
      <c r="C1010" t="n">
        <v>0</v>
      </c>
      <c r="D1010" t="n">
        <v>11</v>
      </c>
      <c r="E1010" t="s">
        <v>1019</v>
      </c>
      <c r="F1010" t="s"/>
      <c r="G1010" t="s"/>
      <c r="H1010" t="s"/>
      <c r="I1010" t="s"/>
      <c r="J1010" t="n">
        <v>0</v>
      </c>
      <c r="K1010" t="n">
        <v>0</v>
      </c>
      <c r="L1010" t="n">
        <v>1</v>
      </c>
      <c r="M1010" t="n">
        <v>0</v>
      </c>
    </row>
    <row r="1011" spans="1:13">
      <c r="A1011" s="1">
        <f>HYPERLINK("http://www.twitter.com/NathanBLawrence/status/986545023197032448", "986545023197032448")</f>
        <v/>
      </c>
      <c r="B1011" s="2" t="n">
        <v>43208.41709490741</v>
      </c>
      <c r="C1011" t="n">
        <v>0</v>
      </c>
      <c r="D1011" t="n">
        <v>12</v>
      </c>
      <c r="E1011" t="s">
        <v>1020</v>
      </c>
      <c r="F1011">
        <f>HYPERLINK("http://pbs.twimg.com/media/DbBrhMHVMAAfSrT.jpg", "http://pbs.twimg.com/media/DbBrhMHVMAAfSrT.jpg")</f>
        <v/>
      </c>
      <c r="G1011" t="s"/>
      <c r="H1011" t="s"/>
      <c r="I1011" t="s"/>
      <c r="J1011" t="n">
        <v>-0.6778</v>
      </c>
      <c r="K1011" t="n">
        <v>0.247</v>
      </c>
      <c r="L1011" t="n">
        <v>0.753</v>
      </c>
      <c r="M1011" t="n">
        <v>0</v>
      </c>
    </row>
    <row r="1012" spans="1:13">
      <c r="A1012" s="1">
        <f>HYPERLINK("http://www.twitter.com/NathanBLawrence/status/986544965529538560", "986544965529538560")</f>
        <v/>
      </c>
      <c r="B1012" s="2" t="n">
        <v>43208.41693287037</v>
      </c>
      <c r="C1012" t="n">
        <v>0</v>
      </c>
      <c r="D1012" t="n">
        <v>571</v>
      </c>
      <c r="E1012" t="s">
        <v>1021</v>
      </c>
      <c r="F1012" t="s"/>
      <c r="G1012" t="s"/>
      <c r="H1012" t="s"/>
      <c r="I1012" t="s"/>
      <c r="J1012" t="n">
        <v>0.2001</v>
      </c>
      <c r="K1012" t="n">
        <v>0</v>
      </c>
      <c r="L1012" t="n">
        <v>0.883</v>
      </c>
      <c r="M1012" t="n">
        <v>0.117</v>
      </c>
    </row>
    <row r="1013" spans="1:13">
      <c r="A1013" s="1">
        <f>HYPERLINK("http://www.twitter.com/NathanBLawrence/status/986544889595822080", "986544889595822080")</f>
        <v/>
      </c>
      <c r="B1013" s="2" t="n">
        <v>43208.41672453703</v>
      </c>
      <c r="C1013" t="n">
        <v>0</v>
      </c>
      <c r="D1013" t="n">
        <v>6</v>
      </c>
      <c r="E1013" t="s">
        <v>1022</v>
      </c>
      <c r="F1013" t="s"/>
      <c r="G1013" t="s"/>
      <c r="H1013" t="s"/>
      <c r="I1013" t="s"/>
      <c r="J1013" t="n">
        <v>-0.2732</v>
      </c>
      <c r="K1013" t="n">
        <v>0.158</v>
      </c>
      <c r="L1013" t="n">
        <v>0.756</v>
      </c>
      <c r="M1013" t="n">
        <v>0.08599999999999999</v>
      </c>
    </row>
    <row r="1014" spans="1:13">
      <c r="A1014" s="1">
        <f>HYPERLINK("http://www.twitter.com/NathanBLawrence/status/986544517926080513", "986544517926080513")</f>
        <v/>
      </c>
      <c r="B1014" s="2" t="n">
        <v>43208.41569444445</v>
      </c>
      <c r="C1014" t="n">
        <v>1</v>
      </c>
      <c r="D1014" t="n">
        <v>1</v>
      </c>
      <c r="E1014" t="s">
        <v>1023</v>
      </c>
      <c r="F1014" t="s"/>
      <c r="G1014" t="s"/>
      <c r="H1014" t="s"/>
      <c r="I1014" t="s"/>
      <c r="J1014" t="n">
        <v>-0.34</v>
      </c>
      <c r="K1014" t="n">
        <v>0.082</v>
      </c>
      <c r="L1014" t="n">
        <v>0.918</v>
      </c>
      <c r="M1014" t="n">
        <v>0</v>
      </c>
    </row>
    <row r="1015" spans="1:13">
      <c r="A1015" s="1">
        <f>HYPERLINK("http://www.twitter.com/NathanBLawrence/status/986543325049229314", "986543325049229314")</f>
        <v/>
      </c>
      <c r="B1015" s="2" t="n">
        <v>43208.41240740741</v>
      </c>
      <c r="C1015" t="n">
        <v>0</v>
      </c>
      <c r="D1015" t="n">
        <v>4</v>
      </c>
      <c r="E1015" t="s">
        <v>1024</v>
      </c>
      <c r="F1015" t="s"/>
      <c r="G1015" t="s"/>
      <c r="H1015" t="s"/>
      <c r="I1015" t="s"/>
      <c r="J1015" t="n">
        <v>-0.296</v>
      </c>
      <c r="K1015" t="n">
        <v>0.147</v>
      </c>
      <c r="L1015" t="n">
        <v>0.754</v>
      </c>
      <c r="M1015" t="n">
        <v>0.099</v>
      </c>
    </row>
    <row r="1016" spans="1:13">
      <c r="A1016" s="1">
        <f>HYPERLINK("http://www.twitter.com/NathanBLawrence/status/986543204626509825", "986543204626509825")</f>
        <v/>
      </c>
      <c r="B1016" s="2" t="n">
        <v>43208.41207175926</v>
      </c>
      <c r="C1016" t="n">
        <v>0</v>
      </c>
      <c r="D1016" t="n">
        <v>4</v>
      </c>
      <c r="E1016" t="s">
        <v>1025</v>
      </c>
      <c r="F1016" t="s"/>
      <c r="G1016" t="s"/>
      <c r="H1016" t="s"/>
      <c r="I1016" t="s"/>
      <c r="J1016" t="n">
        <v>-0.1779</v>
      </c>
      <c r="K1016" t="n">
        <v>0.13</v>
      </c>
      <c r="L1016" t="n">
        <v>0.769</v>
      </c>
      <c r="M1016" t="n">
        <v>0.101</v>
      </c>
    </row>
    <row r="1017" spans="1:13">
      <c r="A1017" s="1">
        <f>HYPERLINK("http://www.twitter.com/NathanBLawrence/status/986459637171056641", "986459637171056641")</f>
        <v/>
      </c>
      <c r="B1017" s="2" t="n">
        <v>43208.18146990741</v>
      </c>
      <c r="C1017" t="n">
        <v>0</v>
      </c>
      <c r="D1017" t="n">
        <v>0</v>
      </c>
      <c r="E1017" t="s">
        <v>1026</v>
      </c>
      <c r="F1017" t="s"/>
      <c r="G1017" t="s"/>
      <c r="H1017" t="s"/>
      <c r="I1017" t="s"/>
      <c r="J1017" t="n">
        <v>0</v>
      </c>
      <c r="K1017" t="n">
        <v>0</v>
      </c>
      <c r="L1017" t="n">
        <v>1</v>
      </c>
      <c r="M1017" t="n">
        <v>0</v>
      </c>
    </row>
    <row r="1018" spans="1:13">
      <c r="A1018" s="1">
        <f>HYPERLINK("http://www.twitter.com/NathanBLawrence/status/986456095773396993", "986456095773396993")</f>
        <v/>
      </c>
      <c r="B1018" s="2" t="n">
        <v>43208.17170138889</v>
      </c>
      <c r="C1018" t="n">
        <v>0</v>
      </c>
      <c r="D1018" t="n">
        <v>34</v>
      </c>
      <c r="E1018" t="s">
        <v>1027</v>
      </c>
      <c r="F1018" t="s"/>
      <c r="G1018" t="s"/>
      <c r="H1018" t="s"/>
      <c r="I1018" t="s"/>
      <c r="J1018" t="n">
        <v>0</v>
      </c>
      <c r="K1018" t="n">
        <v>0</v>
      </c>
      <c r="L1018" t="n">
        <v>1</v>
      </c>
      <c r="M1018" t="n">
        <v>0</v>
      </c>
    </row>
    <row r="1019" spans="1:13">
      <c r="A1019" s="1">
        <f>HYPERLINK("http://www.twitter.com/NathanBLawrence/status/986070715240796160", "986070715240796160")</f>
        <v/>
      </c>
      <c r="B1019" s="2" t="n">
        <v>43207.10825231481</v>
      </c>
      <c r="C1019" t="n">
        <v>0</v>
      </c>
      <c r="D1019" t="n">
        <v>18</v>
      </c>
      <c r="E1019" t="s">
        <v>1028</v>
      </c>
      <c r="F1019" t="s"/>
      <c r="G1019" t="s"/>
      <c r="H1019" t="s"/>
      <c r="I1019" t="s"/>
      <c r="J1019" t="n">
        <v>-0.5574</v>
      </c>
      <c r="K1019" t="n">
        <v>0.126</v>
      </c>
      <c r="L1019" t="n">
        <v>0.874</v>
      </c>
      <c r="M1019" t="n">
        <v>0</v>
      </c>
    </row>
    <row r="1020" spans="1:13">
      <c r="A1020" s="1">
        <f>HYPERLINK("http://www.twitter.com/NathanBLawrence/status/986070644516376576", "986070644516376576")</f>
        <v/>
      </c>
      <c r="B1020" s="2" t="n">
        <v>43207.10805555555</v>
      </c>
      <c r="C1020" t="n">
        <v>0</v>
      </c>
      <c r="D1020" t="n">
        <v>11</v>
      </c>
      <c r="E1020" t="s">
        <v>1029</v>
      </c>
      <c r="F1020" t="s"/>
      <c r="G1020" t="s"/>
      <c r="H1020" t="s"/>
      <c r="I1020" t="s"/>
      <c r="J1020" t="n">
        <v>0</v>
      </c>
      <c r="K1020" t="n">
        <v>0</v>
      </c>
      <c r="L1020" t="n">
        <v>1</v>
      </c>
      <c r="M1020" t="n">
        <v>0</v>
      </c>
    </row>
    <row r="1021" spans="1:13">
      <c r="A1021" s="1">
        <f>HYPERLINK("http://www.twitter.com/NathanBLawrence/status/986070581752758274", "986070581752758274")</f>
        <v/>
      </c>
      <c r="B1021" s="2" t="n">
        <v>43207.10788194444</v>
      </c>
      <c r="C1021" t="n">
        <v>0</v>
      </c>
      <c r="D1021" t="n">
        <v>12</v>
      </c>
      <c r="E1021" t="s">
        <v>1030</v>
      </c>
      <c r="F1021" t="s"/>
      <c r="G1021" t="s"/>
      <c r="H1021" t="s"/>
      <c r="I1021" t="s"/>
      <c r="J1021" t="n">
        <v>0.5411</v>
      </c>
      <c r="K1021" t="n">
        <v>0</v>
      </c>
      <c r="L1021" t="n">
        <v>0.882</v>
      </c>
      <c r="M1021" t="n">
        <v>0.118</v>
      </c>
    </row>
    <row r="1022" spans="1:13">
      <c r="A1022" s="1">
        <f>HYPERLINK("http://www.twitter.com/NathanBLawrence/status/986070019799953408", "986070019799953408")</f>
        <v/>
      </c>
      <c r="B1022" s="2" t="n">
        <v>43207.10633101852</v>
      </c>
      <c r="C1022" t="n">
        <v>1</v>
      </c>
      <c r="D1022" t="n">
        <v>0</v>
      </c>
      <c r="E1022" t="s">
        <v>1031</v>
      </c>
      <c r="F1022" t="s"/>
      <c r="G1022" t="s"/>
      <c r="H1022" t="s"/>
      <c r="I1022" t="s"/>
      <c r="J1022" t="n">
        <v>0.34</v>
      </c>
      <c r="K1022" t="n">
        <v>0.138</v>
      </c>
      <c r="L1022" t="n">
        <v>0.615</v>
      </c>
      <c r="M1022" t="n">
        <v>0.246</v>
      </c>
    </row>
    <row r="1023" spans="1:13">
      <c r="A1023" s="1">
        <f>HYPERLINK("http://www.twitter.com/NathanBLawrence/status/986069707899002881", "986069707899002881")</f>
        <v/>
      </c>
      <c r="B1023" s="2" t="n">
        <v>43207.10547453703</v>
      </c>
      <c r="C1023" t="n">
        <v>0</v>
      </c>
      <c r="D1023" t="n">
        <v>0</v>
      </c>
      <c r="E1023" t="s">
        <v>1032</v>
      </c>
      <c r="F1023" t="s"/>
      <c r="G1023" t="s"/>
      <c r="H1023" t="s"/>
      <c r="I1023" t="s"/>
      <c r="J1023" t="n">
        <v>0</v>
      </c>
      <c r="K1023" t="n">
        <v>0</v>
      </c>
      <c r="L1023" t="n">
        <v>1</v>
      </c>
      <c r="M1023" t="n">
        <v>0</v>
      </c>
    </row>
    <row r="1024" spans="1:13">
      <c r="A1024" s="1">
        <f>HYPERLINK("http://www.twitter.com/NathanBLawrence/status/986069186437943296", "986069186437943296")</f>
        <v/>
      </c>
      <c r="B1024" s="2" t="n">
        <v>43207.10402777778</v>
      </c>
      <c r="C1024" t="n">
        <v>0</v>
      </c>
      <c r="D1024" t="n">
        <v>91</v>
      </c>
      <c r="E1024" t="s">
        <v>1033</v>
      </c>
      <c r="F1024" t="s"/>
      <c r="G1024" t="s"/>
      <c r="H1024" t="s"/>
      <c r="I1024" t="s"/>
      <c r="J1024" t="n">
        <v>-0.2263</v>
      </c>
      <c r="K1024" t="n">
        <v>0.211</v>
      </c>
      <c r="L1024" t="n">
        <v>0.67</v>
      </c>
      <c r="M1024" t="n">
        <v>0.12</v>
      </c>
    </row>
    <row r="1025" spans="1:13">
      <c r="A1025" s="1">
        <f>HYPERLINK("http://www.twitter.com/NathanBLawrence/status/986068895529390082", "986068895529390082")</f>
        <v/>
      </c>
      <c r="B1025" s="2" t="n">
        <v>43207.10322916666</v>
      </c>
      <c r="C1025" t="n">
        <v>0</v>
      </c>
      <c r="D1025" t="n">
        <v>0</v>
      </c>
      <c r="E1025" t="s">
        <v>1034</v>
      </c>
      <c r="F1025" t="s"/>
      <c r="G1025" t="s"/>
      <c r="H1025" t="s"/>
      <c r="I1025" t="s"/>
      <c r="J1025" t="n">
        <v>-0.6239</v>
      </c>
      <c r="K1025" t="n">
        <v>0.45</v>
      </c>
      <c r="L1025" t="n">
        <v>0.55</v>
      </c>
      <c r="M1025" t="n">
        <v>0</v>
      </c>
    </row>
    <row r="1026" spans="1:13">
      <c r="A1026" s="1">
        <f>HYPERLINK("http://www.twitter.com/NathanBLawrence/status/986068197999771649", "986068197999771649")</f>
        <v/>
      </c>
      <c r="B1026" s="2" t="n">
        <v>43207.10130787037</v>
      </c>
      <c r="C1026" t="n">
        <v>0</v>
      </c>
      <c r="D1026" t="n">
        <v>0</v>
      </c>
      <c r="E1026" t="s">
        <v>1035</v>
      </c>
      <c r="F1026" t="s"/>
      <c r="G1026" t="s"/>
      <c r="H1026" t="s"/>
      <c r="I1026" t="s"/>
      <c r="J1026" t="n">
        <v>0.7906</v>
      </c>
      <c r="K1026" t="n">
        <v>0</v>
      </c>
      <c r="L1026" t="n">
        <v>0.364</v>
      </c>
      <c r="M1026" t="n">
        <v>0.636</v>
      </c>
    </row>
    <row r="1027" spans="1:13">
      <c r="A1027" s="1">
        <f>HYPERLINK("http://www.twitter.com/NathanBLawrence/status/986067809686999040", "986067809686999040")</f>
        <v/>
      </c>
      <c r="B1027" s="2" t="n">
        <v>43207.10023148148</v>
      </c>
      <c r="C1027" t="n">
        <v>1</v>
      </c>
      <c r="D1027" t="n">
        <v>0</v>
      </c>
      <c r="E1027" t="s">
        <v>1036</v>
      </c>
      <c r="F1027" t="s"/>
      <c r="G1027" t="s"/>
      <c r="H1027" t="s"/>
      <c r="I1027" t="s"/>
      <c r="J1027" t="n">
        <v>-0.25</v>
      </c>
      <c r="K1027" t="n">
        <v>0.125</v>
      </c>
      <c r="L1027" t="n">
        <v>0.786</v>
      </c>
      <c r="M1027" t="n">
        <v>0.089</v>
      </c>
    </row>
    <row r="1028" spans="1:13">
      <c r="A1028" s="1">
        <f>HYPERLINK("http://www.twitter.com/NathanBLawrence/status/986066670102958082", "986066670102958082")</f>
        <v/>
      </c>
      <c r="B1028" s="2" t="n">
        <v>43207.09709490741</v>
      </c>
      <c r="C1028" t="n">
        <v>13</v>
      </c>
      <c r="D1028" t="n">
        <v>0</v>
      </c>
      <c r="E1028" t="s">
        <v>1037</v>
      </c>
      <c r="F1028" t="s"/>
      <c r="G1028" t="s"/>
      <c r="H1028" t="s"/>
      <c r="I1028" t="s"/>
      <c r="J1028" t="n">
        <v>0.296</v>
      </c>
      <c r="K1028" t="n">
        <v>0</v>
      </c>
      <c r="L1028" t="n">
        <v>0.864</v>
      </c>
      <c r="M1028" t="n">
        <v>0.136</v>
      </c>
    </row>
    <row r="1029" spans="1:13">
      <c r="A1029" s="1">
        <f>HYPERLINK("http://www.twitter.com/NathanBLawrence/status/986065435908100096", "986065435908100096")</f>
        <v/>
      </c>
      <c r="B1029" s="2" t="n">
        <v>43207.09368055555</v>
      </c>
      <c r="C1029" t="n">
        <v>0</v>
      </c>
      <c r="D1029" t="n">
        <v>4</v>
      </c>
      <c r="E1029" t="s">
        <v>1038</v>
      </c>
      <c r="F1029" t="s"/>
      <c r="G1029" t="s"/>
      <c r="H1029" t="s"/>
      <c r="I1029" t="s"/>
      <c r="J1029" t="n">
        <v>0.5266</v>
      </c>
      <c r="K1029" t="n">
        <v>0.08500000000000001</v>
      </c>
      <c r="L1029" t="n">
        <v>0.71</v>
      </c>
      <c r="M1029" t="n">
        <v>0.205</v>
      </c>
    </row>
    <row r="1030" spans="1:13">
      <c r="A1030" s="1">
        <f>HYPERLINK("http://www.twitter.com/NathanBLawrence/status/986064025493606405", "986064025493606405")</f>
        <v/>
      </c>
      <c r="B1030" s="2" t="n">
        <v>43207.08979166667</v>
      </c>
      <c r="C1030" t="n">
        <v>0</v>
      </c>
      <c r="D1030" t="n">
        <v>1</v>
      </c>
      <c r="E1030" t="s">
        <v>1039</v>
      </c>
      <c r="F1030" t="s"/>
      <c r="G1030" t="s"/>
      <c r="H1030" t="s"/>
      <c r="I1030" t="s"/>
      <c r="J1030" t="n">
        <v>0.3612</v>
      </c>
      <c r="K1030" t="n">
        <v>0</v>
      </c>
      <c r="L1030" t="n">
        <v>0.8</v>
      </c>
      <c r="M1030" t="n">
        <v>0.2</v>
      </c>
    </row>
    <row r="1031" spans="1:13">
      <c r="A1031" s="1">
        <f>HYPERLINK("http://www.twitter.com/NathanBLawrence/status/986062699489644545", "986062699489644545")</f>
        <v/>
      </c>
      <c r="B1031" s="2" t="n">
        <v>43207.08613425926</v>
      </c>
      <c r="C1031" t="n">
        <v>0</v>
      </c>
      <c r="D1031" t="n">
        <v>0</v>
      </c>
      <c r="E1031" t="s">
        <v>1040</v>
      </c>
      <c r="F1031" t="s"/>
      <c r="G1031" t="s"/>
      <c r="H1031" t="s"/>
      <c r="I1031" t="s"/>
      <c r="J1031" t="n">
        <v>0</v>
      </c>
      <c r="K1031" t="n">
        <v>0</v>
      </c>
      <c r="L1031" t="n">
        <v>1</v>
      </c>
      <c r="M1031" t="n">
        <v>0</v>
      </c>
    </row>
    <row r="1032" spans="1:13">
      <c r="A1032" s="1">
        <f>HYPERLINK("http://www.twitter.com/NathanBLawrence/status/986062051268284416", "986062051268284416")</f>
        <v/>
      </c>
      <c r="B1032" s="2" t="n">
        <v>43207.08434027778</v>
      </c>
      <c r="C1032" t="n">
        <v>10</v>
      </c>
      <c r="D1032" t="n">
        <v>0</v>
      </c>
      <c r="E1032" t="s">
        <v>1041</v>
      </c>
      <c r="F1032" t="s"/>
      <c r="G1032" t="s"/>
      <c r="H1032" t="s"/>
      <c r="I1032" t="s"/>
      <c r="J1032" t="n">
        <v>0.1154</v>
      </c>
      <c r="K1032" t="n">
        <v>0</v>
      </c>
      <c r="L1032" t="n">
        <v>0.949</v>
      </c>
      <c r="M1032" t="n">
        <v>0.051</v>
      </c>
    </row>
    <row r="1033" spans="1:13">
      <c r="A1033" s="1">
        <f>HYPERLINK("http://www.twitter.com/NathanBLawrence/status/986061042332721152", "986061042332721152")</f>
        <v/>
      </c>
      <c r="B1033" s="2" t="n">
        <v>43207.0815625</v>
      </c>
      <c r="C1033" t="n">
        <v>0</v>
      </c>
      <c r="D1033" t="n">
        <v>1</v>
      </c>
      <c r="E1033" t="s">
        <v>1042</v>
      </c>
      <c r="F1033" t="s"/>
      <c r="G1033" t="s"/>
      <c r="H1033" t="s"/>
      <c r="I1033" t="s"/>
      <c r="J1033" t="n">
        <v>-0.0857</v>
      </c>
      <c r="K1033" t="n">
        <v>0.27</v>
      </c>
      <c r="L1033" t="n">
        <v>0.474</v>
      </c>
      <c r="M1033" t="n">
        <v>0.257</v>
      </c>
    </row>
    <row r="1034" spans="1:13">
      <c r="A1034" s="1">
        <f>HYPERLINK("http://www.twitter.com/NathanBLawrence/status/986061015442972672", "986061015442972672")</f>
        <v/>
      </c>
      <c r="B1034" s="2" t="n">
        <v>43207.08148148148</v>
      </c>
      <c r="C1034" t="n">
        <v>0</v>
      </c>
      <c r="D1034" t="n">
        <v>2</v>
      </c>
      <c r="E1034" t="s">
        <v>1043</v>
      </c>
      <c r="F1034" t="s"/>
      <c r="G1034" t="s"/>
      <c r="H1034" t="s"/>
      <c r="I1034" t="s"/>
      <c r="J1034" t="n">
        <v>-0.5095</v>
      </c>
      <c r="K1034" t="n">
        <v>0.19</v>
      </c>
      <c r="L1034" t="n">
        <v>0.8100000000000001</v>
      </c>
      <c r="M1034" t="n">
        <v>0</v>
      </c>
    </row>
    <row r="1035" spans="1:13">
      <c r="A1035" s="1">
        <f>HYPERLINK("http://www.twitter.com/NathanBLawrence/status/986060955749511169", "986060955749511169")</f>
        <v/>
      </c>
      <c r="B1035" s="2" t="n">
        <v>43207.08131944444</v>
      </c>
      <c r="C1035" t="n">
        <v>0</v>
      </c>
      <c r="D1035" t="n">
        <v>2</v>
      </c>
      <c r="E1035" t="s">
        <v>1044</v>
      </c>
      <c r="F1035" t="s"/>
      <c r="G1035" t="s"/>
      <c r="H1035" t="s"/>
      <c r="I1035" t="s"/>
      <c r="J1035" t="n">
        <v>0</v>
      </c>
      <c r="K1035" t="n">
        <v>0</v>
      </c>
      <c r="L1035" t="n">
        <v>1</v>
      </c>
      <c r="M1035" t="n">
        <v>0</v>
      </c>
    </row>
    <row r="1036" spans="1:13">
      <c r="A1036" s="1">
        <f>HYPERLINK("http://www.twitter.com/NathanBLawrence/status/986060891757207553", "986060891757207553")</f>
        <v/>
      </c>
      <c r="B1036" s="2" t="n">
        <v>43207.08114583333</v>
      </c>
      <c r="C1036" t="n">
        <v>0</v>
      </c>
      <c r="D1036" t="n">
        <v>2</v>
      </c>
      <c r="E1036" t="s">
        <v>1045</v>
      </c>
      <c r="F1036" t="s"/>
      <c r="G1036" t="s"/>
      <c r="H1036" t="s"/>
      <c r="I1036" t="s"/>
      <c r="J1036" t="n">
        <v>-0.6908</v>
      </c>
      <c r="K1036" t="n">
        <v>0.241</v>
      </c>
      <c r="L1036" t="n">
        <v>0.759</v>
      </c>
      <c r="M1036" t="n">
        <v>0</v>
      </c>
    </row>
    <row r="1037" spans="1:13">
      <c r="A1037" s="1">
        <f>HYPERLINK("http://www.twitter.com/NathanBLawrence/status/986060788858310657", "986060788858310657")</f>
        <v/>
      </c>
      <c r="B1037" s="2" t="n">
        <v>43207.08085648148</v>
      </c>
      <c r="C1037" t="n">
        <v>0</v>
      </c>
      <c r="D1037" t="n">
        <v>53</v>
      </c>
      <c r="E1037" t="s">
        <v>1046</v>
      </c>
      <c r="F1037" t="s"/>
      <c r="G1037" t="s"/>
      <c r="H1037" t="s"/>
      <c r="I1037" t="s"/>
      <c r="J1037" t="n">
        <v>0</v>
      </c>
      <c r="K1037" t="n">
        <v>0</v>
      </c>
      <c r="L1037" t="n">
        <v>1</v>
      </c>
      <c r="M1037" t="n">
        <v>0</v>
      </c>
    </row>
    <row r="1038" spans="1:13">
      <c r="A1038" s="1">
        <f>HYPERLINK("http://www.twitter.com/NathanBLawrence/status/986060644456779777", "986060644456779777")</f>
        <v/>
      </c>
      <c r="B1038" s="2" t="n">
        <v>43207.08046296296</v>
      </c>
      <c r="C1038" t="n">
        <v>8</v>
      </c>
      <c r="D1038" t="n">
        <v>1</v>
      </c>
      <c r="E1038" t="s">
        <v>1047</v>
      </c>
      <c r="F1038" t="s"/>
      <c r="G1038" t="s"/>
      <c r="H1038" t="s"/>
      <c r="I1038" t="s"/>
      <c r="J1038" t="n">
        <v>-0.296</v>
      </c>
      <c r="K1038" t="n">
        <v>0.136</v>
      </c>
      <c r="L1038" t="n">
        <v>0.864</v>
      </c>
      <c r="M1038" t="n">
        <v>0</v>
      </c>
    </row>
    <row r="1039" spans="1:13">
      <c r="A1039" s="1">
        <f>HYPERLINK("http://www.twitter.com/NathanBLawrence/status/986060425132470282", "986060425132470282")</f>
        <v/>
      </c>
      <c r="B1039" s="2" t="n">
        <v>43207.07986111111</v>
      </c>
      <c r="C1039" t="n">
        <v>0</v>
      </c>
      <c r="D1039" t="n">
        <v>22</v>
      </c>
      <c r="E1039" t="s">
        <v>1048</v>
      </c>
      <c r="F1039" t="s"/>
      <c r="G1039" t="s"/>
      <c r="H1039" t="s"/>
      <c r="I1039" t="s"/>
      <c r="J1039" t="n">
        <v>0</v>
      </c>
      <c r="K1039" t="n">
        <v>0</v>
      </c>
      <c r="L1039" t="n">
        <v>1</v>
      </c>
      <c r="M1039" t="n">
        <v>0</v>
      </c>
    </row>
    <row r="1040" spans="1:13">
      <c r="A1040" s="1">
        <f>HYPERLINK("http://www.twitter.com/NathanBLawrence/status/986060344304037894", "986060344304037894")</f>
        <v/>
      </c>
      <c r="B1040" s="2" t="n">
        <v>43207.07962962963</v>
      </c>
      <c r="C1040" t="n">
        <v>3</v>
      </c>
      <c r="D1040" t="n">
        <v>0</v>
      </c>
      <c r="E1040" t="s">
        <v>1049</v>
      </c>
      <c r="F1040" t="s"/>
      <c r="G1040" t="s"/>
      <c r="H1040" t="s"/>
      <c r="I1040" t="s"/>
      <c r="J1040" t="n">
        <v>-0.4588</v>
      </c>
      <c r="K1040" t="n">
        <v>0.25</v>
      </c>
      <c r="L1040" t="n">
        <v>0.75</v>
      </c>
      <c r="M1040" t="n">
        <v>0</v>
      </c>
    </row>
    <row r="1041" spans="1:13">
      <c r="A1041" s="1">
        <f>HYPERLINK("http://www.twitter.com/NathanBLawrence/status/986059757621534720", "986059757621534720")</f>
        <v/>
      </c>
      <c r="B1041" s="2" t="n">
        <v>43207.07800925926</v>
      </c>
      <c r="C1041" t="n">
        <v>2</v>
      </c>
      <c r="D1041" t="n">
        <v>0</v>
      </c>
      <c r="E1041" t="s">
        <v>1050</v>
      </c>
      <c r="F1041" t="s"/>
      <c r="G1041" t="s"/>
      <c r="H1041" t="s"/>
      <c r="I1041" t="s"/>
      <c r="J1041" t="n">
        <v>0</v>
      </c>
      <c r="K1041" t="n">
        <v>0</v>
      </c>
      <c r="L1041" t="n">
        <v>1</v>
      </c>
      <c r="M1041" t="n">
        <v>0</v>
      </c>
    </row>
    <row r="1042" spans="1:13">
      <c r="A1042" s="1">
        <f>HYPERLINK("http://www.twitter.com/NathanBLawrence/status/986059488611438593", "986059488611438593")</f>
        <v/>
      </c>
      <c r="B1042" s="2" t="n">
        <v>43207.07726851852</v>
      </c>
      <c r="C1042" t="n">
        <v>0</v>
      </c>
      <c r="D1042" t="n">
        <v>1</v>
      </c>
      <c r="E1042" t="s">
        <v>1051</v>
      </c>
      <c r="F1042" t="s"/>
      <c r="G1042" t="s"/>
      <c r="H1042" t="s"/>
      <c r="I1042" t="s"/>
      <c r="J1042" t="n">
        <v>0.5531</v>
      </c>
      <c r="K1042" t="n">
        <v>0.055</v>
      </c>
      <c r="L1042" t="n">
        <v>0.738</v>
      </c>
      <c r="M1042" t="n">
        <v>0.208</v>
      </c>
    </row>
    <row r="1043" spans="1:13">
      <c r="A1043" s="1">
        <f>HYPERLINK("http://www.twitter.com/NathanBLawrence/status/986059437055111168", "986059437055111168")</f>
        <v/>
      </c>
      <c r="B1043" s="2" t="n">
        <v>43207.07712962963</v>
      </c>
      <c r="C1043" t="n">
        <v>0</v>
      </c>
      <c r="D1043" t="n">
        <v>2</v>
      </c>
      <c r="E1043" t="s">
        <v>1052</v>
      </c>
      <c r="F1043" t="s"/>
      <c r="G1043" t="s"/>
      <c r="H1043" t="s"/>
      <c r="I1043" t="s"/>
      <c r="J1043" t="n">
        <v>-0.6249</v>
      </c>
      <c r="K1043" t="n">
        <v>0.204</v>
      </c>
      <c r="L1043" t="n">
        <v>0.743</v>
      </c>
      <c r="M1043" t="n">
        <v>0.052</v>
      </c>
    </row>
    <row r="1044" spans="1:13">
      <c r="A1044" s="1">
        <f>HYPERLINK("http://www.twitter.com/NathanBLawrence/status/986059353764573184", "986059353764573184")</f>
        <v/>
      </c>
      <c r="B1044" s="2" t="n">
        <v>43207.07689814815</v>
      </c>
      <c r="C1044" t="n">
        <v>4</v>
      </c>
      <c r="D1044" t="n">
        <v>0</v>
      </c>
      <c r="E1044" t="s">
        <v>1053</v>
      </c>
      <c r="F1044" t="s"/>
      <c r="G1044" t="s"/>
      <c r="H1044" t="s"/>
      <c r="I1044" t="s"/>
      <c r="J1044" t="n">
        <v>-0.0516</v>
      </c>
      <c r="K1044" t="n">
        <v>0.059</v>
      </c>
      <c r="L1044" t="n">
        <v>0.9409999999999999</v>
      </c>
      <c r="M1044" t="n">
        <v>0</v>
      </c>
    </row>
    <row r="1045" spans="1:13">
      <c r="A1045" s="1">
        <f>HYPERLINK("http://www.twitter.com/NathanBLawrence/status/986058919314378752", "986058919314378752")</f>
        <v/>
      </c>
      <c r="B1045" s="2" t="n">
        <v>43207.07570601852</v>
      </c>
      <c r="C1045" t="n">
        <v>0</v>
      </c>
      <c r="D1045" t="n">
        <v>9</v>
      </c>
      <c r="E1045" t="s">
        <v>1054</v>
      </c>
      <c r="F1045" t="s"/>
      <c r="G1045" t="s"/>
      <c r="H1045" t="s"/>
      <c r="I1045" t="s"/>
      <c r="J1045" t="n">
        <v>0.0083</v>
      </c>
      <c r="K1045" t="n">
        <v>0.131</v>
      </c>
      <c r="L1045" t="n">
        <v>0.699</v>
      </c>
      <c r="M1045" t="n">
        <v>0.171</v>
      </c>
    </row>
    <row r="1046" spans="1:13">
      <c r="A1046" s="1">
        <f>HYPERLINK("http://www.twitter.com/NathanBLawrence/status/986058899550810112", "986058899550810112")</f>
        <v/>
      </c>
      <c r="B1046" s="2" t="n">
        <v>43207.07564814815</v>
      </c>
      <c r="C1046" t="n">
        <v>1</v>
      </c>
      <c r="D1046" t="n">
        <v>0</v>
      </c>
      <c r="E1046" t="s">
        <v>1055</v>
      </c>
      <c r="F1046" t="s"/>
      <c r="G1046" t="s"/>
      <c r="H1046" t="s"/>
      <c r="I1046" t="s"/>
      <c r="J1046" t="n">
        <v>0</v>
      </c>
      <c r="K1046" t="n">
        <v>0</v>
      </c>
      <c r="L1046" t="n">
        <v>1</v>
      </c>
      <c r="M1046" t="n">
        <v>0</v>
      </c>
    </row>
    <row r="1047" spans="1:13">
      <c r="A1047" s="1">
        <f>HYPERLINK("http://www.twitter.com/NathanBLawrence/status/986058539402702848", "986058539402702848")</f>
        <v/>
      </c>
      <c r="B1047" s="2" t="n">
        <v>43207.07465277778</v>
      </c>
      <c r="C1047" t="n">
        <v>0</v>
      </c>
      <c r="D1047" t="n">
        <v>1</v>
      </c>
      <c r="E1047" t="s">
        <v>1056</v>
      </c>
      <c r="F1047" t="s"/>
      <c r="G1047" t="s"/>
      <c r="H1047" t="s"/>
      <c r="I1047" t="s"/>
      <c r="J1047" t="n">
        <v>-0.34</v>
      </c>
      <c r="K1047" t="n">
        <v>0.118</v>
      </c>
      <c r="L1047" t="n">
        <v>0.882</v>
      </c>
      <c r="M1047" t="n">
        <v>0</v>
      </c>
    </row>
    <row r="1048" spans="1:13">
      <c r="A1048" s="1">
        <f>HYPERLINK("http://www.twitter.com/NathanBLawrence/status/986058503159762949", "986058503159762949")</f>
        <v/>
      </c>
      <c r="B1048" s="2" t="n">
        <v>43207.07454861111</v>
      </c>
      <c r="C1048" t="n">
        <v>2</v>
      </c>
      <c r="D1048" t="n">
        <v>0</v>
      </c>
      <c r="E1048" t="s">
        <v>1057</v>
      </c>
      <c r="F1048" t="s"/>
      <c r="G1048" t="s"/>
      <c r="H1048" t="s"/>
      <c r="I1048" t="s"/>
      <c r="J1048" t="n">
        <v>-0.0258</v>
      </c>
      <c r="K1048" t="n">
        <v>0.129</v>
      </c>
      <c r="L1048" t="n">
        <v>0.746</v>
      </c>
      <c r="M1048" t="n">
        <v>0.124</v>
      </c>
    </row>
    <row r="1049" spans="1:13">
      <c r="A1049" s="1">
        <f>HYPERLINK("http://www.twitter.com/NathanBLawrence/status/986039137764564992", "986039137764564992")</f>
        <v/>
      </c>
      <c r="B1049" s="2" t="n">
        <v>43207.02111111111</v>
      </c>
      <c r="C1049" t="n">
        <v>0</v>
      </c>
      <c r="D1049" t="n">
        <v>129</v>
      </c>
      <c r="E1049" t="s">
        <v>1058</v>
      </c>
      <c r="F1049" t="s"/>
      <c r="G1049" t="s"/>
      <c r="H1049" t="s"/>
      <c r="I1049" t="s"/>
      <c r="J1049" t="n">
        <v>0.3182</v>
      </c>
      <c r="K1049" t="n">
        <v>0</v>
      </c>
      <c r="L1049" t="n">
        <v>0.827</v>
      </c>
      <c r="M1049" t="n">
        <v>0.173</v>
      </c>
    </row>
    <row r="1050" spans="1:13">
      <c r="A1050" s="1">
        <f>HYPERLINK("http://www.twitter.com/NathanBLawrence/status/986039115031437312", "986039115031437312")</f>
        <v/>
      </c>
      <c r="B1050" s="2" t="n">
        <v>43207.02105324074</v>
      </c>
      <c r="C1050" t="n">
        <v>0</v>
      </c>
      <c r="D1050" t="n">
        <v>20</v>
      </c>
      <c r="E1050" t="s">
        <v>1059</v>
      </c>
      <c r="F1050" t="s"/>
      <c r="G1050" t="s"/>
      <c r="H1050" t="s"/>
      <c r="I1050" t="s"/>
      <c r="J1050" t="n">
        <v>0</v>
      </c>
      <c r="K1050" t="n">
        <v>0</v>
      </c>
      <c r="L1050" t="n">
        <v>1</v>
      </c>
      <c r="M1050" t="n">
        <v>0</v>
      </c>
    </row>
    <row r="1051" spans="1:13">
      <c r="A1051" s="1">
        <f>HYPERLINK("http://www.twitter.com/NathanBLawrence/status/986039075550396416", "986039075550396416")</f>
        <v/>
      </c>
      <c r="B1051" s="2" t="n">
        <v>43207.0209375</v>
      </c>
      <c r="C1051" t="n">
        <v>0</v>
      </c>
      <c r="D1051" t="n">
        <v>30</v>
      </c>
      <c r="E1051" t="s">
        <v>1060</v>
      </c>
      <c r="F1051" t="s"/>
      <c r="G1051" t="s"/>
      <c r="H1051" t="s"/>
      <c r="I1051" t="s"/>
      <c r="J1051" t="n">
        <v>0</v>
      </c>
      <c r="K1051" t="n">
        <v>0</v>
      </c>
      <c r="L1051" t="n">
        <v>1</v>
      </c>
      <c r="M1051" t="n">
        <v>0</v>
      </c>
    </row>
    <row r="1052" spans="1:13">
      <c r="A1052" s="1">
        <f>HYPERLINK("http://www.twitter.com/NathanBLawrence/status/986038684918124550", "986038684918124550")</f>
        <v/>
      </c>
      <c r="B1052" s="2" t="n">
        <v>43207.01986111111</v>
      </c>
      <c r="C1052" t="n">
        <v>0</v>
      </c>
      <c r="D1052" t="n">
        <v>58</v>
      </c>
      <c r="E1052" t="s">
        <v>1061</v>
      </c>
      <c r="F1052" t="s"/>
      <c r="G1052" t="s"/>
      <c r="H1052" t="s"/>
      <c r="I1052" t="s"/>
      <c r="J1052" t="n">
        <v>-0.128</v>
      </c>
      <c r="K1052" t="n">
        <v>0.097</v>
      </c>
      <c r="L1052" t="n">
        <v>0.903</v>
      </c>
      <c r="M1052" t="n">
        <v>0</v>
      </c>
    </row>
    <row r="1053" spans="1:13">
      <c r="A1053" s="1">
        <f>HYPERLINK("http://www.twitter.com/NathanBLawrence/status/986038637669347329", "986038637669347329")</f>
        <v/>
      </c>
      <c r="B1053" s="2" t="n">
        <v>43207.0197337963</v>
      </c>
      <c r="C1053" t="n">
        <v>0</v>
      </c>
      <c r="D1053" t="n">
        <v>40</v>
      </c>
      <c r="E1053" t="s">
        <v>1062</v>
      </c>
      <c r="F1053">
        <f>HYPERLINK("http://pbs.twimg.com/media/Da6etYZXUAIlvCD.jpg", "http://pbs.twimg.com/media/Da6etYZXUAIlvCD.jpg")</f>
        <v/>
      </c>
      <c r="G1053" t="s"/>
      <c r="H1053" t="s"/>
      <c r="I1053" t="s"/>
      <c r="J1053" t="n">
        <v>0</v>
      </c>
      <c r="K1053" t="n">
        <v>0</v>
      </c>
      <c r="L1053" t="n">
        <v>1</v>
      </c>
      <c r="M1053" t="n">
        <v>0</v>
      </c>
    </row>
    <row r="1054" spans="1:13">
      <c r="A1054" s="1">
        <f>HYPERLINK("http://www.twitter.com/NathanBLawrence/status/986038554940919808", "986038554940919808")</f>
        <v/>
      </c>
      <c r="B1054" s="2" t="n">
        <v>43207.01950231481</v>
      </c>
      <c r="C1054" t="n">
        <v>0</v>
      </c>
      <c r="D1054" t="n">
        <v>14</v>
      </c>
      <c r="E1054" t="s">
        <v>1063</v>
      </c>
      <c r="F1054">
        <f>HYPERLINK("http://pbs.twimg.com/media/Da49JsNUMAAYf8W.jpg", "http://pbs.twimg.com/media/Da49JsNUMAAYf8W.jpg")</f>
        <v/>
      </c>
      <c r="G1054" t="s"/>
      <c r="H1054" t="s"/>
      <c r="I1054" t="s"/>
      <c r="J1054" t="n">
        <v>0.4391</v>
      </c>
      <c r="K1054" t="n">
        <v>0</v>
      </c>
      <c r="L1054" t="n">
        <v>0.892</v>
      </c>
      <c r="M1054" t="n">
        <v>0.108</v>
      </c>
    </row>
    <row r="1055" spans="1:13">
      <c r="A1055" s="1">
        <f>HYPERLINK("http://www.twitter.com/NathanBLawrence/status/986038447591870466", "986038447591870466")</f>
        <v/>
      </c>
      <c r="B1055" s="2" t="n">
        <v>43207.01921296296</v>
      </c>
      <c r="C1055" t="n">
        <v>0</v>
      </c>
      <c r="D1055" t="n">
        <v>12</v>
      </c>
      <c r="E1055" t="s">
        <v>1064</v>
      </c>
      <c r="F1055" t="s"/>
      <c r="G1055" t="s"/>
      <c r="H1055" t="s"/>
      <c r="I1055" t="s"/>
      <c r="J1055" t="n">
        <v>0</v>
      </c>
      <c r="K1055" t="n">
        <v>0</v>
      </c>
      <c r="L1055" t="n">
        <v>1</v>
      </c>
      <c r="M1055" t="n">
        <v>0</v>
      </c>
    </row>
    <row r="1056" spans="1:13">
      <c r="A1056" s="1">
        <f>HYPERLINK("http://www.twitter.com/NathanBLawrence/status/986038385621000195", "986038385621000195")</f>
        <v/>
      </c>
      <c r="B1056" s="2" t="n">
        <v>43207.01903935185</v>
      </c>
      <c r="C1056" t="n">
        <v>0</v>
      </c>
      <c r="D1056" t="n">
        <v>8</v>
      </c>
      <c r="E1056" t="s">
        <v>1065</v>
      </c>
      <c r="F1056" t="s"/>
      <c r="G1056" t="s"/>
      <c r="H1056" t="s"/>
      <c r="I1056" t="s"/>
      <c r="J1056" t="n">
        <v>0</v>
      </c>
      <c r="K1056" t="n">
        <v>0</v>
      </c>
      <c r="L1056" t="n">
        <v>1</v>
      </c>
      <c r="M1056" t="n">
        <v>0</v>
      </c>
    </row>
    <row r="1057" spans="1:13">
      <c r="A1057" s="1">
        <f>HYPERLINK("http://www.twitter.com/NathanBLawrence/status/986038316385624064", "986038316385624064")</f>
        <v/>
      </c>
      <c r="B1057" s="2" t="n">
        <v>43207.0188425926</v>
      </c>
      <c r="C1057" t="n">
        <v>2</v>
      </c>
      <c r="D1057" t="n">
        <v>2</v>
      </c>
      <c r="E1057" t="s">
        <v>1066</v>
      </c>
      <c r="F1057" t="s"/>
      <c r="G1057" t="s"/>
      <c r="H1057" t="s"/>
      <c r="I1057" t="s"/>
      <c r="J1057" t="n">
        <v>-0.6219</v>
      </c>
      <c r="K1057" t="n">
        <v>0.133</v>
      </c>
      <c r="L1057" t="n">
        <v>0.867</v>
      </c>
      <c r="M1057" t="n">
        <v>0</v>
      </c>
    </row>
    <row r="1058" spans="1:13">
      <c r="A1058" s="1">
        <f>HYPERLINK("http://www.twitter.com/NathanBLawrence/status/986037476182634497", "986037476182634497")</f>
        <v/>
      </c>
      <c r="B1058" s="2" t="n">
        <v>43207.01652777778</v>
      </c>
      <c r="C1058" t="n">
        <v>0</v>
      </c>
      <c r="D1058" t="n">
        <v>10</v>
      </c>
      <c r="E1058" t="s">
        <v>1067</v>
      </c>
      <c r="F1058">
        <f>HYPERLINK("http://pbs.twimg.com/media/DayWRs6WAAAB_Fq.jpg", "http://pbs.twimg.com/media/DayWRs6WAAAB_Fq.jpg")</f>
        <v/>
      </c>
      <c r="G1058" t="s"/>
      <c r="H1058" t="s"/>
      <c r="I1058" t="s"/>
      <c r="J1058" t="n">
        <v>-0.3612</v>
      </c>
      <c r="K1058" t="n">
        <v>0.128</v>
      </c>
      <c r="L1058" t="n">
        <v>0.872</v>
      </c>
      <c r="M1058" t="n">
        <v>0</v>
      </c>
    </row>
    <row r="1059" spans="1:13">
      <c r="A1059" s="1">
        <f>HYPERLINK("http://www.twitter.com/NathanBLawrence/status/986037391818452992", "986037391818452992")</f>
        <v/>
      </c>
      <c r="B1059" s="2" t="n">
        <v>43207.01629629629</v>
      </c>
      <c r="C1059" t="n">
        <v>0</v>
      </c>
      <c r="D1059" t="n">
        <v>6</v>
      </c>
      <c r="E1059" t="s">
        <v>1068</v>
      </c>
      <c r="F1059" t="s"/>
      <c r="G1059" t="s"/>
      <c r="H1059" t="s"/>
      <c r="I1059" t="s"/>
      <c r="J1059" t="n">
        <v>-0.0258</v>
      </c>
      <c r="K1059" t="n">
        <v>0.107</v>
      </c>
      <c r="L1059" t="n">
        <v>0.791</v>
      </c>
      <c r="M1059" t="n">
        <v>0.102</v>
      </c>
    </row>
    <row r="1060" spans="1:13">
      <c r="A1060" s="1">
        <f>HYPERLINK("http://www.twitter.com/NathanBLawrence/status/986037246917832710", "986037246917832710")</f>
        <v/>
      </c>
      <c r="B1060" s="2" t="n">
        <v>43207.01590277778</v>
      </c>
      <c r="C1060" t="n">
        <v>0</v>
      </c>
      <c r="D1060" t="n">
        <v>0</v>
      </c>
      <c r="E1060" t="s">
        <v>1069</v>
      </c>
      <c r="F1060" t="s"/>
      <c r="G1060" t="s"/>
      <c r="H1060" t="s"/>
      <c r="I1060" t="s"/>
      <c r="J1060" t="n">
        <v>0.6776</v>
      </c>
      <c r="K1060" t="n">
        <v>0</v>
      </c>
      <c r="L1060" t="n">
        <v>0.663</v>
      </c>
      <c r="M1060" t="n">
        <v>0.337</v>
      </c>
    </row>
    <row r="1061" spans="1:13">
      <c r="A1061" s="1">
        <f>HYPERLINK("http://www.twitter.com/NathanBLawrence/status/986037013160845312", "986037013160845312")</f>
        <v/>
      </c>
      <c r="B1061" s="2" t="n">
        <v>43207.01525462963</v>
      </c>
      <c r="C1061" t="n">
        <v>0</v>
      </c>
      <c r="D1061" t="n">
        <v>4</v>
      </c>
      <c r="E1061" t="s">
        <v>1070</v>
      </c>
      <c r="F1061" t="s"/>
      <c r="G1061" t="s"/>
      <c r="H1061" t="s"/>
      <c r="I1061" t="s"/>
      <c r="J1061" t="n">
        <v>0.5562</v>
      </c>
      <c r="K1061" t="n">
        <v>0</v>
      </c>
      <c r="L1061" t="n">
        <v>0.797</v>
      </c>
      <c r="M1061" t="n">
        <v>0.203</v>
      </c>
    </row>
    <row r="1062" spans="1:13">
      <c r="A1062" s="1">
        <f>HYPERLINK("http://www.twitter.com/NathanBLawrence/status/986036934584819712", "986036934584819712")</f>
        <v/>
      </c>
      <c r="B1062" s="2" t="n">
        <v>43207.01503472222</v>
      </c>
      <c r="C1062" t="n">
        <v>1</v>
      </c>
      <c r="D1062" t="n">
        <v>0</v>
      </c>
      <c r="E1062" t="s">
        <v>1071</v>
      </c>
      <c r="F1062" t="s"/>
      <c r="G1062" t="s"/>
      <c r="H1062" t="s"/>
      <c r="I1062" t="s"/>
      <c r="J1062" t="n">
        <v>0.3477</v>
      </c>
      <c r="K1062" t="n">
        <v>0.217</v>
      </c>
      <c r="L1062" t="n">
        <v>0.486</v>
      </c>
      <c r="M1062" t="n">
        <v>0.296</v>
      </c>
    </row>
    <row r="1063" spans="1:13">
      <c r="A1063" s="1">
        <f>HYPERLINK("http://www.twitter.com/NathanBLawrence/status/986036687938752512", "986036687938752512")</f>
        <v/>
      </c>
      <c r="B1063" s="2" t="n">
        <v>43207.01435185185</v>
      </c>
      <c r="C1063" t="n">
        <v>0</v>
      </c>
      <c r="D1063" t="n">
        <v>35</v>
      </c>
      <c r="E1063" t="s">
        <v>1072</v>
      </c>
      <c r="F1063">
        <f>HYPERLINK("http://pbs.twimg.com/media/DayuTdGVwAEuMrF.jpg", "http://pbs.twimg.com/media/DayuTdGVwAEuMrF.jpg")</f>
        <v/>
      </c>
      <c r="G1063" t="s"/>
      <c r="H1063" t="s"/>
      <c r="I1063" t="s"/>
      <c r="J1063" t="n">
        <v>-0.9006</v>
      </c>
      <c r="K1063" t="n">
        <v>0.393</v>
      </c>
      <c r="L1063" t="n">
        <v>0.607</v>
      </c>
      <c r="M1063" t="n">
        <v>0</v>
      </c>
    </row>
    <row r="1064" spans="1:13">
      <c r="A1064" s="1">
        <f>HYPERLINK("http://www.twitter.com/NathanBLawrence/status/986036583542480896", "986036583542480896")</f>
        <v/>
      </c>
      <c r="B1064" s="2" t="n">
        <v>43207.0140625</v>
      </c>
      <c r="C1064" t="n">
        <v>0</v>
      </c>
      <c r="D1064" t="n">
        <v>14</v>
      </c>
      <c r="E1064" t="s">
        <v>1073</v>
      </c>
      <c r="F1064">
        <f>HYPERLINK("http://pbs.twimg.com/media/Da37-LVXcAAiRAD.jpg", "http://pbs.twimg.com/media/Da37-LVXcAAiRAD.jpg")</f>
        <v/>
      </c>
      <c r="G1064" t="s"/>
      <c r="H1064" t="s"/>
      <c r="I1064" t="s"/>
      <c r="J1064" t="n">
        <v>-0.4588</v>
      </c>
      <c r="K1064" t="n">
        <v>0.143</v>
      </c>
      <c r="L1064" t="n">
        <v>0.857</v>
      </c>
      <c r="M1064" t="n">
        <v>0</v>
      </c>
    </row>
    <row r="1065" spans="1:13">
      <c r="A1065" s="1">
        <f>HYPERLINK("http://www.twitter.com/NathanBLawrence/status/986036476889755648", "986036476889755648")</f>
        <v/>
      </c>
      <c r="B1065" s="2" t="n">
        <v>43207.01377314814</v>
      </c>
      <c r="C1065" t="n">
        <v>0</v>
      </c>
      <c r="D1065" t="n">
        <v>6</v>
      </c>
      <c r="E1065" t="s">
        <v>1074</v>
      </c>
      <c r="F1065" t="s"/>
      <c r="G1065" t="s"/>
      <c r="H1065" t="s"/>
      <c r="I1065" t="s"/>
      <c r="J1065" t="n">
        <v>-0.128</v>
      </c>
      <c r="K1065" t="n">
        <v>0.162</v>
      </c>
      <c r="L1065" t="n">
        <v>0.742</v>
      </c>
      <c r="M1065" t="n">
        <v>0.096</v>
      </c>
    </row>
    <row r="1066" spans="1:13">
      <c r="A1066" s="1">
        <f>HYPERLINK("http://www.twitter.com/NathanBLawrence/status/986036427791183873", "986036427791183873")</f>
        <v/>
      </c>
      <c r="B1066" s="2" t="n">
        <v>43207.01363425926</v>
      </c>
      <c r="C1066" t="n">
        <v>0</v>
      </c>
      <c r="D1066" t="n">
        <v>7</v>
      </c>
      <c r="E1066" t="s">
        <v>1075</v>
      </c>
      <c r="F1066">
        <f>HYPERLINK("http://pbs.twimg.com/media/Da7DuY9WkAAWVeh.jpg", "http://pbs.twimg.com/media/Da7DuY9WkAAWVeh.jpg")</f>
        <v/>
      </c>
      <c r="G1066" t="s"/>
      <c r="H1066" t="s"/>
      <c r="I1066" t="s"/>
      <c r="J1066" t="n">
        <v>-0.3612</v>
      </c>
      <c r="K1066" t="n">
        <v>0.152</v>
      </c>
      <c r="L1066" t="n">
        <v>0.848</v>
      </c>
      <c r="M1066" t="n">
        <v>0</v>
      </c>
    </row>
    <row r="1067" spans="1:13">
      <c r="A1067" s="1">
        <f>HYPERLINK("http://www.twitter.com/NathanBLawrence/status/986036006565576704", "986036006565576704")</f>
        <v/>
      </c>
      <c r="B1067" s="2" t="n">
        <v>43207.01247685185</v>
      </c>
      <c r="C1067" t="n">
        <v>1</v>
      </c>
      <c r="D1067" t="n">
        <v>1</v>
      </c>
      <c r="E1067" t="s">
        <v>1076</v>
      </c>
      <c r="F1067" t="s"/>
      <c r="G1067" t="s"/>
      <c r="H1067" t="s"/>
      <c r="I1067" t="s"/>
      <c r="J1067" t="n">
        <v>-0.4019</v>
      </c>
      <c r="K1067" t="n">
        <v>0.185</v>
      </c>
      <c r="L1067" t="n">
        <v>0.6860000000000001</v>
      </c>
      <c r="M1067" t="n">
        <v>0.129</v>
      </c>
    </row>
    <row r="1068" spans="1:13">
      <c r="A1068" s="1">
        <f>HYPERLINK("http://www.twitter.com/NathanBLawrence/status/986035228396441602", "986035228396441602")</f>
        <v/>
      </c>
      <c r="B1068" s="2" t="n">
        <v>43207.01032407407</v>
      </c>
      <c r="C1068" t="n">
        <v>0</v>
      </c>
      <c r="D1068" t="n">
        <v>1</v>
      </c>
      <c r="E1068" t="s">
        <v>1077</v>
      </c>
      <c r="F1068" t="s"/>
      <c r="G1068" t="s"/>
      <c r="H1068" t="s"/>
      <c r="I1068" t="s"/>
      <c r="J1068" t="n">
        <v>-0.6249</v>
      </c>
      <c r="K1068" t="n">
        <v>0.233</v>
      </c>
      <c r="L1068" t="n">
        <v>0.662</v>
      </c>
      <c r="M1068" t="n">
        <v>0.104</v>
      </c>
    </row>
    <row r="1069" spans="1:13">
      <c r="A1069" s="1">
        <f>HYPERLINK("http://www.twitter.com/NathanBLawrence/status/986034845729087488", "986034845729087488")</f>
        <v/>
      </c>
      <c r="B1069" s="2" t="n">
        <v>43207.00927083333</v>
      </c>
      <c r="C1069" t="n">
        <v>0</v>
      </c>
      <c r="D1069" t="n">
        <v>23</v>
      </c>
      <c r="E1069" t="s">
        <v>1078</v>
      </c>
      <c r="F1069">
        <f>HYPERLINK("http://pbs.twimg.com/media/DasutJIWsAAhbq7.jpg", "http://pbs.twimg.com/media/DasutJIWsAAhbq7.jpg")</f>
        <v/>
      </c>
      <c r="G1069" t="s"/>
      <c r="H1069" t="s"/>
      <c r="I1069" t="s"/>
      <c r="J1069" t="n">
        <v>-0.8777</v>
      </c>
      <c r="K1069" t="n">
        <v>0.371</v>
      </c>
      <c r="L1069" t="n">
        <v>0.586</v>
      </c>
      <c r="M1069" t="n">
        <v>0.042</v>
      </c>
    </row>
    <row r="1070" spans="1:13">
      <c r="A1070" s="1">
        <f>HYPERLINK("http://www.twitter.com/NathanBLawrence/status/986034750254145536", "986034750254145536")</f>
        <v/>
      </c>
      <c r="B1070" s="2" t="n">
        <v>43207.00900462963</v>
      </c>
      <c r="C1070" t="n">
        <v>0</v>
      </c>
      <c r="D1070" t="n">
        <v>9</v>
      </c>
      <c r="E1070" t="s">
        <v>1079</v>
      </c>
      <c r="F1070">
        <f>HYPERLINK("http://pbs.twimg.com/media/Da51qPPXcAEsKGY.jpg", "http://pbs.twimg.com/media/Da51qPPXcAEsKGY.jpg")</f>
        <v/>
      </c>
      <c r="G1070" t="s"/>
      <c r="H1070" t="s"/>
      <c r="I1070" t="s"/>
      <c r="J1070" t="n">
        <v>-0.2406</v>
      </c>
      <c r="K1070" t="n">
        <v>0.109</v>
      </c>
      <c r="L1070" t="n">
        <v>0.891</v>
      </c>
      <c r="M1070" t="n">
        <v>0</v>
      </c>
    </row>
    <row r="1071" spans="1:13">
      <c r="A1071" s="1">
        <f>HYPERLINK("http://www.twitter.com/NathanBLawrence/status/986034080574857216", "986034080574857216")</f>
        <v/>
      </c>
      <c r="B1071" s="2" t="n">
        <v>43207.00716435185</v>
      </c>
      <c r="C1071" t="n">
        <v>0</v>
      </c>
      <c r="D1071" t="n">
        <v>0</v>
      </c>
      <c r="E1071" t="s">
        <v>1080</v>
      </c>
      <c r="F1071" t="s"/>
      <c r="G1071" t="s"/>
      <c r="H1071" t="s"/>
      <c r="I1071" t="s"/>
      <c r="J1071" t="n">
        <v>0</v>
      </c>
      <c r="K1071" t="n">
        <v>0</v>
      </c>
      <c r="L1071" t="n">
        <v>1</v>
      </c>
      <c r="M1071" t="n">
        <v>0</v>
      </c>
    </row>
    <row r="1072" spans="1:13">
      <c r="A1072" s="1">
        <f>HYPERLINK("http://www.twitter.com/NathanBLawrence/status/986033042501308416", "986033042501308416")</f>
        <v/>
      </c>
      <c r="B1072" s="2" t="n">
        <v>43207.00429398148</v>
      </c>
      <c r="C1072" t="n">
        <v>0</v>
      </c>
      <c r="D1072" t="n">
        <v>0</v>
      </c>
      <c r="E1072" t="s">
        <v>1081</v>
      </c>
      <c r="F1072" t="s"/>
      <c r="G1072" t="s"/>
      <c r="H1072" t="s"/>
      <c r="I1072" t="s"/>
      <c r="J1072" t="n">
        <v>0</v>
      </c>
      <c r="K1072" t="n">
        <v>0</v>
      </c>
      <c r="L1072" t="n">
        <v>1</v>
      </c>
      <c r="M1072" t="n">
        <v>0</v>
      </c>
    </row>
    <row r="1073" spans="1:13">
      <c r="A1073" s="1">
        <f>HYPERLINK("http://www.twitter.com/NathanBLawrence/status/986032609049358337", "986032609049358337")</f>
        <v/>
      </c>
      <c r="B1073" s="2" t="n">
        <v>43207.00310185185</v>
      </c>
      <c r="C1073" t="n">
        <v>1</v>
      </c>
      <c r="D1073" t="n">
        <v>1</v>
      </c>
      <c r="E1073" t="s">
        <v>1082</v>
      </c>
      <c r="F1073" t="s"/>
      <c r="G1073" t="s"/>
      <c r="H1073" t="s"/>
      <c r="I1073" t="s"/>
      <c r="J1073" t="n">
        <v>-0.296</v>
      </c>
      <c r="K1073" t="n">
        <v>0.145</v>
      </c>
      <c r="L1073" t="n">
        <v>0.855</v>
      </c>
      <c r="M1073" t="n">
        <v>0</v>
      </c>
    </row>
    <row r="1074" spans="1:13">
      <c r="A1074" s="1">
        <f>HYPERLINK("http://www.twitter.com/NathanBLawrence/status/986031711304630272", "986031711304630272")</f>
        <v/>
      </c>
      <c r="B1074" s="2" t="n">
        <v>43207.000625</v>
      </c>
      <c r="C1074" t="n">
        <v>0</v>
      </c>
      <c r="D1074" t="n">
        <v>0</v>
      </c>
      <c r="E1074" t="s">
        <v>1083</v>
      </c>
      <c r="F1074" t="s"/>
      <c r="G1074" t="s"/>
      <c r="H1074" t="s"/>
      <c r="I1074" t="s"/>
      <c r="J1074" t="n">
        <v>-0.5562</v>
      </c>
      <c r="K1074" t="n">
        <v>0.246</v>
      </c>
      <c r="L1074" t="n">
        <v>0.754</v>
      </c>
      <c r="M1074" t="n">
        <v>0</v>
      </c>
    </row>
    <row r="1075" spans="1:13">
      <c r="A1075" s="1">
        <f>HYPERLINK("http://www.twitter.com/NathanBLawrence/status/986030974755573760", "986030974755573760")</f>
        <v/>
      </c>
      <c r="B1075" s="2" t="n">
        <v>43206.99858796296</v>
      </c>
      <c r="C1075" t="n">
        <v>4</v>
      </c>
      <c r="D1075" t="n">
        <v>0</v>
      </c>
      <c r="E1075" t="s">
        <v>1084</v>
      </c>
      <c r="F1075" t="s"/>
      <c r="G1075" t="s"/>
      <c r="H1075" t="s"/>
      <c r="I1075" t="s"/>
      <c r="J1075" t="n">
        <v>-0.6486</v>
      </c>
      <c r="K1075" t="n">
        <v>0.115</v>
      </c>
      <c r="L1075" t="n">
        <v>0.885</v>
      </c>
      <c r="M1075" t="n">
        <v>0</v>
      </c>
    </row>
    <row r="1076" spans="1:13">
      <c r="A1076" s="1">
        <f>HYPERLINK("http://www.twitter.com/NathanBLawrence/status/986030360432709632", "986030360432709632")</f>
        <v/>
      </c>
      <c r="B1076" s="2" t="n">
        <v>43206.99689814815</v>
      </c>
      <c r="C1076" t="n">
        <v>0</v>
      </c>
      <c r="D1076" t="n">
        <v>1</v>
      </c>
      <c r="E1076" t="s">
        <v>1085</v>
      </c>
      <c r="F1076" t="s"/>
      <c r="G1076" t="s"/>
      <c r="H1076" t="s"/>
      <c r="I1076" t="s"/>
      <c r="J1076" t="n">
        <v>0</v>
      </c>
      <c r="K1076" t="n">
        <v>0</v>
      </c>
      <c r="L1076" t="n">
        <v>1</v>
      </c>
      <c r="M1076" t="n">
        <v>0</v>
      </c>
    </row>
    <row r="1077" spans="1:13">
      <c r="A1077" s="1">
        <f>HYPERLINK("http://www.twitter.com/NathanBLawrence/status/986030050272337927", "986030050272337927")</f>
        <v/>
      </c>
      <c r="B1077" s="2" t="n">
        <v>43206.99604166667</v>
      </c>
      <c r="C1077" t="n">
        <v>0</v>
      </c>
      <c r="D1077" t="n">
        <v>1</v>
      </c>
      <c r="E1077" t="s">
        <v>1086</v>
      </c>
      <c r="F1077" t="s"/>
      <c r="G1077" t="s"/>
      <c r="H1077" t="s"/>
      <c r="I1077" t="s"/>
      <c r="J1077" t="n">
        <v>-0.6289</v>
      </c>
      <c r="K1077" t="n">
        <v>0.213</v>
      </c>
      <c r="L1077" t="n">
        <v>0.787</v>
      </c>
      <c r="M1077" t="n">
        <v>0</v>
      </c>
    </row>
    <row r="1078" spans="1:13">
      <c r="A1078" s="1">
        <f>HYPERLINK("http://www.twitter.com/NathanBLawrence/status/986029712165269504", "986029712165269504")</f>
        <v/>
      </c>
      <c r="B1078" s="2" t="n">
        <v>43206.99510416666</v>
      </c>
      <c r="C1078" t="n">
        <v>1</v>
      </c>
      <c r="D1078" t="n">
        <v>0</v>
      </c>
      <c r="E1078" t="s">
        <v>1087</v>
      </c>
      <c r="F1078" t="s"/>
      <c r="G1078" t="s"/>
      <c r="H1078" t="s"/>
      <c r="I1078" t="s"/>
      <c r="J1078" t="n">
        <v>0</v>
      </c>
      <c r="K1078" t="n">
        <v>0</v>
      </c>
      <c r="L1078" t="n">
        <v>1</v>
      </c>
      <c r="M1078" t="n">
        <v>0</v>
      </c>
    </row>
    <row r="1079" spans="1:13">
      <c r="A1079" s="1">
        <f>HYPERLINK("http://www.twitter.com/NathanBLawrence/status/986029276922343430", "986029276922343430")</f>
        <v/>
      </c>
      <c r="B1079" s="2" t="n">
        <v>43206.99390046296</v>
      </c>
      <c r="C1079" t="n">
        <v>0</v>
      </c>
      <c r="D1079" t="n">
        <v>8</v>
      </c>
      <c r="E1079" t="s">
        <v>1088</v>
      </c>
      <c r="F1079">
        <f>HYPERLINK("http://pbs.twimg.com/media/DaqibrBVQAA5Vfz.jpg", "http://pbs.twimg.com/media/DaqibrBVQAA5Vfz.jpg")</f>
        <v/>
      </c>
      <c r="G1079" t="s"/>
      <c r="H1079" t="s"/>
      <c r="I1079" t="s"/>
      <c r="J1079" t="n">
        <v>0.6071</v>
      </c>
      <c r="K1079" t="n">
        <v>0.103</v>
      </c>
      <c r="L1079" t="n">
        <v>0.575</v>
      </c>
      <c r="M1079" t="n">
        <v>0.322</v>
      </c>
    </row>
    <row r="1080" spans="1:13">
      <c r="A1080" s="1">
        <f>HYPERLINK("http://www.twitter.com/NathanBLawrence/status/986029203316494337", "986029203316494337")</f>
        <v/>
      </c>
      <c r="B1080" s="2" t="n">
        <v>43206.9937037037</v>
      </c>
      <c r="C1080" t="n">
        <v>0</v>
      </c>
      <c r="D1080" t="n">
        <v>6</v>
      </c>
      <c r="E1080" t="s">
        <v>1089</v>
      </c>
      <c r="F1080" t="s"/>
      <c r="G1080" t="s"/>
      <c r="H1080" t="s"/>
      <c r="I1080" t="s"/>
      <c r="J1080" t="n">
        <v>-0.5266999999999999</v>
      </c>
      <c r="K1080" t="n">
        <v>0.173</v>
      </c>
      <c r="L1080" t="n">
        <v>0.827</v>
      </c>
      <c r="M1080" t="n">
        <v>0</v>
      </c>
    </row>
    <row r="1081" spans="1:13">
      <c r="A1081" s="1">
        <f>HYPERLINK("http://www.twitter.com/NathanBLawrence/status/986029125877067777", "986029125877067777")</f>
        <v/>
      </c>
      <c r="B1081" s="2" t="n">
        <v>43206.99348379629</v>
      </c>
      <c r="C1081" t="n">
        <v>0</v>
      </c>
      <c r="D1081" t="n">
        <v>11</v>
      </c>
      <c r="E1081" t="s">
        <v>1090</v>
      </c>
      <c r="F1081">
        <f>HYPERLINK("http://pbs.twimg.com/media/DasLqm_WsAIwK7o.jpg", "http://pbs.twimg.com/media/DasLqm_WsAIwK7o.jpg")</f>
        <v/>
      </c>
      <c r="G1081" t="s"/>
      <c r="H1081" t="s"/>
      <c r="I1081" t="s"/>
      <c r="J1081" t="n">
        <v>0.6114000000000001</v>
      </c>
      <c r="K1081" t="n">
        <v>0</v>
      </c>
      <c r="L1081" t="n">
        <v>0.84</v>
      </c>
      <c r="M1081" t="n">
        <v>0.16</v>
      </c>
    </row>
    <row r="1082" spans="1:13">
      <c r="A1082" s="1">
        <f>HYPERLINK("http://www.twitter.com/NathanBLawrence/status/986029029596725248", "986029029596725248")</f>
        <v/>
      </c>
      <c r="B1082" s="2" t="n">
        <v>43206.99321759259</v>
      </c>
      <c r="C1082" t="n">
        <v>0</v>
      </c>
      <c r="D1082" t="n">
        <v>2</v>
      </c>
      <c r="E1082" t="s">
        <v>1091</v>
      </c>
      <c r="F1082" t="s"/>
      <c r="G1082" t="s"/>
      <c r="H1082" t="s"/>
      <c r="I1082" t="s"/>
      <c r="J1082" t="n">
        <v>0.3384</v>
      </c>
      <c r="K1082" t="n">
        <v>0</v>
      </c>
      <c r="L1082" t="n">
        <v>0.893</v>
      </c>
      <c r="M1082" t="n">
        <v>0.107</v>
      </c>
    </row>
    <row r="1083" spans="1:13">
      <c r="A1083" s="1">
        <f>HYPERLINK("http://www.twitter.com/NathanBLawrence/status/986028923438948353", "986028923438948353")</f>
        <v/>
      </c>
      <c r="B1083" s="2" t="n">
        <v>43206.99292824074</v>
      </c>
      <c r="C1083" t="n">
        <v>0</v>
      </c>
      <c r="D1083" t="n">
        <v>11</v>
      </c>
      <c r="E1083" t="s">
        <v>1092</v>
      </c>
      <c r="F1083" t="s"/>
      <c r="G1083" t="s"/>
      <c r="H1083" t="s"/>
      <c r="I1083" t="s"/>
      <c r="J1083" t="n">
        <v>-0.6705</v>
      </c>
      <c r="K1083" t="n">
        <v>0.226</v>
      </c>
      <c r="L1083" t="n">
        <v>0.717</v>
      </c>
      <c r="M1083" t="n">
        <v>0.057</v>
      </c>
    </row>
    <row r="1084" spans="1:13">
      <c r="A1084" s="1">
        <f>HYPERLINK("http://www.twitter.com/NathanBLawrence/status/986028888261386240", "986028888261386240")</f>
        <v/>
      </c>
      <c r="B1084" s="2" t="n">
        <v>43206.99283564815</v>
      </c>
      <c r="C1084" t="n">
        <v>0</v>
      </c>
      <c r="D1084" t="n">
        <v>6</v>
      </c>
      <c r="E1084" t="s">
        <v>1093</v>
      </c>
      <c r="F1084" t="s"/>
      <c r="G1084" t="s"/>
      <c r="H1084" t="s"/>
      <c r="I1084" t="s"/>
      <c r="J1084" t="n">
        <v>0.368</v>
      </c>
      <c r="K1084" t="n">
        <v>0.115</v>
      </c>
      <c r="L1084" t="n">
        <v>0.68</v>
      </c>
      <c r="M1084" t="n">
        <v>0.205</v>
      </c>
    </row>
    <row r="1085" spans="1:13">
      <c r="A1085" s="1">
        <f>HYPERLINK("http://www.twitter.com/NathanBLawrence/status/986028837048897536", "986028837048897536")</f>
        <v/>
      </c>
      <c r="B1085" s="2" t="n">
        <v>43206.99268518519</v>
      </c>
      <c r="C1085" t="n">
        <v>0</v>
      </c>
      <c r="D1085" t="n">
        <v>1</v>
      </c>
      <c r="E1085" t="s">
        <v>1094</v>
      </c>
      <c r="F1085" t="s"/>
      <c r="G1085" t="s"/>
      <c r="H1085" t="s"/>
      <c r="I1085" t="s"/>
      <c r="J1085" t="n">
        <v>0.6234</v>
      </c>
      <c r="K1085" t="n">
        <v>0</v>
      </c>
      <c r="L1085" t="n">
        <v>0.797</v>
      </c>
      <c r="M1085" t="n">
        <v>0.203</v>
      </c>
    </row>
    <row r="1086" spans="1:13">
      <c r="A1086" s="1">
        <f>HYPERLINK("http://www.twitter.com/NathanBLawrence/status/986028787023405056", "986028787023405056")</f>
        <v/>
      </c>
      <c r="B1086" s="2" t="n">
        <v>43206.99255787037</v>
      </c>
      <c r="C1086" t="n">
        <v>0</v>
      </c>
      <c r="D1086" t="n">
        <v>5</v>
      </c>
      <c r="E1086" t="s">
        <v>1095</v>
      </c>
      <c r="F1086" t="s"/>
      <c r="G1086" t="s"/>
      <c r="H1086" t="s"/>
      <c r="I1086" t="s"/>
      <c r="J1086" t="n">
        <v>-0.7549</v>
      </c>
      <c r="K1086" t="n">
        <v>0.254</v>
      </c>
      <c r="L1086" t="n">
        <v>0.746</v>
      </c>
      <c r="M1086" t="n">
        <v>0</v>
      </c>
    </row>
    <row r="1087" spans="1:13">
      <c r="A1087" s="1">
        <f>HYPERLINK("http://www.twitter.com/NathanBLawrence/status/986028718333276160", "986028718333276160")</f>
        <v/>
      </c>
      <c r="B1087" s="2" t="n">
        <v>43206.99236111111</v>
      </c>
      <c r="C1087" t="n">
        <v>0</v>
      </c>
      <c r="D1087" t="n">
        <v>8</v>
      </c>
      <c r="E1087" t="s">
        <v>1096</v>
      </c>
      <c r="F1087" t="s"/>
      <c r="G1087" t="s"/>
      <c r="H1087" t="s"/>
      <c r="I1087" t="s"/>
      <c r="J1087" t="n">
        <v>-0.3868</v>
      </c>
      <c r="K1087" t="n">
        <v>0.157</v>
      </c>
      <c r="L1087" t="n">
        <v>0.783</v>
      </c>
      <c r="M1087" t="n">
        <v>0.059</v>
      </c>
    </row>
    <row r="1088" spans="1:13">
      <c r="A1088" s="1">
        <f>HYPERLINK("http://www.twitter.com/NathanBLawrence/status/986028590763520000", "986028590763520000")</f>
        <v/>
      </c>
      <c r="B1088" s="2" t="n">
        <v>43206.99201388889</v>
      </c>
      <c r="C1088" t="n">
        <v>0</v>
      </c>
      <c r="D1088" t="n">
        <v>7</v>
      </c>
      <c r="E1088" t="s">
        <v>1097</v>
      </c>
      <c r="F1088" t="s"/>
      <c r="G1088" t="s"/>
      <c r="H1088" t="s"/>
      <c r="I1088" t="s"/>
      <c r="J1088" t="n">
        <v>0.6289</v>
      </c>
      <c r="K1088" t="n">
        <v>0</v>
      </c>
      <c r="L1088" t="n">
        <v>0.829</v>
      </c>
      <c r="M1088" t="n">
        <v>0.171</v>
      </c>
    </row>
    <row r="1089" spans="1:13">
      <c r="A1089" s="1">
        <f>HYPERLINK("http://www.twitter.com/NathanBLawrence/status/986028522044092416", "986028522044092416")</f>
        <v/>
      </c>
      <c r="B1089" s="2" t="n">
        <v>43206.99181712963</v>
      </c>
      <c r="C1089" t="n">
        <v>0</v>
      </c>
      <c r="D1089" t="n">
        <v>15</v>
      </c>
      <c r="E1089" t="s">
        <v>1098</v>
      </c>
      <c r="F1089">
        <f>HYPERLINK("http://pbs.twimg.com/media/Daw08CRV4AA8fzd.jpg", "http://pbs.twimg.com/media/Daw08CRV4AA8fzd.jpg")</f>
        <v/>
      </c>
      <c r="G1089" t="s"/>
      <c r="H1089" t="s"/>
      <c r="I1089" t="s"/>
      <c r="J1089" t="n">
        <v>0.4084</v>
      </c>
      <c r="K1089" t="n">
        <v>0.054</v>
      </c>
      <c r="L1089" t="n">
        <v>0.8129999999999999</v>
      </c>
      <c r="M1089" t="n">
        <v>0.133</v>
      </c>
    </row>
    <row r="1090" spans="1:13">
      <c r="A1090" s="1">
        <f>HYPERLINK("http://www.twitter.com/NathanBLawrence/status/986028486577065984", "986028486577065984")</f>
        <v/>
      </c>
      <c r="B1090" s="2" t="n">
        <v>43206.99172453704</v>
      </c>
      <c r="C1090" t="n">
        <v>0</v>
      </c>
      <c r="D1090" t="n">
        <v>9</v>
      </c>
      <c r="E1090" t="s">
        <v>1099</v>
      </c>
      <c r="F1090">
        <f>HYPERLINK("http://pbs.twimg.com/media/Dayu35QUQAA1F3w.jpg", "http://pbs.twimg.com/media/Dayu35QUQAA1F3w.jpg")</f>
        <v/>
      </c>
      <c r="G1090" t="s"/>
      <c r="H1090" t="s"/>
      <c r="I1090" t="s"/>
      <c r="J1090" t="n">
        <v>0</v>
      </c>
      <c r="K1090" t="n">
        <v>0</v>
      </c>
      <c r="L1090" t="n">
        <v>1</v>
      </c>
      <c r="M1090" t="n">
        <v>0</v>
      </c>
    </row>
    <row r="1091" spans="1:13">
      <c r="A1091" s="1">
        <f>HYPERLINK("http://www.twitter.com/NathanBLawrence/status/986028290350768128", "986028290350768128")</f>
        <v/>
      </c>
      <c r="B1091" s="2" t="n">
        <v>43206.99118055555</v>
      </c>
      <c r="C1091" t="n">
        <v>0</v>
      </c>
      <c r="D1091" t="n">
        <v>7</v>
      </c>
      <c r="E1091" t="s">
        <v>1100</v>
      </c>
      <c r="F1091" t="s"/>
      <c r="G1091" t="s"/>
      <c r="H1091" t="s"/>
      <c r="I1091" t="s"/>
      <c r="J1091" t="n">
        <v>-0.2732</v>
      </c>
      <c r="K1091" t="n">
        <v>0.1</v>
      </c>
      <c r="L1091" t="n">
        <v>0.9</v>
      </c>
      <c r="M1091" t="n">
        <v>0</v>
      </c>
    </row>
    <row r="1092" spans="1:13">
      <c r="A1092" s="1">
        <f>HYPERLINK("http://www.twitter.com/NathanBLawrence/status/986028123828490241", "986028123828490241")</f>
        <v/>
      </c>
      <c r="B1092" s="2" t="n">
        <v>43206.99071759259</v>
      </c>
      <c r="C1092" t="n">
        <v>0</v>
      </c>
      <c r="D1092" t="n">
        <v>3</v>
      </c>
      <c r="E1092" t="s">
        <v>1101</v>
      </c>
      <c r="F1092" t="s"/>
      <c r="G1092" t="s"/>
      <c r="H1092" t="s"/>
      <c r="I1092" t="s"/>
      <c r="J1092" t="n">
        <v>-0.0688</v>
      </c>
      <c r="K1092" t="n">
        <v>0.11</v>
      </c>
      <c r="L1092" t="n">
        <v>0.792</v>
      </c>
      <c r="M1092" t="n">
        <v>0.098</v>
      </c>
    </row>
    <row r="1093" spans="1:13">
      <c r="A1093" s="1">
        <f>HYPERLINK("http://www.twitter.com/NathanBLawrence/status/986028026587738113", "986028026587738113")</f>
        <v/>
      </c>
      <c r="B1093" s="2" t="n">
        <v>43206.99045138889</v>
      </c>
      <c r="C1093" t="n">
        <v>0</v>
      </c>
      <c r="D1093" t="n">
        <v>7</v>
      </c>
      <c r="E1093" t="s">
        <v>1102</v>
      </c>
      <c r="F1093">
        <f>HYPERLINK("http://pbs.twimg.com/media/Da5KhBOVMAARCey.jpg", "http://pbs.twimg.com/media/Da5KhBOVMAARCey.jpg")</f>
        <v/>
      </c>
      <c r="G1093" t="s"/>
      <c r="H1093" t="s"/>
      <c r="I1093" t="s"/>
      <c r="J1093" t="n">
        <v>0</v>
      </c>
      <c r="K1093" t="n">
        <v>0</v>
      </c>
      <c r="L1093" t="n">
        <v>1</v>
      </c>
      <c r="M1093" t="n">
        <v>0</v>
      </c>
    </row>
    <row r="1094" spans="1:13">
      <c r="A1094" s="1">
        <f>HYPERLINK("http://www.twitter.com/NathanBLawrence/status/986027957444579330", "986027957444579330")</f>
        <v/>
      </c>
      <c r="B1094" s="2" t="n">
        <v>43206.99026620371</v>
      </c>
      <c r="C1094" t="n">
        <v>0</v>
      </c>
      <c r="D1094" t="n">
        <v>8</v>
      </c>
      <c r="E1094" t="s">
        <v>1103</v>
      </c>
      <c r="F1094" t="s"/>
      <c r="G1094" t="s"/>
      <c r="H1094" t="s"/>
      <c r="I1094" t="s"/>
      <c r="J1094" t="n">
        <v>0</v>
      </c>
      <c r="K1094" t="n">
        <v>0</v>
      </c>
      <c r="L1094" t="n">
        <v>1</v>
      </c>
      <c r="M1094" t="n">
        <v>0</v>
      </c>
    </row>
    <row r="1095" spans="1:13">
      <c r="A1095" s="1">
        <f>HYPERLINK("http://www.twitter.com/NathanBLawrence/status/986027922552180736", "986027922552180736")</f>
        <v/>
      </c>
      <c r="B1095" s="2" t="n">
        <v>43206.99016203704</v>
      </c>
      <c r="C1095" t="n">
        <v>0</v>
      </c>
      <c r="D1095" t="n">
        <v>4</v>
      </c>
      <c r="E1095" t="s">
        <v>1104</v>
      </c>
      <c r="F1095">
        <f>HYPERLINK("http://pbs.twimg.com/media/Da51L6SVwAA5gKs.jpg", "http://pbs.twimg.com/media/Da51L6SVwAA5gKs.jpg")</f>
        <v/>
      </c>
      <c r="G1095" t="s"/>
      <c r="H1095" t="s"/>
      <c r="I1095" t="s"/>
      <c r="J1095" t="n">
        <v>0</v>
      </c>
      <c r="K1095" t="n">
        <v>0</v>
      </c>
      <c r="L1095" t="n">
        <v>1</v>
      </c>
      <c r="M1095" t="n">
        <v>0</v>
      </c>
    </row>
    <row r="1096" spans="1:13">
      <c r="A1096" s="1">
        <f>HYPERLINK("http://www.twitter.com/NathanBLawrence/status/986027841442734080", "986027841442734080")</f>
        <v/>
      </c>
      <c r="B1096" s="2" t="n">
        <v>43206.98994212963</v>
      </c>
      <c r="C1096" t="n">
        <v>0</v>
      </c>
      <c r="D1096" t="n">
        <v>9</v>
      </c>
      <c r="E1096" t="s">
        <v>1105</v>
      </c>
      <c r="F1096" t="s"/>
      <c r="G1096" t="s"/>
      <c r="H1096" t="s"/>
      <c r="I1096" t="s"/>
      <c r="J1096" t="n">
        <v>0.4019</v>
      </c>
      <c r="K1096" t="n">
        <v>0</v>
      </c>
      <c r="L1096" t="n">
        <v>0.876</v>
      </c>
      <c r="M1096" t="n">
        <v>0.124</v>
      </c>
    </row>
    <row r="1097" spans="1:13">
      <c r="A1097" s="1">
        <f>HYPERLINK("http://www.twitter.com/NathanBLawrence/status/986027813554851841", "986027813554851841")</f>
        <v/>
      </c>
      <c r="B1097" s="2" t="n">
        <v>43206.98986111111</v>
      </c>
      <c r="C1097" t="n">
        <v>0</v>
      </c>
      <c r="D1097" t="n">
        <v>3</v>
      </c>
      <c r="E1097" t="s">
        <v>1106</v>
      </c>
      <c r="F1097" t="s"/>
      <c r="G1097" t="s"/>
      <c r="H1097" t="s"/>
      <c r="I1097" t="s"/>
      <c r="J1097" t="n">
        <v>0.4019</v>
      </c>
      <c r="K1097" t="n">
        <v>0</v>
      </c>
      <c r="L1097" t="n">
        <v>0.876</v>
      </c>
      <c r="M1097" t="n">
        <v>0.124</v>
      </c>
    </row>
    <row r="1098" spans="1:13">
      <c r="A1098" s="1">
        <f>HYPERLINK("http://www.twitter.com/NathanBLawrence/status/986027769359405062", "986027769359405062")</f>
        <v/>
      </c>
      <c r="B1098" s="2" t="n">
        <v>43206.98974537037</v>
      </c>
      <c r="C1098" t="n">
        <v>0</v>
      </c>
      <c r="D1098" t="n">
        <v>5</v>
      </c>
      <c r="E1098" t="s">
        <v>1107</v>
      </c>
      <c r="F1098" t="s"/>
      <c r="G1098" t="s"/>
      <c r="H1098" t="s"/>
      <c r="I1098" t="s"/>
      <c r="J1098" t="n">
        <v>0.2411</v>
      </c>
      <c r="K1098" t="n">
        <v>0</v>
      </c>
      <c r="L1098" t="n">
        <v>0.921</v>
      </c>
      <c r="M1098" t="n">
        <v>0.079</v>
      </c>
    </row>
    <row r="1099" spans="1:13">
      <c r="A1099" s="1">
        <f>HYPERLINK("http://www.twitter.com/NathanBLawrence/status/986027457529688064", "986027457529688064")</f>
        <v/>
      </c>
      <c r="B1099" s="2" t="n">
        <v>43206.98888888889</v>
      </c>
      <c r="C1099" t="n">
        <v>0</v>
      </c>
      <c r="D1099" t="n">
        <v>1</v>
      </c>
      <c r="E1099" t="s">
        <v>1108</v>
      </c>
      <c r="F1099" t="s"/>
      <c r="G1099" t="s"/>
      <c r="H1099" t="s"/>
      <c r="I1099" t="s"/>
      <c r="J1099" t="n">
        <v>0</v>
      </c>
      <c r="K1099" t="n">
        <v>0</v>
      </c>
      <c r="L1099" t="n">
        <v>1</v>
      </c>
      <c r="M1099" t="n">
        <v>0</v>
      </c>
    </row>
    <row r="1100" spans="1:13">
      <c r="A1100" s="1">
        <f>HYPERLINK("http://www.twitter.com/NathanBLawrence/status/986026749099159552", "986026749099159552")</f>
        <v/>
      </c>
      <c r="B1100" s="2" t="n">
        <v>43206.98693287037</v>
      </c>
      <c r="C1100" t="n">
        <v>0</v>
      </c>
      <c r="D1100" t="n">
        <v>1</v>
      </c>
      <c r="E1100" t="s">
        <v>1109</v>
      </c>
      <c r="F1100">
        <f>HYPERLINK("http://pbs.twimg.com/media/Da68kBnU0AE9J-C.jpg", "http://pbs.twimg.com/media/Da68kBnU0AE9J-C.jpg")</f>
        <v/>
      </c>
      <c r="G1100" t="s"/>
      <c r="H1100" t="s"/>
      <c r="I1100" t="s"/>
      <c r="J1100" t="n">
        <v>0</v>
      </c>
      <c r="K1100" t="n">
        <v>0</v>
      </c>
      <c r="L1100" t="n">
        <v>1</v>
      </c>
      <c r="M1100" t="n">
        <v>0</v>
      </c>
    </row>
    <row r="1101" spans="1:13">
      <c r="A1101" s="1">
        <f>HYPERLINK("http://www.twitter.com/NathanBLawrence/status/986026560514818048", "986026560514818048")</f>
        <v/>
      </c>
      <c r="B1101" s="2" t="n">
        <v>43206.98641203704</v>
      </c>
      <c r="C1101" t="n">
        <v>0</v>
      </c>
      <c r="D1101" t="n">
        <v>6</v>
      </c>
      <c r="E1101" t="s">
        <v>1110</v>
      </c>
      <c r="F1101">
        <f>HYPERLINK("http://pbs.twimg.com/media/Da67DJnWAAA6ny8.jpg", "http://pbs.twimg.com/media/Da67DJnWAAA6ny8.jpg")</f>
        <v/>
      </c>
      <c r="G1101" t="s"/>
      <c r="H1101" t="s"/>
      <c r="I1101" t="s"/>
      <c r="J1101" t="n">
        <v>0</v>
      </c>
      <c r="K1101" t="n">
        <v>0</v>
      </c>
      <c r="L1101" t="n">
        <v>1</v>
      </c>
      <c r="M1101" t="n">
        <v>0</v>
      </c>
    </row>
    <row r="1102" spans="1:13">
      <c r="A1102" s="1">
        <f>HYPERLINK("http://www.twitter.com/NathanBLawrence/status/986026098449436672", "986026098449436672")</f>
        <v/>
      </c>
      <c r="B1102" s="2" t="n">
        <v>43206.98513888889</v>
      </c>
      <c r="C1102" t="n">
        <v>0</v>
      </c>
      <c r="D1102" t="n">
        <v>7</v>
      </c>
      <c r="E1102" t="s">
        <v>1111</v>
      </c>
      <c r="F1102" t="s"/>
      <c r="G1102" t="s"/>
      <c r="H1102" t="s"/>
      <c r="I1102" t="s"/>
      <c r="J1102" t="n">
        <v>-0.4939</v>
      </c>
      <c r="K1102" t="n">
        <v>0.151</v>
      </c>
      <c r="L1102" t="n">
        <v>0.849</v>
      </c>
      <c r="M1102" t="n">
        <v>0</v>
      </c>
    </row>
    <row r="1103" spans="1:13">
      <c r="A1103" s="1">
        <f>HYPERLINK("http://www.twitter.com/NathanBLawrence/status/986026061925355520", "986026061925355520")</f>
        <v/>
      </c>
      <c r="B1103" s="2" t="n">
        <v>43206.98503472222</v>
      </c>
      <c r="C1103" t="n">
        <v>0</v>
      </c>
      <c r="D1103" t="n">
        <v>11</v>
      </c>
      <c r="E1103" t="s">
        <v>1112</v>
      </c>
      <c r="F1103">
        <f>HYPERLINK("http://pbs.twimg.com/media/Da8JNytVwAA5xfd.jpg", "http://pbs.twimg.com/media/Da8JNytVwAA5xfd.jpg")</f>
        <v/>
      </c>
      <c r="G1103" t="s"/>
      <c r="H1103" t="s"/>
      <c r="I1103" t="s"/>
      <c r="J1103" t="n">
        <v>0.3818</v>
      </c>
      <c r="K1103" t="n">
        <v>0</v>
      </c>
      <c r="L1103" t="n">
        <v>0.86</v>
      </c>
      <c r="M1103" t="n">
        <v>0.14</v>
      </c>
    </row>
    <row r="1104" spans="1:13">
      <c r="A1104" s="1">
        <f>HYPERLINK("http://www.twitter.com/NathanBLawrence/status/986025458906083328", "986025458906083328")</f>
        <v/>
      </c>
      <c r="B1104" s="2" t="n">
        <v>43206.98336805555</v>
      </c>
      <c r="C1104" t="n">
        <v>0</v>
      </c>
      <c r="D1104" t="n">
        <v>9</v>
      </c>
      <c r="E1104" t="s">
        <v>1113</v>
      </c>
      <c r="F1104" t="s"/>
      <c r="G1104" t="s"/>
      <c r="H1104" t="s"/>
      <c r="I1104" t="s"/>
      <c r="J1104" t="n">
        <v>-0.5266999999999999</v>
      </c>
      <c r="K1104" t="n">
        <v>0.253</v>
      </c>
      <c r="L1104" t="n">
        <v>0.747</v>
      </c>
      <c r="M1104" t="n">
        <v>0</v>
      </c>
    </row>
    <row r="1105" spans="1:13">
      <c r="A1105" s="1">
        <f>HYPERLINK("http://www.twitter.com/NathanBLawrence/status/986025367587708928", "986025367587708928")</f>
        <v/>
      </c>
      <c r="B1105" s="2" t="n">
        <v>43206.98311342593</v>
      </c>
      <c r="C1105" t="n">
        <v>0</v>
      </c>
      <c r="D1105" t="n">
        <v>2</v>
      </c>
      <c r="E1105" t="s">
        <v>1114</v>
      </c>
      <c r="F1105">
        <f>HYPERLINK("http://pbs.twimg.com/media/Da7EitJUQAEWvC7.jpg", "http://pbs.twimg.com/media/Da7EitJUQAEWvC7.jpg")</f>
        <v/>
      </c>
      <c r="G1105" t="s"/>
      <c r="H1105" t="s"/>
      <c r="I1105" t="s"/>
      <c r="J1105" t="n">
        <v>-0.8126</v>
      </c>
      <c r="K1105" t="n">
        <v>0.344</v>
      </c>
      <c r="L1105" t="n">
        <v>0.656</v>
      </c>
      <c r="M1105" t="n">
        <v>0</v>
      </c>
    </row>
    <row r="1106" spans="1:13">
      <c r="A1106" s="1">
        <f>HYPERLINK("http://www.twitter.com/NathanBLawrence/status/986025248616263680", "986025248616263680")</f>
        <v/>
      </c>
      <c r="B1106" s="2" t="n">
        <v>43206.98278935185</v>
      </c>
      <c r="C1106" t="n">
        <v>0</v>
      </c>
      <c r="D1106" t="n">
        <v>1</v>
      </c>
      <c r="E1106" t="s">
        <v>1115</v>
      </c>
      <c r="F1106">
        <f>HYPERLINK("http://pbs.twimg.com/media/Da7O-stVwAAs7_m.jpg", "http://pbs.twimg.com/media/Da7O-stVwAAs7_m.jpg")</f>
        <v/>
      </c>
      <c r="G1106" t="s"/>
      <c r="H1106" t="s"/>
      <c r="I1106" t="s"/>
      <c r="J1106" t="n">
        <v>-0.6486</v>
      </c>
      <c r="K1106" t="n">
        <v>0.227</v>
      </c>
      <c r="L1106" t="n">
        <v>0.773</v>
      </c>
      <c r="M1106" t="n">
        <v>0</v>
      </c>
    </row>
    <row r="1107" spans="1:13">
      <c r="A1107" s="1">
        <f>HYPERLINK("http://www.twitter.com/NathanBLawrence/status/986025067229405185", "986025067229405185")</f>
        <v/>
      </c>
      <c r="B1107" s="2" t="n">
        <v>43206.98229166667</v>
      </c>
      <c r="C1107" t="n">
        <v>3</v>
      </c>
      <c r="D1107" t="n">
        <v>2</v>
      </c>
      <c r="E1107" t="s">
        <v>1116</v>
      </c>
      <c r="F1107" t="s"/>
      <c r="G1107" t="s"/>
      <c r="H1107" t="s"/>
      <c r="I1107" t="s"/>
      <c r="J1107" t="n">
        <v>0.0772</v>
      </c>
      <c r="K1107" t="n">
        <v>0</v>
      </c>
      <c r="L1107" t="n">
        <v>0.885</v>
      </c>
      <c r="M1107" t="n">
        <v>0.115</v>
      </c>
    </row>
    <row r="1108" spans="1:13">
      <c r="A1108" s="1">
        <f>HYPERLINK("http://www.twitter.com/NathanBLawrence/status/986024805723004930", "986024805723004930")</f>
        <v/>
      </c>
      <c r="B1108" s="2" t="n">
        <v>43206.9815625</v>
      </c>
      <c r="C1108" t="n">
        <v>2</v>
      </c>
      <c r="D1108" t="n">
        <v>0</v>
      </c>
      <c r="E1108" t="s">
        <v>1117</v>
      </c>
      <c r="F1108" t="s"/>
      <c r="G1108" t="s"/>
      <c r="H1108" t="s"/>
      <c r="I1108" t="s"/>
      <c r="J1108" t="n">
        <v>-0.4767</v>
      </c>
      <c r="K1108" t="n">
        <v>0.091</v>
      </c>
      <c r="L1108" t="n">
        <v>0.909</v>
      </c>
      <c r="M1108" t="n">
        <v>0</v>
      </c>
    </row>
    <row r="1109" spans="1:13">
      <c r="A1109" s="1">
        <f>HYPERLINK("http://www.twitter.com/NathanBLawrence/status/986023741342863360", "986023741342863360")</f>
        <v/>
      </c>
      <c r="B1109" s="2" t="n">
        <v>43206.97863425926</v>
      </c>
      <c r="C1109" t="n">
        <v>0</v>
      </c>
      <c r="D1109" t="n">
        <v>1</v>
      </c>
      <c r="E1109" t="s">
        <v>1118</v>
      </c>
      <c r="F1109" t="s"/>
      <c r="G1109" t="s"/>
      <c r="H1109" t="s"/>
      <c r="I1109" t="s"/>
      <c r="J1109" t="n">
        <v>-0.1779</v>
      </c>
      <c r="K1109" t="n">
        <v>0.13</v>
      </c>
      <c r="L1109" t="n">
        <v>0.769</v>
      </c>
      <c r="M1109" t="n">
        <v>0.101</v>
      </c>
    </row>
    <row r="1110" spans="1:13">
      <c r="A1110" s="1">
        <f>HYPERLINK("http://www.twitter.com/NathanBLawrence/status/985683933558968322", "985683933558968322")</f>
        <v/>
      </c>
      <c r="B1110" s="2" t="n">
        <v>43206.0409375</v>
      </c>
      <c r="C1110" t="n">
        <v>2</v>
      </c>
      <c r="D1110" t="n">
        <v>0</v>
      </c>
      <c r="E1110" t="s">
        <v>1119</v>
      </c>
      <c r="F1110" t="s"/>
      <c r="G1110" t="s"/>
      <c r="H1110" t="s"/>
      <c r="I1110" t="s"/>
      <c r="J1110" t="n">
        <v>0</v>
      </c>
      <c r="K1110" t="n">
        <v>0</v>
      </c>
      <c r="L1110" t="n">
        <v>1</v>
      </c>
      <c r="M1110" t="n">
        <v>0</v>
      </c>
    </row>
    <row r="1111" spans="1:13">
      <c r="A1111" s="1">
        <f>HYPERLINK("http://www.twitter.com/NathanBLawrence/status/985682751847354368", "985682751847354368")</f>
        <v/>
      </c>
      <c r="B1111" s="2" t="n">
        <v>43206.03767361111</v>
      </c>
      <c r="C1111" t="n">
        <v>0</v>
      </c>
      <c r="D1111" t="n">
        <v>121</v>
      </c>
      <c r="E1111" t="s">
        <v>1120</v>
      </c>
      <c r="F1111" t="s"/>
      <c r="G1111" t="s"/>
      <c r="H1111" t="s"/>
      <c r="I1111" t="s"/>
      <c r="J1111" t="n">
        <v>0</v>
      </c>
      <c r="K1111" t="n">
        <v>0</v>
      </c>
      <c r="L1111" t="n">
        <v>1</v>
      </c>
      <c r="M1111" t="n">
        <v>0</v>
      </c>
    </row>
    <row r="1112" spans="1:13">
      <c r="A1112" s="1">
        <f>HYPERLINK("http://www.twitter.com/NathanBLawrence/status/985682701175926784", "985682701175926784")</f>
        <v/>
      </c>
      <c r="B1112" s="2" t="n">
        <v>43206.03753472222</v>
      </c>
      <c r="C1112" t="n">
        <v>0</v>
      </c>
      <c r="D1112" t="n">
        <v>0</v>
      </c>
      <c r="E1112" t="s">
        <v>1121</v>
      </c>
      <c r="F1112" t="s"/>
      <c r="G1112" t="s"/>
      <c r="H1112" t="s"/>
      <c r="I1112" t="s"/>
      <c r="J1112" t="n">
        <v>0</v>
      </c>
      <c r="K1112" t="n">
        <v>0</v>
      </c>
      <c r="L1112" t="n">
        <v>1</v>
      </c>
      <c r="M1112" t="n">
        <v>0</v>
      </c>
    </row>
    <row r="1113" spans="1:13">
      <c r="A1113" s="1">
        <f>HYPERLINK("http://www.twitter.com/NathanBLawrence/status/985682013494611968", "985682013494611968")</f>
        <v/>
      </c>
      <c r="B1113" s="2" t="n">
        <v>43206.03563657407</v>
      </c>
      <c r="C1113" t="n">
        <v>0</v>
      </c>
      <c r="D1113" t="n">
        <v>1</v>
      </c>
      <c r="E1113" t="s">
        <v>1122</v>
      </c>
      <c r="F1113" t="s"/>
      <c r="G1113" t="s"/>
      <c r="H1113" t="s"/>
      <c r="I1113" t="s"/>
      <c r="J1113" t="n">
        <v>0</v>
      </c>
      <c r="K1113" t="n">
        <v>0</v>
      </c>
      <c r="L1113" t="n">
        <v>1</v>
      </c>
      <c r="M1113" t="n">
        <v>0</v>
      </c>
    </row>
    <row r="1114" spans="1:13">
      <c r="A1114" s="1">
        <f>HYPERLINK("http://www.twitter.com/NathanBLawrence/status/985681512338219013", "985681512338219013")</f>
        <v/>
      </c>
      <c r="B1114" s="2" t="n">
        <v>43206.03425925926</v>
      </c>
      <c r="C1114" t="n">
        <v>0</v>
      </c>
      <c r="D1114" t="n">
        <v>0</v>
      </c>
      <c r="E1114" t="s">
        <v>1123</v>
      </c>
      <c r="F1114" t="s"/>
      <c r="G1114" t="s"/>
      <c r="H1114" t="s"/>
      <c r="I1114" t="s"/>
      <c r="J1114" t="n">
        <v>0</v>
      </c>
      <c r="K1114" t="n">
        <v>0</v>
      </c>
      <c r="L1114" t="n">
        <v>1</v>
      </c>
      <c r="M1114" t="n">
        <v>0</v>
      </c>
    </row>
    <row r="1115" spans="1:13">
      <c r="A1115" s="1">
        <f>HYPERLINK("http://www.twitter.com/NathanBLawrence/status/985679877679583232", "985679877679583232")</f>
        <v/>
      </c>
      <c r="B1115" s="2" t="n">
        <v>43206.02974537037</v>
      </c>
      <c r="C1115" t="n">
        <v>0</v>
      </c>
      <c r="D1115" t="n">
        <v>0</v>
      </c>
      <c r="E1115" t="s">
        <v>1124</v>
      </c>
      <c r="F1115" t="s"/>
      <c r="G1115" t="s"/>
      <c r="H1115" t="s"/>
      <c r="I1115" t="s"/>
      <c r="J1115" t="n">
        <v>-0.7063</v>
      </c>
      <c r="K1115" t="n">
        <v>0.493</v>
      </c>
      <c r="L1115" t="n">
        <v>0.507</v>
      </c>
      <c r="M1115" t="n">
        <v>0</v>
      </c>
    </row>
    <row r="1116" spans="1:13">
      <c r="A1116" s="1">
        <f>HYPERLINK("http://www.twitter.com/NathanBLawrence/status/985679481934352384", "985679481934352384")</f>
        <v/>
      </c>
      <c r="B1116" s="2" t="n">
        <v>43206.02865740741</v>
      </c>
      <c r="C1116" t="n">
        <v>1</v>
      </c>
      <c r="D1116" t="n">
        <v>0</v>
      </c>
      <c r="E1116" t="s">
        <v>1125</v>
      </c>
      <c r="F1116" t="s"/>
      <c r="G1116" t="s"/>
      <c r="H1116" t="s"/>
      <c r="I1116" t="s"/>
      <c r="J1116" t="n">
        <v>-0.49</v>
      </c>
      <c r="K1116" t="n">
        <v>0.614</v>
      </c>
      <c r="L1116" t="n">
        <v>0.386</v>
      </c>
      <c r="M1116" t="n">
        <v>0</v>
      </c>
    </row>
    <row r="1117" spans="1:13">
      <c r="A1117" s="1">
        <f>HYPERLINK("http://www.twitter.com/NathanBLawrence/status/985679442482778112", "985679442482778112")</f>
        <v/>
      </c>
      <c r="B1117" s="2" t="n">
        <v>43206.02854166667</v>
      </c>
      <c r="C1117" t="n">
        <v>0</v>
      </c>
      <c r="D1117" t="n">
        <v>3</v>
      </c>
      <c r="E1117" t="s">
        <v>1126</v>
      </c>
      <c r="F1117">
        <f>HYPERLINK("http://pbs.twimg.com/media/Da3N7P4W4AIxNKb.jpg", "http://pbs.twimg.com/media/Da3N7P4W4AIxNKb.jpg")</f>
        <v/>
      </c>
      <c r="G1117" t="s"/>
      <c r="H1117" t="s"/>
      <c r="I1117" t="s"/>
      <c r="J1117" t="n">
        <v>0.7088</v>
      </c>
      <c r="K1117" t="n">
        <v>0</v>
      </c>
      <c r="L1117" t="n">
        <v>0.753</v>
      </c>
      <c r="M1117" t="n">
        <v>0.247</v>
      </c>
    </row>
    <row r="1118" spans="1:13">
      <c r="A1118" s="1">
        <f>HYPERLINK("http://www.twitter.com/NathanBLawrence/status/985679148642430977", "985679148642430977")</f>
        <v/>
      </c>
      <c r="B1118" s="2" t="n">
        <v>43206.02773148148</v>
      </c>
      <c r="C1118" t="n">
        <v>0</v>
      </c>
      <c r="D1118" t="n">
        <v>9</v>
      </c>
      <c r="E1118" t="s">
        <v>1127</v>
      </c>
      <c r="F1118">
        <f>HYPERLINK("http://pbs.twimg.com/media/Da3M3R9VMAAAMRQ.jpg", "http://pbs.twimg.com/media/Da3M3R9VMAAAMRQ.jpg")</f>
        <v/>
      </c>
      <c r="G1118">
        <f>HYPERLINK("http://pbs.twimg.com/media/Da3M3xLUQAAdpXQ.jpg", "http://pbs.twimg.com/media/Da3M3xLUQAAdpXQ.jpg")</f>
        <v/>
      </c>
      <c r="H1118" t="s"/>
      <c r="I1118" t="s"/>
      <c r="J1118" t="n">
        <v>0.2023</v>
      </c>
      <c r="K1118" t="n">
        <v>0</v>
      </c>
      <c r="L1118" t="n">
        <v>0.927</v>
      </c>
      <c r="M1118" t="n">
        <v>0.073</v>
      </c>
    </row>
    <row r="1119" spans="1:13">
      <c r="A1119" s="1">
        <f>HYPERLINK("http://www.twitter.com/NathanBLawrence/status/985678593555685376", "985678593555685376")</f>
        <v/>
      </c>
      <c r="B1119" s="2" t="n">
        <v>43206.0262037037</v>
      </c>
      <c r="C1119" t="n">
        <v>0</v>
      </c>
      <c r="D1119" t="n">
        <v>49</v>
      </c>
      <c r="E1119" t="s">
        <v>1128</v>
      </c>
      <c r="F1119" t="s"/>
      <c r="G1119" t="s"/>
      <c r="H1119" t="s"/>
      <c r="I1119" t="s"/>
      <c r="J1119" t="n">
        <v>-0.5764</v>
      </c>
      <c r="K1119" t="n">
        <v>0.135</v>
      </c>
      <c r="L1119" t="n">
        <v>0.865</v>
      </c>
      <c r="M1119" t="n">
        <v>0</v>
      </c>
    </row>
    <row r="1120" spans="1:13">
      <c r="A1120" s="1">
        <f>HYPERLINK("http://www.twitter.com/NathanBLawrence/status/985678472629669889", "985678472629669889")</f>
        <v/>
      </c>
      <c r="B1120" s="2" t="n">
        <v>43206.02586805556</v>
      </c>
      <c r="C1120" t="n">
        <v>0</v>
      </c>
      <c r="D1120" t="n">
        <v>16</v>
      </c>
      <c r="E1120" t="s">
        <v>1129</v>
      </c>
      <c r="F1120" t="s"/>
      <c r="G1120" t="s"/>
      <c r="H1120" t="s"/>
      <c r="I1120" t="s"/>
      <c r="J1120" t="n">
        <v>-0.4767</v>
      </c>
      <c r="K1120" t="n">
        <v>0.114</v>
      </c>
      <c r="L1120" t="n">
        <v>0.886</v>
      </c>
      <c r="M1120" t="n">
        <v>0</v>
      </c>
    </row>
    <row r="1121" spans="1:13">
      <c r="A1121" s="1">
        <f>HYPERLINK("http://www.twitter.com/NathanBLawrence/status/985678302147997696", "985678302147997696")</f>
        <v/>
      </c>
      <c r="B1121" s="2" t="n">
        <v>43206.02539351852</v>
      </c>
      <c r="C1121" t="n">
        <v>0</v>
      </c>
      <c r="D1121" t="n">
        <v>176</v>
      </c>
      <c r="E1121" t="s">
        <v>1130</v>
      </c>
      <c r="F1121">
        <f>HYPERLINK("http://pbs.twimg.com/media/Da3QojVU0AAsplJ.jpg", "http://pbs.twimg.com/media/Da3QojVU0AAsplJ.jpg")</f>
        <v/>
      </c>
      <c r="G1121" t="s"/>
      <c r="H1121" t="s"/>
      <c r="I1121" t="s"/>
      <c r="J1121" t="n">
        <v>0.466</v>
      </c>
      <c r="K1121" t="n">
        <v>0</v>
      </c>
      <c r="L1121" t="n">
        <v>0.622</v>
      </c>
      <c r="M1121" t="n">
        <v>0.378</v>
      </c>
    </row>
    <row r="1122" spans="1:13">
      <c r="A1122" s="1">
        <f>HYPERLINK("http://www.twitter.com/NathanBLawrence/status/985678070039351296", "985678070039351296")</f>
        <v/>
      </c>
      <c r="B1122" s="2" t="n">
        <v>43206.02475694445</v>
      </c>
      <c r="C1122" t="n">
        <v>0</v>
      </c>
      <c r="D1122" t="n">
        <v>117</v>
      </c>
      <c r="E1122" t="s">
        <v>1131</v>
      </c>
      <c r="F1122" t="s"/>
      <c r="G1122" t="s"/>
      <c r="H1122" t="s"/>
      <c r="I1122" t="s"/>
      <c r="J1122" t="n">
        <v>0</v>
      </c>
      <c r="K1122" t="n">
        <v>0</v>
      </c>
      <c r="L1122" t="n">
        <v>1</v>
      </c>
      <c r="M1122" t="n">
        <v>0</v>
      </c>
    </row>
    <row r="1123" spans="1:13">
      <c r="A1123" s="1">
        <f>HYPERLINK("http://www.twitter.com/NathanBLawrence/status/985677791600500737", "985677791600500737")</f>
        <v/>
      </c>
      <c r="B1123" s="2" t="n">
        <v>43206.02399305555</v>
      </c>
      <c r="C1123" t="n">
        <v>0</v>
      </c>
      <c r="D1123" t="n">
        <v>0</v>
      </c>
      <c r="E1123" t="s">
        <v>1132</v>
      </c>
      <c r="F1123" t="s"/>
      <c r="G1123" t="s"/>
      <c r="H1123" t="s"/>
      <c r="I1123" t="s"/>
      <c r="J1123" t="n">
        <v>-0.7557</v>
      </c>
      <c r="K1123" t="n">
        <v>0.583</v>
      </c>
      <c r="L1123" t="n">
        <v>0.202</v>
      </c>
      <c r="M1123" t="n">
        <v>0.215</v>
      </c>
    </row>
    <row r="1124" spans="1:13">
      <c r="A1124" s="1">
        <f>HYPERLINK("http://www.twitter.com/NathanBLawrence/status/985677586243162112", "985677586243162112")</f>
        <v/>
      </c>
      <c r="B1124" s="2" t="n">
        <v>43206.02342592592</v>
      </c>
      <c r="C1124" t="n">
        <v>0</v>
      </c>
      <c r="D1124" t="n">
        <v>2</v>
      </c>
      <c r="E1124" t="s">
        <v>1133</v>
      </c>
      <c r="F1124" t="s"/>
      <c r="G1124" t="s"/>
      <c r="H1124" t="s"/>
      <c r="I1124" t="s"/>
      <c r="J1124" t="n">
        <v>-0.3818</v>
      </c>
      <c r="K1124" t="n">
        <v>0.126</v>
      </c>
      <c r="L1124" t="n">
        <v>0.874</v>
      </c>
      <c r="M1124" t="n">
        <v>0</v>
      </c>
    </row>
    <row r="1125" spans="1:13">
      <c r="A1125" s="1">
        <f>HYPERLINK("http://www.twitter.com/NathanBLawrence/status/985677558720159745", "985677558720159745")</f>
        <v/>
      </c>
      <c r="B1125" s="2" t="n">
        <v>43206.02334490741</v>
      </c>
      <c r="C1125" t="n">
        <v>11</v>
      </c>
      <c r="D1125" t="n">
        <v>0</v>
      </c>
      <c r="E1125" t="s">
        <v>1134</v>
      </c>
      <c r="F1125" t="s"/>
      <c r="G1125" t="s"/>
      <c r="H1125" t="s"/>
      <c r="I1125" t="s"/>
      <c r="J1125" t="n">
        <v>0</v>
      </c>
      <c r="K1125" t="n">
        <v>0</v>
      </c>
      <c r="L1125" t="n">
        <v>1</v>
      </c>
      <c r="M1125" t="n">
        <v>0</v>
      </c>
    </row>
    <row r="1126" spans="1:13">
      <c r="A1126" s="1">
        <f>HYPERLINK("http://www.twitter.com/NathanBLawrence/status/985677419100213248", "985677419100213248")</f>
        <v/>
      </c>
      <c r="B1126" s="2" t="n">
        <v>43206.02296296296</v>
      </c>
      <c r="C1126" t="n">
        <v>0</v>
      </c>
      <c r="D1126" t="n">
        <v>375</v>
      </c>
      <c r="E1126" t="s">
        <v>1135</v>
      </c>
      <c r="F1126">
        <f>HYPERLINK("http://pbs.twimg.com/media/Da3Sxl8V4AAAXRH.jpg", "http://pbs.twimg.com/media/Da3Sxl8V4AAAXRH.jpg")</f>
        <v/>
      </c>
      <c r="G1126" t="s"/>
      <c r="H1126" t="s"/>
      <c r="I1126" t="s"/>
      <c r="J1126" t="n">
        <v>0</v>
      </c>
      <c r="K1126" t="n">
        <v>0</v>
      </c>
      <c r="L1126" t="n">
        <v>1</v>
      </c>
      <c r="M1126" t="n">
        <v>0</v>
      </c>
    </row>
    <row r="1127" spans="1:13">
      <c r="A1127" s="1">
        <f>HYPERLINK("http://www.twitter.com/NathanBLawrence/status/985677159661559808", "985677159661559808")</f>
        <v/>
      </c>
      <c r="B1127" s="2" t="n">
        <v>43206.02224537037</v>
      </c>
      <c r="C1127" t="n">
        <v>0</v>
      </c>
      <c r="D1127" t="n">
        <v>33</v>
      </c>
      <c r="E1127" t="s">
        <v>1136</v>
      </c>
      <c r="F1127" t="s"/>
      <c r="G1127" t="s"/>
      <c r="H1127" t="s"/>
      <c r="I1127" t="s"/>
      <c r="J1127" t="n">
        <v>-0.4767</v>
      </c>
      <c r="K1127" t="n">
        <v>0.237</v>
      </c>
      <c r="L1127" t="n">
        <v>0.763</v>
      </c>
      <c r="M1127" t="n">
        <v>0</v>
      </c>
    </row>
    <row r="1128" spans="1:13">
      <c r="A1128" s="1">
        <f>HYPERLINK("http://www.twitter.com/NathanBLawrence/status/985676361930076160", "985676361930076160")</f>
        <v/>
      </c>
      <c r="B1128" s="2" t="n">
        <v>43206.0200462963</v>
      </c>
      <c r="C1128" t="n">
        <v>0</v>
      </c>
      <c r="D1128" t="n">
        <v>47</v>
      </c>
      <c r="E1128" t="s">
        <v>1137</v>
      </c>
      <c r="F1128" t="s"/>
      <c r="G1128" t="s"/>
      <c r="H1128" t="s"/>
      <c r="I1128" t="s"/>
      <c r="J1128" t="n">
        <v>0</v>
      </c>
      <c r="K1128" t="n">
        <v>0</v>
      </c>
      <c r="L1128" t="n">
        <v>1</v>
      </c>
      <c r="M1128" t="n">
        <v>0</v>
      </c>
    </row>
    <row r="1129" spans="1:13">
      <c r="A1129" s="1">
        <f>HYPERLINK("http://www.twitter.com/NathanBLawrence/status/985676294842089474", "985676294842089474")</f>
        <v/>
      </c>
      <c r="B1129" s="2" t="n">
        <v>43206.01986111111</v>
      </c>
      <c r="C1129" t="n">
        <v>0</v>
      </c>
      <c r="D1129" t="n">
        <v>0</v>
      </c>
      <c r="E1129" t="s">
        <v>1138</v>
      </c>
      <c r="F1129" t="s"/>
      <c r="G1129" t="s"/>
      <c r="H1129" t="s"/>
      <c r="I1129" t="s"/>
      <c r="J1129" t="n">
        <v>0</v>
      </c>
      <c r="K1129" t="n">
        <v>0</v>
      </c>
      <c r="L1129" t="n">
        <v>1</v>
      </c>
      <c r="M1129" t="n">
        <v>0</v>
      </c>
    </row>
    <row r="1130" spans="1:13">
      <c r="A1130" s="1">
        <f>HYPERLINK("http://www.twitter.com/NathanBLawrence/status/985674544047378432", "985674544047378432")</f>
        <v/>
      </c>
      <c r="B1130" s="2" t="n">
        <v>43206.01502314815</v>
      </c>
      <c r="C1130" t="n">
        <v>1</v>
      </c>
      <c r="D1130" t="n">
        <v>0</v>
      </c>
      <c r="E1130" t="s">
        <v>1139</v>
      </c>
      <c r="F1130" t="s"/>
      <c r="G1130" t="s"/>
      <c r="H1130" t="s"/>
      <c r="I1130" t="s"/>
      <c r="J1130" t="n">
        <v>0</v>
      </c>
      <c r="K1130" t="n">
        <v>0</v>
      </c>
      <c r="L1130" t="n">
        <v>1</v>
      </c>
      <c r="M1130" t="n">
        <v>0</v>
      </c>
    </row>
    <row r="1131" spans="1:13">
      <c r="A1131" s="1">
        <f>HYPERLINK("http://www.twitter.com/NathanBLawrence/status/985674155839369218", "985674155839369218")</f>
        <v/>
      </c>
      <c r="B1131" s="2" t="n">
        <v>43206.01395833334</v>
      </c>
      <c r="C1131" t="n">
        <v>1</v>
      </c>
      <c r="D1131" t="n">
        <v>0</v>
      </c>
      <c r="E1131" t="s">
        <v>1140</v>
      </c>
      <c r="F1131" t="s"/>
      <c r="G1131" t="s"/>
      <c r="H1131" t="s"/>
      <c r="I1131" t="s"/>
      <c r="J1131" t="n">
        <v>-0.6588000000000001</v>
      </c>
      <c r="K1131" t="n">
        <v>0.468</v>
      </c>
      <c r="L1131" t="n">
        <v>0.532</v>
      </c>
      <c r="M1131" t="n">
        <v>0</v>
      </c>
    </row>
    <row r="1132" spans="1:13">
      <c r="A1132" s="1">
        <f>HYPERLINK("http://www.twitter.com/NathanBLawrence/status/985674026566680576", "985674026566680576")</f>
        <v/>
      </c>
      <c r="B1132" s="2" t="n">
        <v>43206.01359953704</v>
      </c>
      <c r="C1132" t="n">
        <v>4</v>
      </c>
      <c r="D1132" t="n">
        <v>0</v>
      </c>
      <c r="E1132" t="s">
        <v>1141</v>
      </c>
      <c r="F1132" t="s"/>
      <c r="G1132" t="s"/>
      <c r="H1132" t="s"/>
      <c r="I1132" t="s"/>
      <c r="J1132" t="n">
        <v>0</v>
      </c>
      <c r="K1132" t="n">
        <v>0</v>
      </c>
      <c r="L1132" t="n">
        <v>1</v>
      </c>
      <c r="M1132" t="n">
        <v>0</v>
      </c>
    </row>
    <row r="1133" spans="1:13">
      <c r="A1133" s="1">
        <f>HYPERLINK("http://www.twitter.com/NathanBLawrence/status/985673635993210880", "985673635993210880")</f>
        <v/>
      </c>
      <c r="B1133" s="2" t="n">
        <v>43206.01252314815</v>
      </c>
      <c r="C1133" t="n">
        <v>1</v>
      </c>
      <c r="D1133" t="n">
        <v>0</v>
      </c>
      <c r="E1133" t="s">
        <v>1142</v>
      </c>
      <c r="F1133" t="s"/>
      <c r="G1133" t="s"/>
      <c r="H1133" t="s"/>
      <c r="I1133" t="s"/>
      <c r="J1133" t="n">
        <v>-0.3612</v>
      </c>
      <c r="K1133" t="n">
        <v>0.294</v>
      </c>
      <c r="L1133" t="n">
        <v>0.706</v>
      </c>
      <c r="M1133" t="n">
        <v>0</v>
      </c>
    </row>
    <row r="1134" spans="1:13">
      <c r="A1134" s="1">
        <f>HYPERLINK("http://www.twitter.com/NathanBLawrence/status/985673243150487552", "985673243150487552")</f>
        <v/>
      </c>
      <c r="B1134" s="2" t="n">
        <v>43206.01143518519</v>
      </c>
      <c r="C1134" t="n">
        <v>6</v>
      </c>
      <c r="D1134" t="n">
        <v>0</v>
      </c>
      <c r="E1134" t="s">
        <v>1143</v>
      </c>
      <c r="F1134" t="s"/>
      <c r="G1134" t="s"/>
      <c r="H1134" t="s"/>
      <c r="I1134" t="s"/>
      <c r="J1134" t="n">
        <v>-0.3612</v>
      </c>
      <c r="K1134" t="n">
        <v>0.217</v>
      </c>
      <c r="L1134" t="n">
        <v>0.783</v>
      </c>
      <c r="M1134" t="n">
        <v>0</v>
      </c>
    </row>
    <row r="1135" spans="1:13">
      <c r="A1135" s="1">
        <f>HYPERLINK("http://www.twitter.com/NathanBLawrence/status/985672935921930240", "985672935921930240")</f>
        <v/>
      </c>
      <c r="B1135" s="2" t="n">
        <v>43206.01059027778</v>
      </c>
      <c r="C1135" t="n">
        <v>0</v>
      </c>
      <c r="D1135" t="n">
        <v>1</v>
      </c>
      <c r="E1135" t="s">
        <v>1144</v>
      </c>
      <c r="F1135" t="s"/>
      <c r="G1135" t="s"/>
      <c r="H1135" t="s"/>
      <c r="I1135" t="s"/>
      <c r="J1135" t="n">
        <v>0</v>
      </c>
      <c r="K1135" t="n">
        <v>0</v>
      </c>
      <c r="L1135" t="n">
        <v>1</v>
      </c>
      <c r="M1135" t="n">
        <v>0</v>
      </c>
    </row>
    <row r="1136" spans="1:13">
      <c r="A1136" s="1">
        <f>HYPERLINK("http://www.twitter.com/NathanBLawrence/status/985672760172130304", "985672760172130304")</f>
        <v/>
      </c>
      <c r="B1136" s="2" t="n">
        <v>43206.01010416666</v>
      </c>
      <c r="C1136" t="n">
        <v>0</v>
      </c>
      <c r="D1136" t="n">
        <v>0</v>
      </c>
      <c r="E1136" t="s">
        <v>1145</v>
      </c>
      <c r="F1136" t="s"/>
      <c r="G1136" t="s"/>
      <c r="H1136" t="s"/>
      <c r="I1136" t="s"/>
      <c r="J1136" t="n">
        <v>0</v>
      </c>
      <c r="K1136" t="n">
        <v>0</v>
      </c>
      <c r="L1136" t="n">
        <v>1</v>
      </c>
      <c r="M1136" t="n">
        <v>0</v>
      </c>
    </row>
    <row r="1137" spans="1:13">
      <c r="A1137" s="1">
        <f>HYPERLINK("http://www.twitter.com/NathanBLawrence/status/985672660473565184", "985672660473565184")</f>
        <v/>
      </c>
      <c r="B1137" s="2" t="n">
        <v>43206.00982638889</v>
      </c>
      <c r="C1137" t="n">
        <v>0</v>
      </c>
      <c r="D1137" t="n">
        <v>402</v>
      </c>
      <c r="E1137" t="s">
        <v>1146</v>
      </c>
      <c r="F1137" t="s"/>
      <c r="G1137" t="s"/>
      <c r="H1137" t="s"/>
      <c r="I1137" t="s"/>
      <c r="J1137" t="n">
        <v>0</v>
      </c>
      <c r="K1137" t="n">
        <v>0</v>
      </c>
      <c r="L1137" t="n">
        <v>1</v>
      </c>
      <c r="M1137" t="n">
        <v>0</v>
      </c>
    </row>
    <row r="1138" spans="1:13">
      <c r="A1138" s="1">
        <f>HYPERLINK("http://www.twitter.com/NathanBLawrence/status/985672459159572481", "985672459159572481")</f>
        <v/>
      </c>
      <c r="B1138" s="2" t="n">
        <v>43206.00927083333</v>
      </c>
      <c r="C1138" t="n">
        <v>21</v>
      </c>
      <c r="D1138" t="n">
        <v>0</v>
      </c>
      <c r="E1138" t="s">
        <v>1147</v>
      </c>
      <c r="F1138" t="s"/>
      <c r="G1138" t="s"/>
      <c r="H1138" t="s"/>
      <c r="I1138" t="s"/>
      <c r="J1138" t="n">
        <v>0.3612</v>
      </c>
      <c r="K1138" t="n">
        <v>0</v>
      </c>
      <c r="L1138" t="n">
        <v>0.667</v>
      </c>
      <c r="M1138" t="n">
        <v>0.333</v>
      </c>
    </row>
    <row r="1139" spans="1:13">
      <c r="A1139" s="1">
        <f>HYPERLINK("http://www.twitter.com/NathanBLawrence/status/985672232847466497", "985672232847466497")</f>
        <v/>
      </c>
      <c r="B1139" s="2" t="n">
        <v>43206.00864583333</v>
      </c>
      <c r="C1139" t="n">
        <v>0</v>
      </c>
      <c r="D1139" t="n">
        <v>137</v>
      </c>
      <c r="E1139" t="s">
        <v>1148</v>
      </c>
      <c r="F1139">
        <f>HYPERLINK("http://pbs.twimg.com/media/Da1tN8bUQAAbLyy.jpg", "http://pbs.twimg.com/media/Da1tN8bUQAAbLyy.jpg")</f>
        <v/>
      </c>
      <c r="G1139" t="s"/>
      <c r="H1139" t="s"/>
      <c r="I1139" t="s"/>
      <c r="J1139" t="n">
        <v>-0.5719</v>
      </c>
      <c r="K1139" t="n">
        <v>0.188</v>
      </c>
      <c r="L1139" t="n">
        <v>0.8120000000000001</v>
      </c>
      <c r="M1139" t="n">
        <v>0</v>
      </c>
    </row>
    <row r="1140" spans="1:13">
      <c r="A1140" s="1">
        <f>HYPERLINK("http://www.twitter.com/NathanBLawrence/status/985671792672075778", "985671792672075778")</f>
        <v/>
      </c>
      <c r="B1140" s="2" t="n">
        <v>43206.00743055555</v>
      </c>
      <c r="C1140" t="n">
        <v>2</v>
      </c>
      <c r="D1140" t="n">
        <v>0</v>
      </c>
      <c r="E1140" t="s">
        <v>1149</v>
      </c>
      <c r="F1140" t="s"/>
      <c r="G1140" t="s"/>
      <c r="H1140" t="s"/>
      <c r="I1140" t="s"/>
      <c r="J1140" t="n">
        <v>-0.3818</v>
      </c>
      <c r="K1140" t="n">
        <v>0.08799999999999999</v>
      </c>
      <c r="L1140" t="n">
        <v>0.867</v>
      </c>
      <c r="M1140" t="n">
        <v>0.045</v>
      </c>
    </row>
    <row r="1141" spans="1:13">
      <c r="A1141" s="1">
        <f>HYPERLINK("http://www.twitter.com/NathanBLawrence/status/985670921297022977", "985670921297022977")</f>
        <v/>
      </c>
      <c r="B1141" s="2" t="n">
        <v>43206.00503472222</v>
      </c>
      <c r="C1141" t="n">
        <v>1</v>
      </c>
      <c r="D1141" t="n">
        <v>0</v>
      </c>
      <c r="E1141" t="s">
        <v>1150</v>
      </c>
      <c r="F1141" t="s"/>
      <c r="G1141" t="s"/>
      <c r="H1141" t="s"/>
      <c r="I1141" t="s"/>
      <c r="J1141" t="n">
        <v>0.3182</v>
      </c>
      <c r="K1141" t="n">
        <v>0</v>
      </c>
      <c r="L1141" t="n">
        <v>0.9409999999999999</v>
      </c>
      <c r="M1141" t="n">
        <v>0.059</v>
      </c>
    </row>
    <row r="1142" spans="1:13">
      <c r="A1142" s="1">
        <f>HYPERLINK("http://www.twitter.com/NathanBLawrence/status/985669792827834368", "985669792827834368")</f>
        <v/>
      </c>
      <c r="B1142" s="2" t="n">
        <v>43206.00192129629</v>
      </c>
      <c r="C1142" t="n">
        <v>0</v>
      </c>
      <c r="D1142" t="n">
        <v>1</v>
      </c>
      <c r="E1142" t="s">
        <v>1151</v>
      </c>
      <c r="F1142" t="s"/>
      <c r="G1142" t="s"/>
      <c r="H1142" t="s"/>
      <c r="I1142" t="s"/>
      <c r="J1142" t="n">
        <v>0</v>
      </c>
      <c r="K1142" t="n">
        <v>0</v>
      </c>
      <c r="L1142" t="n">
        <v>1</v>
      </c>
      <c r="M1142" t="n">
        <v>0</v>
      </c>
    </row>
    <row r="1143" spans="1:13">
      <c r="A1143" s="1">
        <f>HYPERLINK("http://www.twitter.com/NathanBLawrence/status/985669502573703169", "985669502573703169")</f>
        <v/>
      </c>
      <c r="B1143" s="2" t="n">
        <v>43206.00111111111</v>
      </c>
      <c r="C1143" t="n">
        <v>3</v>
      </c>
      <c r="D1143" t="n">
        <v>1</v>
      </c>
      <c r="E1143" t="s">
        <v>1152</v>
      </c>
      <c r="F1143" t="s"/>
      <c r="G1143" t="s"/>
      <c r="H1143" t="s"/>
      <c r="I1143" t="s"/>
      <c r="J1143" t="n">
        <v>-0.8172</v>
      </c>
      <c r="K1143" t="n">
        <v>0.246</v>
      </c>
      <c r="L1143" t="n">
        <v>0.754</v>
      </c>
      <c r="M1143" t="n">
        <v>0</v>
      </c>
    </row>
    <row r="1144" spans="1:13">
      <c r="A1144" s="1">
        <f>HYPERLINK("http://www.twitter.com/NathanBLawrence/status/985669089975848960", "985669089975848960")</f>
        <v/>
      </c>
      <c r="B1144" s="2" t="n">
        <v>43205.99997685185</v>
      </c>
      <c r="C1144" t="n">
        <v>0</v>
      </c>
      <c r="D1144" t="n">
        <v>1</v>
      </c>
      <c r="E1144" t="s">
        <v>1153</v>
      </c>
      <c r="F1144" t="s"/>
      <c r="G1144" t="s"/>
      <c r="H1144" t="s"/>
      <c r="I1144" t="s"/>
      <c r="J1144" t="n">
        <v>0</v>
      </c>
      <c r="K1144" t="n">
        <v>0</v>
      </c>
      <c r="L1144" t="n">
        <v>1</v>
      </c>
      <c r="M1144" t="n">
        <v>0</v>
      </c>
    </row>
    <row r="1145" spans="1:13">
      <c r="A1145" s="1">
        <f>HYPERLINK("http://www.twitter.com/NathanBLawrence/status/985669061299273729", "985669061299273729")</f>
        <v/>
      </c>
      <c r="B1145" s="2" t="n">
        <v>43205.99989583333</v>
      </c>
      <c r="C1145" t="n">
        <v>3</v>
      </c>
      <c r="D1145" t="n">
        <v>1</v>
      </c>
      <c r="E1145" t="s">
        <v>1154</v>
      </c>
      <c r="F1145" t="s"/>
      <c r="G1145" t="s"/>
      <c r="H1145" t="s"/>
      <c r="I1145" t="s"/>
      <c r="J1145" t="n">
        <v>-0.1469</v>
      </c>
      <c r="K1145" t="n">
        <v>0.126</v>
      </c>
      <c r="L1145" t="n">
        <v>0.76</v>
      </c>
      <c r="M1145" t="n">
        <v>0.114</v>
      </c>
    </row>
    <row r="1146" spans="1:13">
      <c r="A1146" s="1">
        <f>HYPERLINK("http://www.twitter.com/NathanBLawrence/status/985667960890167296", "985667960890167296")</f>
        <v/>
      </c>
      <c r="B1146" s="2" t="n">
        <v>43205.99686342593</v>
      </c>
      <c r="C1146" t="n">
        <v>1</v>
      </c>
      <c r="D1146" t="n">
        <v>0</v>
      </c>
      <c r="E1146" t="s">
        <v>1155</v>
      </c>
      <c r="F1146" t="s"/>
      <c r="G1146" t="s"/>
      <c r="H1146" t="s"/>
      <c r="I1146" t="s"/>
      <c r="J1146" t="n">
        <v>0</v>
      </c>
      <c r="K1146" t="n">
        <v>0</v>
      </c>
      <c r="L1146" t="n">
        <v>1</v>
      </c>
      <c r="M1146" t="n">
        <v>0</v>
      </c>
    </row>
    <row r="1147" spans="1:13">
      <c r="A1147" s="1">
        <f>HYPERLINK("http://www.twitter.com/NathanBLawrence/status/985667805797339138", "985667805797339138")</f>
        <v/>
      </c>
      <c r="B1147" s="2" t="n">
        <v>43205.99643518519</v>
      </c>
      <c r="C1147" t="n">
        <v>0</v>
      </c>
      <c r="D1147" t="n">
        <v>1</v>
      </c>
      <c r="E1147" t="s">
        <v>1156</v>
      </c>
      <c r="F1147" t="s"/>
      <c r="G1147" t="s"/>
      <c r="H1147" t="s"/>
      <c r="I1147" t="s"/>
      <c r="J1147" t="n">
        <v>0.3612</v>
      </c>
      <c r="K1147" t="n">
        <v>0.08500000000000001</v>
      </c>
      <c r="L1147" t="n">
        <v>0.746</v>
      </c>
      <c r="M1147" t="n">
        <v>0.169</v>
      </c>
    </row>
    <row r="1148" spans="1:13">
      <c r="A1148" s="1">
        <f>HYPERLINK("http://www.twitter.com/NathanBLawrence/status/985667660972265472", "985667660972265472")</f>
        <v/>
      </c>
      <c r="B1148" s="2" t="n">
        <v>43205.9960300926</v>
      </c>
      <c r="C1148" t="n">
        <v>1</v>
      </c>
      <c r="D1148" t="n">
        <v>0</v>
      </c>
      <c r="E1148" t="s">
        <v>1157</v>
      </c>
      <c r="F1148" t="s"/>
      <c r="G1148" t="s"/>
      <c r="H1148" t="s"/>
      <c r="I1148" t="s"/>
      <c r="J1148" t="n">
        <v>0</v>
      </c>
      <c r="K1148" t="n">
        <v>0</v>
      </c>
      <c r="L1148" t="n">
        <v>1</v>
      </c>
      <c r="M1148" t="n">
        <v>0</v>
      </c>
    </row>
    <row r="1149" spans="1:13">
      <c r="A1149" s="1">
        <f>HYPERLINK("http://www.twitter.com/NathanBLawrence/status/985667424333725696", "985667424333725696")</f>
        <v/>
      </c>
      <c r="B1149" s="2" t="n">
        <v>43205.99538194444</v>
      </c>
      <c r="C1149" t="n">
        <v>0</v>
      </c>
      <c r="D1149" t="n">
        <v>1</v>
      </c>
      <c r="E1149" t="s">
        <v>1158</v>
      </c>
      <c r="F1149" t="s"/>
      <c r="G1149" t="s"/>
      <c r="H1149" t="s"/>
      <c r="I1149" t="s"/>
      <c r="J1149" t="n">
        <v>-0.2481</v>
      </c>
      <c r="K1149" t="n">
        <v>0.08500000000000001</v>
      </c>
      <c r="L1149" t="n">
        <v>0.8080000000000001</v>
      </c>
      <c r="M1149" t="n">
        <v>0.107</v>
      </c>
    </row>
    <row r="1150" spans="1:13">
      <c r="A1150" s="1">
        <f>HYPERLINK("http://www.twitter.com/NathanBLawrence/status/985667317567803392", "985667317567803392")</f>
        <v/>
      </c>
      <c r="B1150" s="2" t="n">
        <v>43205.99508101852</v>
      </c>
      <c r="C1150" t="n">
        <v>0</v>
      </c>
      <c r="D1150" t="n">
        <v>79</v>
      </c>
      <c r="E1150" t="s">
        <v>1159</v>
      </c>
      <c r="F1150">
        <f>HYPERLINK("https://video.twimg.com/amplify_video/984907807097946112/vid/720x720/oP77UQwqvfI4Ba3i.mp4?tag=6", "https://video.twimg.com/amplify_video/984907807097946112/vid/720x720/oP77UQwqvfI4Ba3i.mp4?tag=6")</f>
        <v/>
      </c>
      <c r="G1150" t="s"/>
      <c r="H1150" t="s"/>
      <c r="I1150" t="s"/>
      <c r="J1150" t="n">
        <v>0</v>
      </c>
      <c r="K1150" t="n">
        <v>0</v>
      </c>
      <c r="L1150" t="n">
        <v>1</v>
      </c>
      <c r="M1150" t="n">
        <v>0</v>
      </c>
    </row>
    <row r="1151" spans="1:13">
      <c r="A1151" s="1">
        <f>HYPERLINK("http://www.twitter.com/NathanBLawrence/status/985667029091913728", "985667029091913728")</f>
        <v/>
      </c>
      <c r="B1151" s="2" t="n">
        <v>43205.99429398148</v>
      </c>
      <c r="C1151" t="n">
        <v>2</v>
      </c>
      <c r="D1151" t="n">
        <v>0</v>
      </c>
      <c r="E1151" t="s">
        <v>1160</v>
      </c>
      <c r="F1151" t="s"/>
      <c r="G1151" t="s"/>
      <c r="H1151" t="s"/>
      <c r="I1151" t="s"/>
      <c r="J1151" t="n">
        <v>-0.481</v>
      </c>
      <c r="K1151" t="n">
        <v>0.097</v>
      </c>
      <c r="L1151" t="n">
        <v>0.903</v>
      </c>
      <c r="M1151" t="n">
        <v>0</v>
      </c>
    </row>
    <row r="1152" spans="1:13">
      <c r="A1152" s="1">
        <f>HYPERLINK("http://www.twitter.com/NathanBLawrence/status/985666617441968128", "985666617441968128")</f>
        <v/>
      </c>
      <c r="B1152" s="2" t="n">
        <v>43205.99315972222</v>
      </c>
      <c r="C1152" t="n">
        <v>0</v>
      </c>
      <c r="D1152" t="n">
        <v>1</v>
      </c>
      <c r="E1152" t="s">
        <v>1153</v>
      </c>
      <c r="F1152" t="s"/>
      <c r="G1152" t="s"/>
      <c r="H1152" t="s"/>
      <c r="I1152" t="s"/>
      <c r="J1152" t="n">
        <v>0</v>
      </c>
      <c r="K1152" t="n">
        <v>0</v>
      </c>
      <c r="L1152" t="n">
        <v>1</v>
      </c>
      <c r="M1152" t="n">
        <v>0</v>
      </c>
    </row>
    <row r="1153" spans="1:13">
      <c r="A1153" s="1">
        <f>HYPERLINK("http://www.twitter.com/NathanBLawrence/status/985666233411481600", "985666233411481600")</f>
        <v/>
      </c>
      <c r="B1153" s="2" t="n">
        <v>43205.99209490741</v>
      </c>
      <c r="C1153" t="n">
        <v>0</v>
      </c>
      <c r="D1153" t="n">
        <v>212</v>
      </c>
      <c r="E1153" t="s">
        <v>1161</v>
      </c>
      <c r="F1153" t="s"/>
      <c r="G1153" t="s"/>
      <c r="H1153" t="s"/>
      <c r="I1153" t="s"/>
      <c r="J1153" t="n">
        <v>0.0772</v>
      </c>
      <c r="K1153" t="n">
        <v>0</v>
      </c>
      <c r="L1153" t="n">
        <v>0.9360000000000001</v>
      </c>
      <c r="M1153" t="n">
        <v>0.064</v>
      </c>
    </row>
    <row r="1154" spans="1:13">
      <c r="A1154" s="1">
        <f>HYPERLINK("http://www.twitter.com/NathanBLawrence/status/985665894599872513", "985665894599872513")</f>
        <v/>
      </c>
      <c r="B1154" s="2" t="n">
        <v>43205.99115740741</v>
      </c>
      <c r="C1154" t="n">
        <v>0</v>
      </c>
      <c r="D1154" t="n">
        <v>1</v>
      </c>
      <c r="E1154" t="s">
        <v>1162</v>
      </c>
      <c r="F1154" t="s"/>
      <c r="G1154" t="s"/>
      <c r="H1154" t="s"/>
      <c r="I1154" t="s"/>
      <c r="J1154" t="n">
        <v>0</v>
      </c>
      <c r="K1154" t="n">
        <v>0</v>
      </c>
      <c r="L1154" t="n">
        <v>1</v>
      </c>
      <c r="M1154" t="n">
        <v>0</v>
      </c>
    </row>
    <row r="1155" spans="1:13">
      <c r="A1155" s="1">
        <f>HYPERLINK("http://www.twitter.com/NathanBLawrence/status/985665861309665280", "985665861309665280")</f>
        <v/>
      </c>
      <c r="B1155" s="2" t="n">
        <v>43205.99106481481</v>
      </c>
      <c r="C1155" t="n">
        <v>0</v>
      </c>
      <c r="D1155" t="n">
        <v>2</v>
      </c>
      <c r="E1155" t="s">
        <v>1163</v>
      </c>
      <c r="F1155" t="s"/>
      <c r="G1155" t="s"/>
      <c r="H1155" t="s"/>
      <c r="I1155" t="s"/>
      <c r="J1155" t="n">
        <v>0</v>
      </c>
      <c r="K1155" t="n">
        <v>0</v>
      </c>
      <c r="L1155" t="n">
        <v>1</v>
      </c>
      <c r="M1155" t="n">
        <v>0</v>
      </c>
    </row>
    <row r="1156" spans="1:13">
      <c r="A1156" s="1">
        <f>HYPERLINK("http://www.twitter.com/NathanBLawrence/status/985665768867147776", "985665768867147776")</f>
        <v/>
      </c>
      <c r="B1156" s="2" t="n">
        <v>43205.99081018518</v>
      </c>
      <c r="C1156" t="n">
        <v>0</v>
      </c>
      <c r="D1156" t="n">
        <v>0</v>
      </c>
      <c r="E1156" t="s">
        <v>1164</v>
      </c>
      <c r="F1156" t="s"/>
      <c r="G1156" t="s"/>
      <c r="H1156" t="s"/>
      <c r="I1156" t="s"/>
      <c r="J1156" t="n">
        <v>0</v>
      </c>
      <c r="K1156" t="n">
        <v>0</v>
      </c>
      <c r="L1156" t="n">
        <v>1</v>
      </c>
      <c r="M1156" t="n">
        <v>0</v>
      </c>
    </row>
    <row r="1157" spans="1:13">
      <c r="A1157" s="1">
        <f>HYPERLINK("http://www.twitter.com/NathanBLawrence/status/985665635001782272", "985665635001782272")</f>
        <v/>
      </c>
      <c r="B1157" s="2" t="n">
        <v>43205.99043981481</v>
      </c>
      <c r="C1157" t="n">
        <v>0</v>
      </c>
      <c r="D1157" t="n">
        <v>1</v>
      </c>
      <c r="E1157" t="s">
        <v>1165</v>
      </c>
      <c r="F1157">
        <f>HYPERLINK("http://pbs.twimg.com/media/Da2B84AUMAAxp7W.jpg", "http://pbs.twimg.com/media/Da2B84AUMAAxp7W.jpg")</f>
        <v/>
      </c>
      <c r="G1157" t="s"/>
      <c r="H1157" t="s"/>
      <c r="I1157" t="s"/>
      <c r="J1157" t="n">
        <v>0</v>
      </c>
      <c r="K1157" t="n">
        <v>0</v>
      </c>
      <c r="L1157" t="n">
        <v>1</v>
      </c>
      <c r="M1157" t="n">
        <v>0</v>
      </c>
    </row>
    <row r="1158" spans="1:13">
      <c r="A1158" s="1">
        <f>HYPERLINK("http://www.twitter.com/NathanBLawrence/status/985665337587830785", "985665337587830785")</f>
        <v/>
      </c>
      <c r="B1158" s="2" t="n">
        <v>43205.98961805556</v>
      </c>
      <c r="C1158" t="n">
        <v>0</v>
      </c>
      <c r="D1158" t="n">
        <v>26</v>
      </c>
      <c r="E1158" t="s">
        <v>1166</v>
      </c>
      <c r="F1158">
        <f>HYPERLINK("http://pbs.twimg.com/media/Da16xU8X0AAb7JT.jpg", "http://pbs.twimg.com/media/Da16xU8X0AAb7JT.jpg")</f>
        <v/>
      </c>
      <c r="G1158" t="s"/>
      <c r="H1158" t="s"/>
      <c r="I1158" t="s"/>
      <c r="J1158" t="n">
        <v>-0.3612</v>
      </c>
      <c r="K1158" t="n">
        <v>0.128</v>
      </c>
      <c r="L1158" t="n">
        <v>0.872</v>
      </c>
      <c r="M1158" t="n">
        <v>0</v>
      </c>
    </row>
    <row r="1159" spans="1:13">
      <c r="A1159" s="1">
        <f>HYPERLINK("http://www.twitter.com/NathanBLawrence/status/985665056745586688", "985665056745586688")</f>
        <v/>
      </c>
      <c r="B1159" s="2" t="n">
        <v>43205.98884259259</v>
      </c>
      <c r="C1159" t="n">
        <v>0</v>
      </c>
      <c r="D1159" t="n">
        <v>550</v>
      </c>
      <c r="E1159" t="s">
        <v>1167</v>
      </c>
      <c r="F1159">
        <f>HYPERLINK("http://pbs.twimg.com/media/Da2qJyUU0AAb0nQ.jpg", "http://pbs.twimg.com/media/Da2qJyUU0AAb0nQ.jpg")</f>
        <v/>
      </c>
      <c r="G1159" t="s"/>
      <c r="H1159" t="s"/>
      <c r="I1159" t="s"/>
      <c r="J1159" t="n">
        <v>0</v>
      </c>
      <c r="K1159" t="n">
        <v>0</v>
      </c>
      <c r="L1159" t="n">
        <v>1</v>
      </c>
      <c r="M1159" t="n">
        <v>0</v>
      </c>
    </row>
    <row r="1160" spans="1:13">
      <c r="A1160" s="1">
        <f>HYPERLINK("http://www.twitter.com/NathanBLawrence/status/985664840617398272", "985664840617398272")</f>
        <v/>
      </c>
      <c r="B1160" s="2" t="n">
        <v>43205.98825231481</v>
      </c>
      <c r="C1160" t="n">
        <v>0</v>
      </c>
      <c r="D1160" t="n">
        <v>91</v>
      </c>
      <c r="E1160" t="s">
        <v>1168</v>
      </c>
      <c r="F1160">
        <f>HYPERLINK("http://pbs.twimg.com/media/Da3FvMEXkAA1YLL.jpg", "http://pbs.twimg.com/media/Da3FvMEXkAA1YLL.jpg")</f>
        <v/>
      </c>
      <c r="G1160" t="s"/>
      <c r="H1160" t="s"/>
      <c r="I1160" t="s"/>
      <c r="J1160" t="n">
        <v>0</v>
      </c>
      <c r="K1160" t="n">
        <v>0</v>
      </c>
      <c r="L1160" t="n">
        <v>1</v>
      </c>
      <c r="M1160" t="n">
        <v>0</v>
      </c>
    </row>
    <row r="1161" spans="1:13">
      <c r="A1161" s="1">
        <f>HYPERLINK("http://www.twitter.com/NathanBLawrence/status/985664790457708546", "985664790457708546")</f>
        <v/>
      </c>
      <c r="B1161" s="2" t="n">
        <v>43205.98811342593</v>
      </c>
      <c r="C1161" t="n">
        <v>0</v>
      </c>
      <c r="D1161" t="n">
        <v>18</v>
      </c>
      <c r="E1161" t="s">
        <v>1169</v>
      </c>
      <c r="F1161" t="s"/>
      <c r="G1161" t="s"/>
      <c r="H1161" t="s"/>
      <c r="I1161" t="s"/>
      <c r="J1161" t="n">
        <v>0</v>
      </c>
      <c r="K1161" t="n">
        <v>0</v>
      </c>
      <c r="L1161" t="n">
        <v>1</v>
      </c>
      <c r="M1161" t="n">
        <v>0</v>
      </c>
    </row>
    <row r="1162" spans="1:13">
      <c r="A1162" s="1">
        <f>HYPERLINK("http://www.twitter.com/NathanBLawrence/status/985664581124218880", "985664581124218880")</f>
        <v/>
      </c>
      <c r="B1162" s="2" t="n">
        <v>43205.98753472222</v>
      </c>
      <c r="C1162" t="n">
        <v>0</v>
      </c>
      <c r="D1162" t="n">
        <v>2</v>
      </c>
      <c r="E1162" t="s">
        <v>1170</v>
      </c>
      <c r="F1162" t="s"/>
      <c r="G1162" t="s"/>
      <c r="H1162" t="s"/>
      <c r="I1162" t="s"/>
      <c r="J1162" t="n">
        <v>0.2732</v>
      </c>
      <c r="K1162" t="n">
        <v>0</v>
      </c>
      <c r="L1162" t="n">
        <v>0.884</v>
      </c>
      <c r="M1162" t="n">
        <v>0.116</v>
      </c>
    </row>
    <row r="1163" spans="1:13">
      <c r="A1163" s="1">
        <f>HYPERLINK("http://www.twitter.com/NathanBLawrence/status/985664296620306432", "985664296620306432")</f>
        <v/>
      </c>
      <c r="B1163" s="2" t="n">
        <v>43205.98674768519</v>
      </c>
      <c r="C1163" t="n">
        <v>1</v>
      </c>
      <c r="D1163" t="n">
        <v>0</v>
      </c>
      <c r="E1163" t="s">
        <v>1171</v>
      </c>
      <c r="F1163" t="s"/>
      <c r="G1163" t="s"/>
      <c r="H1163" t="s"/>
      <c r="I1163" t="s"/>
      <c r="J1163" t="n">
        <v>-0.7096</v>
      </c>
      <c r="K1163" t="n">
        <v>0.196</v>
      </c>
      <c r="L1163" t="n">
        <v>0.746</v>
      </c>
      <c r="M1163" t="n">
        <v>0.058</v>
      </c>
    </row>
    <row r="1164" spans="1:13">
      <c r="A1164" s="1">
        <f>HYPERLINK("http://www.twitter.com/NathanBLawrence/status/985663002207760384", "985663002207760384")</f>
        <v/>
      </c>
      <c r="B1164" s="2" t="n">
        <v>43205.98318287037</v>
      </c>
      <c r="C1164" t="n">
        <v>0</v>
      </c>
      <c r="D1164" t="n">
        <v>1</v>
      </c>
      <c r="E1164" t="s">
        <v>1172</v>
      </c>
      <c r="F1164" t="s"/>
      <c r="G1164" t="s"/>
      <c r="H1164" t="s"/>
      <c r="I1164" t="s"/>
      <c r="J1164" t="n">
        <v>-0.6369</v>
      </c>
      <c r="K1164" t="n">
        <v>0.321</v>
      </c>
      <c r="L1164" t="n">
        <v>0.679</v>
      </c>
      <c r="M1164" t="n">
        <v>0</v>
      </c>
    </row>
    <row r="1165" spans="1:13">
      <c r="A1165" s="1">
        <f>HYPERLINK("http://www.twitter.com/NathanBLawrence/status/985662030387597313", "985662030387597313")</f>
        <v/>
      </c>
      <c r="B1165" s="2" t="n">
        <v>43205.98049768519</v>
      </c>
      <c r="C1165" t="n">
        <v>0</v>
      </c>
      <c r="D1165" t="n">
        <v>0</v>
      </c>
      <c r="E1165" t="s">
        <v>1173</v>
      </c>
      <c r="F1165" t="s"/>
      <c r="G1165" t="s"/>
      <c r="H1165" t="s"/>
      <c r="I1165" t="s"/>
      <c r="J1165" t="n">
        <v>-0.1406</v>
      </c>
      <c r="K1165" t="n">
        <v>0.066</v>
      </c>
      <c r="L1165" t="n">
        <v>0.9340000000000001</v>
      </c>
      <c r="M1165" t="n">
        <v>0</v>
      </c>
    </row>
    <row r="1166" spans="1:13">
      <c r="A1166" s="1">
        <f>HYPERLINK("http://www.twitter.com/NathanBLawrence/status/985660396391550976", "985660396391550976")</f>
        <v/>
      </c>
      <c r="B1166" s="2" t="n">
        <v>43205.9759837963</v>
      </c>
      <c r="C1166" t="n">
        <v>0</v>
      </c>
      <c r="D1166" t="n">
        <v>1</v>
      </c>
      <c r="E1166" t="s">
        <v>1174</v>
      </c>
      <c r="F1166" t="s"/>
      <c r="G1166" t="s"/>
      <c r="H1166" t="s"/>
      <c r="I1166" t="s"/>
      <c r="J1166" t="n">
        <v>-0.4137</v>
      </c>
      <c r="K1166" t="n">
        <v>0.155</v>
      </c>
      <c r="L1166" t="n">
        <v>0.845</v>
      </c>
      <c r="M1166" t="n">
        <v>0</v>
      </c>
    </row>
    <row r="1167" spans="1:13">
      <c r="A1167" s="1">
        <f>HYPERLINK("http://www.twitter.com/NathanBLawrence/status/985620088878399490", "985620088878399490")</f>
        <v/>
      </c>
      <c r="B1167" s="2" t="n">
        <v>43205.86475694444</v>
      </c>
      <c r="C1167" t="n">
        <v>1</v>
      </c>
      <c r="D1167" t="n">
        <v>0</v>
      </c>
      <c r="E1167" t="s">
        <v>1175</v>
      </c>
      <c r="F1167" t="s"/>
      <c r="G1167" t="s"/>
      <c r="H1167" t="s"/>
      <c r="I1167" t="s"/>
      <c r="J1167" t="n">
        <v>-0.5423</v>
      </c>
      <c r="K1167" t="n">
        <v>0.2</v>
      </c>
      <c r="L1167" t="n">
        <v>0.8</v>
      </c>
      <c r="M1167" t="n">
        <v>0</v>
      </c>
    </row>
    <row r="1168" spans="1:13">
      <c r="A1168" s="1">
        <f>HYPERLINK("http://www.twitter.com/NathanBLawrence/status/985619161949798402", "985619161949798402")</f>
        <v/>
      </c>
      <c r="B1168" s="2" t="n">
        <v>43205.86219907407</v>
      </c>
      <c r="C1168" t="n">
        <v>0</v>
      </c>
      <c r="D1168" t="n">
        <v>0</v>
      </c>
      <c r="E1168" t="s">
        <v>1176</v>
      </c>
      <c r="F1168" t="s"/>
      <c r="G1168" t="s"/>
      <c r="H1168" t="s"/>
      <c r="I1168" t="s"/>
      <c r="J1168" t="n">
        <v>0</v>
      </c>
      <c r="K1168" t="n">
        <v>0</v>
      </c>
      <c r="L1168" t="n">
        <v>1</v>
      </c>
      <c r="M1168" t="n">
        <v>0</v>
      </c>
    </row>
    <row r="1169" spans="1:13">
      <c r="A1169" s="1">
        <f>HYPERLINK("http://www.twitter.com/NathanBLawrence/status/985598847001989120", "985598847001989120")</f>
        <v/>
      </c>
      <c r="B1169" s="2" t="n">
        <v>43205.80614583333</v>
      </c>
      <c r="C1169" t="n">
        <v>0</v>
      </c>
      <c r="D1169" t="n">
        <v>2</v>
      </c>
      <c r="E1169" t="s">
        <v>1177</v>
      </c>
      <c r="F1169" t="s"/>
      <c r="G1169" t="s"/>
      <c r="H1169" t="s"/>
      <c r="I1169" t="s"/>
      <c r="J1169" t="n">
        <v>-0.2263</v>
      </c>
      <c r="K1169" t="n">
        <v>0.142</v>
      </c>
      <c r="L1169" t="n">
        <v>0.769</v>
      </c>
      <c r="M1169" t="n">
        <v>0.089</v>
      </c>
    </row>
    <row r="1170" spans="1:13">
      <c r="A1170" s="1">
        <f>HYPERLINK("http://www.twitter.com/NathanBLawrence/status/985598743620784128", "985598743620784128")</f>
        <v/>
      </c>
      <c r="B1170" s="2" t="n">
        <v>43205.80585648148</v>
      </c>
      <c r="C1170" t="n">
        <v>0</v>
      </c>
      <c r="D1170" t="n">
        <v>2</v>
      </c>
      <c r="E1170" t="s">
        <v>1178</v>
      </c>
      <c r="F1170">
        <f>HYPERLINK("http://pbs.twimg.com/media/Da2Kj8tW4AEs9TN.jpg", "http://pbs.twimg.com/media/Da2Kj8tW4AEs9TN.jpg")</f>
        <v/>
      </c>
      <c r="G1170" t="s"/>
      <c r="H1170" t="s"/>
      <c r="I1170" t="s"/>
      <c r="J1170" t="n">
        <v>0</v>
      </c>
      <c r="K1170" t="n">
        <v>0</v>
      </c>
      <c r="L1170" t="n">
        <v>1</v>
      </c>
      <c r="M1170" t="n">
        <v>0</v>
      </c>
    </row>
    <row r="1171" spans="1:13">
      <c r="A1171" s="1">
        <f>HYPERLINK("http://www.twitter.com/NathanBLawrence/status/985598682451120128", "985598682451120128")</f>
        <v/>
      </c>
      <c r="B1171" s="2" t="n">
        <v>43205.80569444445</v>
      </c>
      <c r="C1171" t="n">
        <v>0</v>
      </c>
      <c r="D1171" t="n">
        <v>3</v>
      </c>
      <c r="E1171" t="s">
        <v>1179</v>
      </c>
      <c r="F1171" t="s"/>
      <c r="G1171" t="s"/>
      <c r="H1171" t="s"/>
      <c r="I1171" t="s"/>
      <c r="J1171" t="n">
        <v>0</v>
      </c>
      <c r="K1171" t="n">
        <v>0</v>
      </c>
      <c r="L1171" t="n">
        <v>1</v>
      </c>
      <c r="M1171" t="n">
        <v>0</v>
      </c>
    </row>
    <row r="1172" spans="1:13">
      <c r="A1172" s="1">
        <f>HYPERLINK("http://www.twitter.com/NathanBLawrence/status/985598532433383424", "985598532433383424")</f>
        <v/>
      </c>
      <c r="B1172" s="2" t="n">
        <v>43205.80527777778</v>
      </c>
      <c r="C1172" t="n">
        <v>0</v>
      </c>
      <c r="D1172" t="n">
        <v>4</v>
      </c>
      <c r="E1172" t="s">
        <v>1180</v>
      </c>
      <c r="F1172" t="s"/>
      <c r="G1172" t="s"/>
      <c r="H1172" t="s"/>
      <c r="I1172" t="s"/>
      <c r="J1172" t="n">
        <v>0.2003</v>
      </c>
      <c r="K1172" t="n">
        <v>0.078</v>
      </c>
      <c r="L1172" t="n">
        <v>0.8159999999999999</v>
      </c>
      <c r="M1172" t="n">
        <v>0.106</v>
      </c>
    </row>
    <row r="1173" spans="1:13">
      <c r="A1173" s="1">
        <f>HYPERLINK("http://www.twitter.com/NathanBLawrence/status/985598429123481600", "985598429123481600")</f>
        <v/>
      </c>
      <c r="B1173" s="2" t="n">
        <v>43205.80498842592</v>
      </c>
      <c r="C1173" t="n">
        <v>0</v>
      </c>
      <c r="D1173" t="n">
        <v>1</v>
      </c>
      <c r="E1173" t="s">
        <v>1181</v>
      </c>
      <c r="F1173" t="s"/>
      <c r="G1173" t="s"/>
      <c r="H1173" t="s"/>
      <c r="I1173" t="s"/>
      <c r="J1173" t="n">
        <v>0</v>
      </c>
      <c r="K1173" t="n">
        <v>0</v>
      </c>
      <c r="L1173" t="n">
        <v>1</v>
      </c>
      <c r="M1173" t="n">
        <v>0</v>
      </c>
    </row>
    <row r="1174" spans="1:13">
      <c r="A1174" s="1">
        <f>HYPERLINK("http://www.twitter.com/NathanBLawrence/status/985598246075682816", "985598246075682816")</f>
        <v/>
      </c>
      <c r="B1174" s="2" t="n">
        <v>43205.80449074074</v>
      </c>
      <c r="C1174" t="n">
        <v>1</v>
      </c>
      <c r="D1174" t="n">
        <v>0</v>
      </c>
      <c r="E1174" t="s">
        <v>1182</v>
      </c>
      <c r="F1174" t="s"/>
      <c r="G1174" t="s"/>
      <c r="H1174" t="s"/>
      <c r="I1174" t="s"/>
      <c r="J1174" t="n">
        <v>0</v>
      </c>
      <c r="K1174" t="n">
        <v>0</v>
      </c>
      <c r="L1174" t="n">
        <v>1</v>
      </c>
      <c r="M1174" t="n">
        <v>0</v>
      </c>
    </row>
    <row r="1175" spans="1:13">
      <c r="A1175" s="1">
        <f>HYPERLINK("http://www.twitter.com/NathanBLawrence/status/985598076105707522", "985598076105707522")</f>
        <v/>
      </c>
      <c r="B1175" s="2" t="n">
        <v>43205.80401620371</v>
      </c>
      <c r="C1175" t="n">
        <v>1</v>
      </c>
      <c r="D1175" t="n">
        <v>0</v>
      </c>
      <c r="E1175" t="s">
        <v>1183</v>
      </c>
      <c r="F1175" t="s"/>
      <c r="G1175" t="s"/>
      <c r="H1175" t="s"/>
      <c r="I1175" t="s"/>
      <c r="J1175" t="n">
        <v>0</v>
      </c>
      <c r="K1175" t="n">
        <v>0</v>
      </c>
      <c r="L1175" t="n">
        <v>1</v>
      </c>
      <c r="M1175" t="n">
        <v>0</v>
      </c>
    </row>
    <row r="1176" spans="1:13">
      <c r="A1176" s="1">
        <f>HYPERLINK("http://www.twitter.com/NathanBLawrence/status/985596811137241093", "985596811137241093")</f>
        <v/>
      </c>
      <c r="B1176" s="2" t="n">
        <v>43205.80052083333</v>
      </c>
      <c r="C1176" t="n">
        <v>0</v>
      </c>
      <c r="D1176" t="n">
        <v>0</v>
      </c>
      <c r="E1176" t="s">
        <v>1184</v>
      </c>
      <c r="F1176" t="s"/>
      <c r="G1176" t="s"/>
      <c r="H1176" t="s"/>
      <c r="I1176" t="s"/>
      <c r="J1176" t="n">
        <v>0.3818</v>
      </c>
      <c r="K1176" t="n">
        <v>0</v>
      </c>
      <c r="L1176" t="n">
        <v>0.794</v>
      </c>
      <c r="M1176" t="n">
        <v>0.206</v>
      </c>
    </row>
    <row r="1177" spans="1:13">
      <c r="A1177" s="1">
        <f>HYPERLINK("http://www.twitter.com/NathanBLawrence/status/985596716878630913", "985596716878630913")</f>
        <v/>
      </c>
      <c r="B1177" s="2" t="n">
        <v>43205.8002662037</v>
      </c>
      <c r="C1177" t="n">
        <v>0</v>
      </c>
      <c r="D1177" t="n">
        <v>0</v>
      </c>
      <c r="E1177" t="s">
        <v>1185</v>
      </c>
      <c r="F1177" t="s"/>
      <c r="G1177" t="s"/>
      <c r="H1177" t="s"/>
      <c r="I1177" t="s"/>
      <c r="J1177" t="n">
        <v>-0.5994</v>
      </c>
      <c r="K1177" t="n">
        <v>0.245</v>
      </c>
      <c r="L1177" t="n">
        <v>0.755</v>
      </c>
      <c r="M1177" t="n">
        <v>0</v>
      </c>
    </row>
    <row r="1178" spans="1:13">
      <c r="A1178" s="1">
        <f>HYPERLINK("http://www.twitter.com/NathanBLawrence/status/985596564453371904", "985596564453371904")</f>
        <v/>
      </c>
      <c r="B1178" s="2" t="n">
        <v>43205.79984953703</v>
      </c>
      <c r="C1178" t="n">
        <v>0</v>
      </c>
      <c r="D1178" t="n">
        <v>0</v>
      </c>
      <c r="E1178" t="s">
        <v>1186</v>
      </c>
      <c r="F1178" t="s"/>
      <c r="G1178" t="s"/>
      <c r="H1178" t="s"/>
      <c r="I1178" t="s"/>
      <c r="J1178" t="n">
        <v>0</v>
      </c>
      <c r="K1178" t="n">
        <v>0</v>
      </c>
      <c r="L1178" t="n">
        <v>1</v>
      </c>
      <c r="M1178" t="n">
        <v>0</v>
      </c>
    </row>
    <row r="1179" spans="1:13">
      <c r="A1179" s="1">
        <f>HYPERLINK("http://www.twitter.com/NathanBLawrence/status/985594719462940672", "985594719462940672")</f>
        <v/>
      </c>
      <c r="B1179" s="2" t="n">
        <v>43205.79475694444</v>
      </c>
      <c r="C1179" t="n">
        <v>0</v>
      </c>
      <c r="D1179" t="n">
        <v>0</v>
      </c>
      <c r="E1179" t="s">
        <v>1187</v>
      </c>
      <c r="F1179" t="s"/>
      <c r="G1179" t="s"/>
      <c r="H1179" t="s"/>
      <c r="I1179" t="s"/>
      <c r="J1179" t="n">
        <v>0</v>
      </c>
      <c r="K1179" t="n">
        <v>0</v>
      </c>
      <c r="L1179" t="n">
        <v>1</v>
      </c>
      <c r="M1179" t="n">
        <v>0</v>
      </c>
    </row>
    <row r="1180" spans="1:13">
      <c r="A1180" s="1">
        <f>HYPERLINK("http://www.twitter.com/NathanBLawrence/status/985594019999813632", "985594019999813632")</f>
        <v/>
      </c>
      <c r="B1180" s="2" t="n">
        <v>43205.79282407407</v>
      </c>
      <c r="C1180" t="n">
        <v>0</v>
      </c>
      <c r="D1180" t="n">
        <v>0</v>
      </c>
      <c r="E1180" t="s">
        <v>1188</v>
      </c>
      <c r="F1180" t="s"/>
      <c r="G1180" t="s"/>
      <c r="H1180" t="s"/>
      <c r="I1180" t="s"/>
      <c r="J1180" t="n">
        <v>-0.296</v>
      </c>
      <c r="K1180" t="n">
        <v>0.18</v>
      </c>
      <c r="L1180" t="n">
        <v>0.82</v>
      </c>
      <c r="M1180" t="n">
        <v>0</v>
      </c>
    </row>
    <row r="1181" spans="1:13">
      <c r="A1181" s="1">
        <f>HYPERLINK("http://www.twitter.com/NathanBLawrence/status/985593600875560960", "985593600875560960")</f>
        <v/>
      </c>
      <c r="B1181" s="2" t="n">
        <v>43205.79166666666</v>
      </c>
      <c r="C1181" t="n">
        <v>0</v>
      </c>
      <c r="D1181" t="n">
        <v>9</v>
      </c>
      <c r="E1181" t="s">
        <v>1189</v>
      </c>
      <c r="F1181" t="s"/>
      <c r="G1181" t="s"/>
      <c r="H1181" t="s"/>
      <c r="I1181" t="s"/>
      <c r="J1181" t="n">
        <v>0</v>
      </c>
      <c r="K1181" t="n">
        <v>0</v>
      </c>
      <c r="L1181" t="n">
        <v>1</v>
      </c>
      <c r="M1181" t="n">
        <v>0</v>
      </c>
    </row>
    <row r="1182" spans="1:13">
      <c r="A1182" s="1">
        <f>HYPERLINK("http://www.twitter.com/NathanBLawrence/status/985593501827174400", "985593501827174400")</f>
        <v/>
      </c>
      <c r="B1182" s="2" t="n">
        <v>43205.79138888889</v>
      </c>
      <c r="C1182" t="n">
        <v>7</v>
      </c>
      <c r="D1182" t="n">
        <v>9</v>
      </c>
      <c r="E1182" t="s">
        <v>1190</v>
      </c>
      <c r="F1182" t="s"/>
      <c r="G1182" t="s"/>
      <c r="H1182" t="s"/>
      <c r="I1182" t="s"/>
      <c r="J1182" t="n">
        <v>0</v>
      </c>
      <c r="K1182" t="n">
        <v>0</v>
      </c>
      <c r="L1182" t="n">
        <v>1</v>
      </c>
      <c r="M1182" t="n">
        <v>0</v>
      </c>
    </row>
    <row r="1183" spans="1:13">
      <c r="A1183" s="1">
        <f>HYPERLINK("http://www.twitter.com/NathanBLawrence/status/985592488013549571", "985592488013549571")</f>
        <v/>
      </c>
      <c r="B1183" s="2" t="n">
        <v>43205.78859953704</v>
      </c>
      <c r="C1183" t="n">
        <v>2</v>
      </c>
      <c r="D1183" t="n">
        <v>2</v>
      </c>
      <c r="E1183" t="s">
        <v>1191</v>
      </c>
      <c r="F1183" t="s"/>
      <c r="G1183" t="s"/>
      <c r="H1183" t="s"/>
      <c r="I1183" t="s"/>
      <c r="J1183" t="n">
        <v>-0.2263</v>
      </c>
      <c r="K1183" t="n">
        <v>0.161</v>
      </c>
      <c r="L1183" t="n">
        <v>0.738</v>
      </c>
      <c r="M1183" t="n">
        <v>0.101</v>
      </c>
    </row>
    <row r="1184" spans="1:13">
      <c r="A1184" s="1">
        <f>HYPERLINK("http://www.twitter.com/NathanBLawrence/status/985590527109337090", "985590527109337090")</f>
        <v/>
      </c>
      <c r="B1184" s="2" t="n">
        <v>43205.78318287037</v>
      </c>
      <c r="C1184" t="n">
        <v>0</v>
      </c>
      <c r="D1184" t="n">
        <v>2</v>
      </c>
      <c r="E1184" t="s">
        <v>1192</v>
      </c>
      <c r="F1184" t="s"/>
      <c r="G1184" t="s"/>
      <c r="H1184" t="s"/>
      <c r="I1184" t="s"/>
      <c r="J1184" t="n">
        <v>0</v>
      </c>
      <c r="K1184" t="n">
        <v>0</v>
      </c>
      <c r="L1184" t="n">
        <v>1</v>
      </c>
      <c r="M1184" t="n">
        <v>0</v>
      </c>
    </row>
    <row r="1185" spans="1:13">
      <c r="A1185" s="1">
        <f>HYPERLINK("http://www.twitter.com/NathanBLawrence/status/985590097126023179", "985590097126023179")</f>
        <v/>
      </c>
      <c r="B1185" s="2" t="n">
        <v>43205.78200231482</v>
      </c>
      <c r="C1185" t="n">
        <v>0</v>
      </c>
      <c r="D1185" t="n">
        <v>1</v>
      </c>
      <c r="E1185" t="s">
        <v>1193</v>
      </c>
      <c r="F1185" t="s"/>
      <c r="G1185" t="s"/>
      <c r="H1185" t="s"/>
      <c r="I1185" t="s"/>
      <c r="J1185" t="n">
        <v>0</v>
      </c>
      <c r="K1185" t="n">
        <v>0</v>
      </c>
      <c r="L1185" t="n">
        <v>1</v>
      </c>
      <c r="M1185" t="n">
        <v>0</v>
      </c>
    </row>
    <row r="1186" spans="1:13">
      <c r="A1186" s="1">
        <f>HYPERLINK("http://www.twitter.com/NathanBLawrence/status/985589849284665345", "985589849284665345")</f>
        <v/>
      </c>
      <c r="B1186" s="2" t="n">
        <v>43205.78131944445</v>
      </c>
      <c r="C1186" t="n">
        <v>0</v>
      </c>
      <c r="D1186" t="n">
        <v>1</v>
      </c>
      <c r="E1186" t="s">
        <v>1194</v>
      </c>
      <c r="F1186" t="s"/>
      <c r="G1186" t="s"/>
      <c r="H1186" t="s"/>
      <c r="I1186" t="s"/>
      <c r="J1186" t="n">
        <v>0.3182</v>
      </c>
      <c r="K1186" t="n">
        <v>0</v>
      </c>
      <c r="L1186" t="n">
        <v>0.892</v>
      </c>
      <c r="M1186" t="n">
        <v>0.108</v>
      </c>
    </row>
    <row r="1187" spans="1:13">
      <c r="A1187" s="1">
        <f>HYPERLINK("http://www.twitter.com/NathanBLawrence/status/985589255140409344", "985589255140409344")</f>
        <v/>
      </c>
      <c r="B1187" s="2" t="n">
        <v>43205.77967592593</v>
      </c>
      <c r="C1187" t="n">
        <v>0</v>
      </c>
      <c r="D1187" t="n">
        <v>1</v>
      </c>
      <c r="E1187" t="s">
        <v>1195</v>
      </c>
      <c r="F1187" t="s"/>
      <c r="G1187" t="s"/>
      <c r="H1187" t="s"/>
      <c r="I1187" t="s"/>
      <c r="J1187" t="n">
        <v>0.1531</v>
      </c>
      <c r="K1187" t="n">
        <v>0.142</v>
      </c>
      <c r="L1187" t="n">
        <v>0.65</v>
      </c>
      <c r="M1187" t="n">
        <v>0.207</v>
      </c>
    </row>
    <row r="1188" spans="1:13">
      <c r="A1188" s="1">
        <f>HYPERLINK("http://www.twitter.com/NathanBLawrence/status/985587188355289089", "985587188355289089")</f>
        <v/>
      </c>
      <c r="B1188" s="2" t="n">
        <v>43205.77396990741</v>
      </c>
      <c r="C1188" t="n">
        <v>0</v>
      </c>
      <c r="D1188" t="n">
        <v>1</v>
      </c>
      <c r="E1188" t="s">
        <v>1196</v>
      </c>
      <c r="F1188" t="s"/>
      <c r="G1188" t="s"/>
      <c r="H1188" t="s"/>
      <c r="I1188" t="s"/>
      <c r="J1188" t="n">
        <v>0</v>
      </c>
      <c r="K1188" t="n">
        <v>0</v>
      </c>
      <c r="L1188" t="n">
        <v>1</v>
      </c>
      <c r="M1188" t="n">
        <v>0</v>
      </c>
    </row>
    <row r="1189" spans="1:13">
      <c r="A1189" s="1">
        <f>HYPERLINK("http://www.twitter.com/NathanBLawrence/status/985330303693705216", "985330303693705216")</f>
        <v/>
      </c>
      <c r="B1189" s="2" t="n">
        <v>43205.06510416666</v>
      </c>
      <c r="C1189" t="n">
        <v>0</v>
      </c>
      <c r="D1189" t="n">
        <v>1</v>
      </c>
      <c r="E1189" t="s">
        <v>1197</v>
      </c>
      <c r="F1189" t="s"/>
      <c r="G1189" t="s"/>
      <c r="H1189" t="s"/>
      <c r="I1189" t="s"/>
      <c r="J1189" t="n">
        <v>-0.7096</v>
      </c>
      <c r="K1189" t="n">
        <v>0.228</v>
      </c>
      <c r="L1189" t="n">
        <v>0.772</v>
      </c>
      <c r="M1189" t="n">
        <v>0</v>
      </c>
    </row>
    <row r="1190" spans="1:13">
      <c r="A1190" s="1">
        <f>HYPERLINK("http://www.twitter.com/NathanBLawrence/status/985329969508347905", "985329969508347905")</f>
        <v/>
      </c>
      <c r="B1190" s="2" t="n">
        <v>43205.06417824074</v>
      </c>
      <c r="C1190" t="n">
        <v>0</v>
      </c>
      <c r="D1190" t="n">
        <v>230</v>
      </c>
      <c r="E1190" t="s">
        <v>1198</v>
      </c>
      <c r="F1190" t="s"/>
      <c r="G1190" t="s"/>
      <c r="H1190" t="s"/>
      <c r="I1190" t="s"/>
      <c r="J1190" t="n">
        <v>0</v>
      </c>
      <c r="K1190" t="n">
        <v>0</v>
      </c>
      <c r="L1190" t="n">
        <v>1</v>
      </c>
      <c r="M1190" t="n">
        <v>0</v>
      </c>
    </row>
    <row r="1191" spans="1:13">
      <c r="A1191" s="1">
        <f>HYPERLINK("http://www.twitter.com/NathanBLawrence/status/985329689223983104", "985329689223983104")</f>
        <v/>
      </c>
      <c r="B1191" s="2" t="n">
        <v>43205.06341435185</v>
      </c>
      <c r="C1191" t="n">
        <v>0</v>
      </c>
      <c r="D1191" t="n">
        <v>1</v>
      </c>
      <c r="E1191" t="s">
        <v>1199</v>
      </c>
      <c r="F1191" t="s"/>
      <c r="G1191" t="s"/>
      <c r="H1191" t="s"/>
      <c r="I1191" t="s"/>
      <c r="J1191" t="n">
        <v>-0.3612</v>
      </c>
      <c r="K1191" t="n">
        <v>0.135</v>
      </c>
      <c r="L1191" t="n">
        <v>0.865</v>
      </c>
      <c r="M1191" t="n">
        <v>0</v>
      </c>
    </row>
    <row r="1192" spans="1:13">
      <c r="A1192" s="1">
        <f>HYPERLINK("http://www.twitter.com/NathanBLawrence/status/985316968155762689", "985316968155762689")</f>
        <v/>
      </c>
      <c r="B1192" s="2" t="n">
        <v>43205.02831018518</v>
      </c>
      <c r="C1192" t="n">
        <v>0</v>
      </c>
      <c r="D1192" t="n">
        <v>2</v>
      </c>
      <c r="E1192" t="s">
        <v>1200</v>
      </c>
      <c r="F1192" t="s"/>
      <c r="G1192" t="s"/>
      <c r="H1192" t="s"/>
      <c r="I1192" t="s"/>
      <c r="J1192" t="n">
        <v>0</v>
      </c>
      <c r="K1192" t="n">
        <v>0</v>
      </c>
      <c r="L1192" t="n">
        <v>1</v>
      </c>
      <c r="M1192" t="n">
        <v>0</v>
      </c>
    </row>
    <row r="1193" spans="1:13">
      <c r="A1193" s="1">
        <f>HYPERLINK("http://www.twitter.com/NathanBLawrence/status/985316877361664000", "985316877361664000")</f>
        <v/>
      </c>
      <c r="B1193" s="2" t="n">
        <v>43205.02805555556</v>
      </c>
      <c r="C1193" t="n">
        <v>0</v>
      </c>
      <c r="D1193" t="n">
        <v>8</v>
      </c>
      <c r="E1193" t="s">
        <v>1201</v>
      </c>
      <c r="F1193">
        <f>HYPERLINK("http://pbs.twimg.com/media/Dahfv_oX4AEh7Lw.jpg", "http://pbs.twimg.com/media/Dahfv_oX4AEh7Lw.jpg")</f>
        <v/>
      </c>
      <c r="G1193" t="s"/>
      <c r="H1193" t="s"/>
      <c r="I1193" t="s"/>
      <c r="J1193" t="n">
        <v>0</v>
      </c>
      <c r="K1193" t="n">
        <v>0</v>
      </c>
      <c r="L1193" t="n">
        <v>1</v>
      </c>
      <c r="M1193" t="n">
        <v>0</v>
      </c>
    </row>
    <row r="1194" spans="1:13">
      <c r="A1194" s="1">
        <f>HYPERLINK("http://www.twitter.com/NathanBLawrence/status/985315554092347394", "985315554092347394")</f>
        <v/>
      </c>
      <c r="B1194" s="2" t="n">
        <v>43205.02440972222</v>
      </c>
      <c r="C1194" t="n">
        <v>0</v>
      </c>
      <c r="D1194" t="n">
        <v>1</v>
      </c>
      <c r="E1194" t="s">
        <v>1202</v>
      </c>
      <c r="F1194" t="s"/>
      <c r="G1194" t="s"/>
      <c r="H1194" t="s"/>
      <c r="I1194" t="s"/>
      <c r="J1194" t="n">
        <v>0</v>
      </c>
      <c r="K1194" t="n">
        <v>0</v>
      </c>
      <c r="L1194" t="n">
        <v>1</v>
      </c>
      <c r="M1194" t="n">
        <v>0</v>
      </c>
    </row>
    <row r="1195" spans="1:13">
      <c r="A1195" s="1">
        <f>HYPERLINK("http://www.twitter.com/NathanBLawrence/status/984636566902591488", "984636566902591488")</f>
        <v/>
      </c>
      <c r="B1195" s="2" t="n">
        <v>43203.15075231482</v>
      </c>
      <c r="C1195" t="n">
        <v>0</v>
      </c>
      <c r="D1195" t="n">
        <v>28</v>
      </c>
      <c r="E1195" t="s">
        <v>1203</v>
      </c>
      <c r="F1195" t="s"/>
      <c r="G1195" t="s"/>
      <c r="H1195" t="s"/>
      <c r="I1195" t="s"/>
      <c r="J1195" t="n">
        <v>0.4576</v>
      </c>
      <c r="K1195" t="n">
        <v>0</v>
      </c>
      <c r="L1195" t="n">
        <v>0.885</v>
      </c>
      <c r="M1195" t="n">
        <v>0.115</v>
      </c>
    </row>
    <row r="1196" spans="1:13">
      <c r="A1196" s="1">
        <f>HYPERLINK("http://www.twitter.com/NathanBLawrence/status/984636414838104064", "984636414838104064")</f>
        <v/>
      </c>
      <c r="B1196" s="2" t="n">
        <v>43203.15033564815</v>
      </c>
      <c r="C1196" t="n">
        <v>0</v>
      </c>
      <c r="D1196" t="n">
        <v>82</v>
      </c>
      <c r="E1196" t="s">
        <v>1204</v>
      </c>
      <c r="F1196" t="s"/>
      <c r="G1196" t="s"/>
      <c r="H1196" t="s"/>
      <c r="I1196" t="s"/>
      <c r="J1196" t="n">
        <v>-0.2144</v>
      </c>
      <c r="K1196" t="n">
        <v>0.106</v>
      </c>
      <c r="L1196" t="n">
        <v>0.822</v>
      </c>
      <c r="M1196" t="n">
        <v>0.07199999999999999</v>
      </c>
    </row>
    <row r="1197" spans="1:13">
      <c r="A1197" s="1">
        <f>HYPERLINK("http://www.twitter.com/NathanBLawrence/status/984636334286495744", "984636334286495744")</f>
        <v/>
      </c>
      <c r="B1197" s="2" t="n">
        <v>43203.15011574074</v>
      </c>
      <c r="C1197" t="n">
        <v>0</v>
      </c>
      <c r="D1197" t="n">
        <v>0</v>
      </c>
      <c r="E1197" t="s">
        <v>1205</v>
      </c>
      <c r="F1197" t="s"/>
      <c r="G1197" t="s"/>
      <c r="H1197" t="s"/>
      <c r="I1197" t="s"/>
      <c r="J1197" t="n">
        <v>0</v>
      </c>
      <c r="K1197" t="n">
        <v>0</v>
      </c>
      <c r="L1197" t="n">
        <v>1</v>
      </c>
      <c r="M1197" t="n">
        <v>0</v>
      </c>
    </row>
    <row r="1198" spans="1:13">
      <c r="A1198" s="1">
        <f>HYPERLINK("http://www.twitter.com/NathanBLawrence/status/984636237918109696", "984636237918109696")</f>
        <v/>
      </c>
      <c r="B1198" s="2" t="n">
        <v>43203.14984953704</v>
      </c>
      <c r="C1198" t="n">
        <v>0</v>
      </c>
      <c r="D1198" t="n">
        <v>24</v>
      </c>
      <c r="E1198" t="s">
        <v>1206</v>
      </c>
      <c r="F1198" t="s"/>
      <c r="G1198" t="s"/>
      <c r="H1198" t="s"/>
      <c r="I1198" t="s"/>
      <c r="J1198" t="n">
        <v>0.3182</v>
      </c>
      <c r="K1198" t="n">
        <v>0</v>
      </c>
      <c r="L1198" t="n">
        <v>0.909</v>
      </c>
      <c r="M1198" t="n">
        <v>0.091</v>
      </c>
    </row>
    <row r="1199" spans="1:13">
      <c r="A1199" s="1">
        <f>HYPERLINK("http://www.twitter.com/NathanBLawrence/status/984636127297630208", "984636127297630208")</f>
        <v/>
      </c>
      <c r="B1199" s="2" t="n">
        <v>43203.14954861111</v>
      </c>
      <c r="C1199" t="n">
        <v>0</v>
      </c>
      <c r="D1199" t="n">
        <v>42</v>
      </c>
      <c r="E1199" t="s">
        <v>1207</v>
      </c>
      <c r="F1199" t="s"/>
      <c r="G1199" t="s"/>
      <c r="H1199" t="s"/>
      <c r="I1199" t="s"/>
      <c r="J1199" t="n">
        <v>0.4939</v>
      </c>
      <c r="K1199" t="n">
        <v>0</v>
      </c>
      <c r="L1199" t="n">
        <v>0.775</v>
      </c>
      <c r="M1199" t="n">
        <v>0.225</v>
      </c>
    </row>
    <row r="1200" spans="1:13">
      <c r="A1200" s="1">
        <f>HYPERLINK("http://www.twitter.com/NathanBLawrence/status/984636052244783104", "984636052244783104")</f>
        <v/>
      </c>
      <c r="B1200" s="2" t="n">
        <v>43203.14934027778</v>
      </c>
      <c r="C1200" t="n">
        <v>0</v>
      </c>
      <c r="D1200" t="n">
        <v>69</v>
      </c>
      <c r="E1200" t="s">
        <v>1208</v>
      </c>
      <c r="F1200" t="s"/>
      <c r="G1200" t="s"/>
      <c r="H1200" t="s"/>
      <c r="I1200" t="s"/>
      <c r="J1200" t="n">
        <v>0.3612</v>
      </c>
      <c r="K1200" t="n">
        <v>0</v>
      </c>
      <c r="L1200" t="n">
        <v>0.884</v>
      </c>
      <c r="M1200" t="n">
        <v>0.116</v>
      </c>
    </row>
    <row r="1201" spans="1:13">
      <c r="A1201" s="1">
        <f>HYPERLINK("http://www.twitter.com/NathanBLawrence/status/984636022544887808", "984636022544887808")</f>
        <v/>
      </c>
      <c r="B1201" s="2" t="n">
        <v>43203.14925925926</v>
      </c>
      <c r="C1201" t="n">
        <v>0</v>
      </c>
      <c r="D1201" t="n">
        <v>25</v>
      </c>
      <c r="E1201" t="s">
        <v>1209</v>
      </c>
      <c r="F1201" t="s"/>
      <c r="G1201" t="s"/>
      <c r="H1201" t="s"/>
      <c r="I1201" t="s"/>
      <c r="J1201" t="n">
        <v>0</v>
      </c>
      <c r="K1201" t="n">
        <v>0</v>
      </c>
      <c r="L1201" t="n">
        <v>1</v>
      </c>
      <c r="M1201" t="n">
        <v>0</v>
      </c>
    </row>
    <row r="1202" spans="1:13">
      <c r="A1202" s="1">
        <f>HYPERLINK("http://www.twitter.com/NathanBLawrence/status/984635788309794817", "984635788309794817")</f>
        <v/>
      </c>
      <c r="B1202" s="2" t="n">
        <v>43203.14861111111</v>
      </c>
      <c r="C1202" t="n">
        <v>0</v>
      </c>
      <c r="D1202" t="n">
        <v>1</v>
      </c>
      <c r="E1202" t="s">
        <v>1210</v>
      </c>
      <c r="F1202" t="s"/>
      <c r="G1202" t="s"/>
      <c r="H1202" t="s"/>
      <c r="I1202" t="s"/>
      <c r="J1202" t="n">
        <v>-0.1351</v>
      </c>
      <c r="K1202" t="n">
        <v>0.08</v>
      </c>
      <c r="L1202" t="n">
        <v>0.865</v>
      </c>
      <c r="M1202" t="n">
        <v>0.056</v>
      </c>
    </row>
    <row r="1203" spans="1:13">
      <c r="A1203" s="1">
        <f>HYPERLINK("http://www.twitter.com/NathanBLawrence/status/984635683095670785", "984635683095670785")</f>
        <v/>
      </c>
      <c r="B1203" s="2" t="n">
        <v>43203.14832175926</v>
      </c>
      <c r="C1203" t="n">
        <v>0</v>
      </c>
      <c r="D1203" t="n">
        <v>3</v>
      </c>
      <c r="E1203" t="s">
        <v>1211</v>
      </c>
      <c r="F1203" t="s"/>
      <c r="G1203" t="s"/>
      <c r="H1203" t="s"/>
      <c r="I1203" t="s"/>
      <c r="J1203" t="n">
        <v>0.9351</v>
      </c>
      <c r="K1203" t="n">
        <v>0</v>
      </c>
      <c r="L1203" t="n">
        <v>0.5590000000000001</v>
      </c>
      <c r="M1203" t="n">
        <v>0.441</v>
      </c>
    </row>
    <row r="1204" spans="1:13">
      <c r="A1204" s="1">
        <f>HYPERLINK("http://www.twitter.com/NathanBLawrence/status/984634899339628544", "984634899339628544")</f>
        <v/>
      </c>
      <c r="B1204" s="2" t="n">
        <v>43203.14615740741</v>
      </c>
      <c r="C1204" t="n">
        <v>0</v>
      </c>
      <c r="D1204" t="n">
        <v>3</v>
      </c>
      <c r="E1204" t="s">
        <v>1212</v>
      </c>
      <c r="F1204" t="s"/>
      <c r="G1204" t="s"/>
      <c r="H1204" t="s"/>
      <c r="I1204" t="s"/>
      <c r="J1204" t="n">
        <v>0</v>
      </c>
      <c r="K1204" t="n">
        <v>0</v>
      </c>
      <c r="L1204" t="n">
        <v>1</v>
      </c>
      <c r="M1204" t="n">
        <v>0</v>
      </c>
    </row>
    <row r="1205" spans="1:13">
      <c r="A1205" s="1">
        <f>HYPERLINK("http://www.twitter.com/NathanBLawrence/status/984634843727323136", "984634843727323136")</f>
        <v/>
      </c>
      <c r="B1205" s="2" t="n">
        <v>43203.14600694444</v>
      </c>
      <c r="C1205" t="n">
        <v>0</v>
      </c>
      <c r="D1205" t="n">
        <v>3</v>
      </c>
      <c r="E1205" t="s">
        <v>1213</v>
      </c>
      <c r="F1205" t="s"/>
      <c r="G1205" t="s"/>
      <c r="H1205" t="s"/>
      <c r="I1205" t="s"/>
      <c r="J1205" t="n">
        <v>-0.5562</v>
      </c>
      <c r="K1205" t="n">
        <v>0.183</v>
      </c>
      <c r="L1205" t="n">
        <v>0.8169999999999999</v>
      </c>
      <c r="M1205" t="n">
        <v>0</v>
      </c>
    </row>
    <row r="1206" spans="1:13">
      <c r="A1206" s="1">
        <f>HYPERLINK("http://www.twitter.com/NathanBLawrence/status/984634824492244993", "984634824492244993")</f>
        <v/>
      </c>
      <c r="B1206" s="2" t="n">
        <v>43203.14594907407</v>
      </c>
      <c r="C1206" t="n">
        <v>0</v>
      </c>
      <c r="D1206" t="n">
        <v>0</v>
      </c>
      <c r="E1206" t="s">
        <v>1214</v>
      </c>
      <c r="F1206" t="s"/>
      <c r="G1206" t="s"/>
      <c r="H1206" t="s"/>
      <c r="I1206" t="s"/>
      <c r="J1206" t="n">
        <v>0</v>
      </c>
      <c r="K1206" t="n">
        <v>0</v>
      </c>
      <c r="L1206" t="n">
        <v>1</v>
      </c>
      <c r="M1206" t="n">
        <v>0</v>
      </c>
    </row>
    <row r="1207" spans="1:13">
      <c r="A1207" s="1">
        <f>HYPERLINK("http://www.twitter.com/NathanBLawrence/status/984634415656652800", "984634415656652800")</f>
        <v/>
      </c>
      <c r="B1207" s="2" t="n">
        <v>43203.14481481481</v>
      </c>
      <c r="C1207" t="n">
        <v>0</v>
      </c>
      <c r="D1207" t="n">
        <v>0</v>
      </c>
      <c r="E1207" t="s">
        <v>1215</v>
      </c>
      <c r="F1207" t="s"/>
      <c r="G1207" t="s"/>
      <c r="H1207" t="s"/>
      <c r="I1207" t="s"/>
      <c r="J1207" t="n">
        <v>-0.5266999999999999</v>
      </c>
      <c r="K1207" t="n">
        <v>0.63</v>
      </c>
      <c r="L1207" t="n">
        <v>0.37</v>
      </c>
      <c r="M1207" t="n">
        <v>0</v>
      </c>
    </row>
    <row r="1208" spans="1:13">
      <c r="A1208" s="1">
        <f>HYPERLINK("http://www.twitter.com/NathanBLawrence/status/984634321716858880", "984634321716858880")</f>
        <v/>
      </c>
      <c r="B1208" s="2" t="n">
        <v>43203.14456018519</v>
      </c>
      <c r="C1208" t="n">
        <v>2</v>
      </c>
      <c r="D1208" t="n">
        <v>0</v>
      </c>
      <c r="E1208" t="s">
        <v>1216</v>
      </c>
      <c r="F1208" t="s"/>
      <c r="G1208" t="s"/>
      <c r="H1208" t="s"/>
      <c r="I1208" t="s"/>
      <c r="J1208" t="n">
        <v>-0.3446</v>
      </c>
      <c r="K1208" t="n">
        <v>0.188</v>
      </c>
      <c r="L1208" t="n">
        <v>0.694</v>
      </c>
      <c r="M1208" t="n">
        <v>0.118</v>
      </c>
    </row>
    <row r="1209" spans="1:13">
      <c r="A1209" s="1">
        <f>HYPERLINK("http://www.twitter.com/NathanBLawrence/status/984633886197059584", "984633886197059584")</f>
        <v/>
      </c>
      <c r="B1209" s="2" t="n">
        <v>43203.14335648148</v>
      </c>
      <c r="C1209" t="n">
        <v>0</v>
      </c>
      <c r="D1209" t="n">
        <v>1</v>
      </c>
      <c r="E1209" t="s">
        <v>1217</v>
      </c>
      <c r="F1209" t="s"/>
      <c r="G1209" t="s"/>
      <c r="H1209" t="s"/>
      <c r="I1209" t="s"/>
      <c r="J1209" t="n">
        <v>0.4404</v>
      </c>
      <c r="K1209" t="n">
        <v>0</v>
      </c>
      <c r="L1209" t="n">
        <v>0.861</v>
      </c>
      <c r="M1209" t="n">
        <v>0.139</v>
      </c>
    </row>
    <row r="1210" spans="1:13">
      <c r="A1210" s="1">
        <f>HYPERLINK("http://www.twitter.com/NathanBLawrence/status/984633542796894208", "984633542796894208")</f>
        <v/>
      </c>
      <c r="B1210" s="2" t="n">
        <v>43203.14240740741</v>
      </c>
      <c r="C1210" t="n">
        <v>1</v>
      </c>
      <c r="D1210" t="n">
        <v>0</v>
      </c>
      <c r="E1210" t="s">
        <v>1218</v>
      </c>
      <c r="F1210" t="s"/>
      <c r="G1210" t="s"/>
      <c r="H1210" t="s"/>
      <c r="I1210" t="s"/>
      <c r="J1210" t="n">
        <v>0</v>
      </c>
      <c r="K1210" t="n">
        <v>0</v>
      </c>
      <c r="L1210" t="n">
        <v>1</v>
      </c>
      <c r="M1210" t="n">
        <v>0</v>
      </c>
    </row>
    <row r="1211" spans="1:13">
      <c r="A1211" s="1">
        <f>HYPERLINK("http://www.twitter.com/NathanBLawrence/status/984632544086937603", "984632544086937603")</f>
        <v/>
      </c>
      <c r="B1211" s="2" t="n">
        <v>43203.13965277778</v>
      </c>
      <c r="C1211" t="n">
        <v>1</v>
      </c>
      <c r="D1211" t="n">
        <v>0</v>
      </c>
      <c r="E1211" t="s">
        <v>1219</v>
      </c>
      <c r="F1211" t="s"/>
      <c r="G1211" t="s"/>
      <c r="H1211" t="s"/>
      <c r="I1211" t="s"/>
      <c r="J1211" t="n">
        <v>-0.6597</v>
      </c>
      <c r="K1211" t="n">
        <v>0.268</v>
      </c>
      <c r="L1211" t="n">
        <v>0.732</v>
      </c>
      <c r="M1211" t="n">
        <v>0</v>
      </c>
    </row>
    <row r="1212" spans="1:13">
      <c r="A1212" s="1">
        <f>HYPERLINK("http://www.twitter.com/NathanBLawrence/status/984631169835773952", "984631169835773952")</f>
        <v/>
      </c>
      <c r="B1212" s="2" t="n">
        <v>43203.13586805556</v>
      </c>
      <c r="C1212" t="n">
        <v>0</v>
      </c>
      <c r="D1212" t="n">
        <v>0</v>
      </c>
      <c r="E1212" t="s">
        <v>1220</v>
      </c>
      <c r="F1212" t="s"/>
      <c r="G1212" t="s"/>
      <c r="H1212" t="s"/>
      <c r="I1212" t="s"/>
      <c r="J1212" t="n">
        <v>-0.2263</v>
      </c>
      <c r="K1212" t="n">
        <v>0.226</v>
      </c>
      <c r="L1212" t="n">
        <v>0.586</v>
      </c>
      <c r="M1212" t="n">
        <v>0.188</v>
      </c>
    </row>
    <row r="1213" spans="1:13">
      <c r="A1213" s="1">
        <f>HYPERLINK("http://www.twitter.com/NathanBLawrence/status/984629048545562624", "984629048545562624")</f>
        <v/>
      </c>
      <c r="B1213" s="2" t="n">
        <v>43203.13001157407</v>
      </c>
      <c r="C1213" t="n">
        <v>1</v>
      </c>
      <c r="D1213" t="n">
        <v>0</v>
      </c>
      <c r="E1213" t="s">
        <v>1221</v>
      </c>
      <c r="F1213" t="s"/>
      <c r="G1213" t="s"/>
      <c r="H1213" t="s"/>
      <c r="I1213" t="s"/>
      <c r="J1213" t="n">
        <v>0.9587</v>
      </c>
      <c r="K1213" t="n">
        <v>0.058</v>
      </c>
      <c r="L1213" t="n">
        <v>0.582</v>
      </c>
      <c r="M1213" t="n">
        <v>0.36</v>
      </c>
    </row>
    <row r="1214" spans="1:13">
      <c r="A1214" s="1">
        <f>HYPERLINK("http://www.twitter.com/NathanBLawrence/status/984627063477948418", "984627063477948418")</f>
        <v/>
      </c>
      <c r="B1214" s="2" t="n">
        <v>43203.12453703704</v>
      </c>
      <c r="C1214" t="n">
        <v>0</v>
      </c>
      <c r="D1214" t="n">
        <v>1</v>
      </c>
      <c r="E1214" t="s">
        <v>1222</v>
      </c>
      <c r="F1214" t="s"/>
      <c r="G1214" t="s"/>
      <c r="H1214" t="s"/>
      <c r="I1214" t="s"/>
      <c r="J1214" t="n">
        <v>-0.2755</v>
      </c>
      <c r="K1214" t="n">
        <v>0.105</v>
      </c>
      <c r="L1214" t="n">
        <v>0.895</v>
      </c>
      <c r="M1214" t="n">
        <v>0</v>
      </c>
    </row>
    <row r="1215" spans="1:13">
      <c r="A1215" s="1">
        <f>HYPERLINK("http://www.twitter.com/NathanBLawrence/status/984626751736307712", "984626751736307712")</f>
        <v/>
      </c>
      <c r="B1215" s="2" t="n">
        <v>43203.12366898148</v>
      </c>
      <c r="C1215" t="n">
        <v>0</v>
      </c>
      <c r="D1215" t="n">
        <v>0</v>
      </c>
      <c r="E1215" t="s">
        <v>1223</v>
      </c>
      <c r="F1215" t="s"/>
      <c r="G1215" t="s"/>
      <c r="H1215" t="s"/>
      <c r="I1215" t="s"/>
      <c r="J1215" t="n">
        <v>0</v>
      </c>
      <c r="K1215" t="n">
        <v>0</v>
      </c>
      <c r="L1215" t="n">
        <v>1</v>
      </c>
      <c r="M1215" t="n">
        <v>0</v>
      </c>
    </row>
    <row r="1216" spans="1:13">
      <c r="A1216" s="1">
        <f>HYPERLINK("http://www.twitter.com/NathanBLawrence/status/984625726426140673", "984625726426140673")</f>
        <v/>
      </c>
      <c r="B1216" s="2" t="n">
        <v>43203.1208449074</v>
      </c>
      <c r="C1216" t="n">
        <v>1</v>
      </c>
      <c r="D1216" t="n">
        <v>0</v>
      </c>
      <c r="E1216" t="s">
        <v>1224</v>
      </c>
      <c r="F1216" t="s"/>
      <c r="G1216" t="s"/>
      <c r="H1216" t="s"/>
      <c r="I1216" t="s"/>
      <c r="J1216" t="n">
        <v>-0.0964</v>
      </c>
      <c r="K1216" t="n">
        <v>0.105</v>
      </c>
      <c r="L1216" t="n">
        <v>0.804</v>
      </c>
      <c r="M1216" t="n">
        <v>0.091</v>
      </c>
    </row>
    <row r="1217" spans="1:13">
      <c r="A1217" s="1">
        <f>HYPERLINK("http://www.twitter.com/NathanBLawrence/status/984624956955914240", "984624956955914240")</f>
        <v/>
      </c>
      <c r="B1217" s="2" t="n">
        <v>43203.11871527778</v>
      </c>
      <c r="C1217" t="n">
        <v>0</v>
      </c>
      <c r="D1217" t="n">
        <v>0</v>
      </c>
      <c r="E1217" t="s">
        <v>1225</v>
      </c>
      <c r="F1217" t="s"/>
      <c r="G1217" t="s"/>
      <c r="H1217" t="s"/>
      <c r="I1217" t="s"/>
      <c r="J1217" t="n">
        <v>-0.4767</v>
      </c>
      <c r="K1217" t="n">
        <v>0.191</v>
      </c>
      <c r="L1217" t="n">
        <v>0.705</v>
      </c>
      <c r="M1217" t="n">
        <v>0.104</v>
      </c>
    </row>
    <row r="1218" spans="1:13">
      <c r="A1218" s="1">
        <f>HYPERLINK("http://www.twitter.com/NathanBLawrence/status/984624261846523906", "984624261846523906")</f>
        <v/>
      </c>
      <c r="B1218" s="2" t="n">
        <v>43203.11680555555</v>
      </c>
      <c r="C1218" t="n">
        <v>1</v>
      </c>
      <c r="D1218" t="n">
        <v>0</v>
      </c>
      <c r="E1218" t="s">
        <v>1226</v>
      </c>
      <c r="F1218" t="s"/>
      <c r="G1218" t="s"/>
      <c r="H1218" t="s"/>
      <c r="I1218" t="s"/>
      <c r="J1218" t="n">
        <v>0</v>
      </c>
      <c r="K1218" t="n">
        <v>0</v>
      </c>
      <c r="L1218" t="n">
        <v>1</v>
      </c>
      <c r="M1218" t="n">
        <v>0</v>
      </c>
    </row>
    <row r="1219" spans="1:13">
      <c r="A1219" s="1">
        <f>HYPERLINK("http://www.twitter.com/NathanBLawrence/status/984624198889992192", "984624198889992192")</f>
        <v/>
      </c>
      <c r="B1219" s="2" t="n">
        <v>43203.11663194445</v>
      </c>
      <c r="C1219" t="n">
        <v>13</v>
      </c>
      <c r="D1219" t="n">
        <v>0</v>
      </c>
      <c r="E1219" t="s">
        <v>1227</v>
      </c>
      <c r="F1219" t="s"/>
      <c r="G1219" t="s"/>
      <c r="H1219" t="s"/>
      <c r="I1219" t="s"/>
      <c r="J1219" t="n">
        <v>-0.024</v>
      </c>
      <c r="K1219" t="n">
        <v>0.083</v>
      </c>
      <c r="L1219" t="n">
        <v>0.836</v>
      </c>
      <c r="M1219" t="n">
        <v>0.081</v>
      </c>
    </row>
    <row r="1220" spans="1:13">
      <c r="A1220" s="1">
        <f>HYPERLINK("http://www.twitter.com/NathanBLawrence/status/984622558292140032", "984622558292140032")</f>
        <v/>
      </c>
      <c r="B1220" s="2" t="n">
        <v>43203.11209490741</v>
      </c>
      <c r="C1220" t="n">
        <v>0</v>
      </c>
      <c r="D1220" t="n">
        <v>37</v>
      </c>
      <c r="E1220" t="s">
        <v>1228</v>
      </c>
      <c r="F1220" t="s"/>
      <c r="G1220" t="s"/>
      <c r="H1220" t="s"/>
      <c r="I1220" t="s"/>
      <c r="J1220" t="n">
        <v>0</v>
      </c>
      <c r="K1220" t="n">
        <v>0</v>
      </c>
      <c r="L1220" t="n">
        <v>1</v>
      </c>
      <c r="M1220" t="n">
        <v>0</v>
      </c>
    </row>
    <row r="1221" spans="1:13">
      <c r="A1221" s="1">
        <f>HYPERLINK("http://www.twitter.com/NathanBLawrence/status/984592249282588675", "984592249282588675")</f>
        <v/>
      </c>
      <c r="B1221" s="2" t="n">
        <v>43203.02846064815</v>
      </c>
      <c r="C1221" t="n">
        <v>1</v>
      </c>
      <c r="D1221" t="n">
        <v>0</v>
      </c>
      <c r="E1221" t="s">
        <v>1229</v>
      </c>
      <c r="F1221" t="s"/>
      <c r="G1221" t="s"/>
      <c r="H1221" t="s"/>
      <c r="I1221" t="s"/>
      <c r="J1221" t="n">
        <v>-0.3612</v>
      </c>
      <c r="K1221" t="n">
        <v>0.185</v>
      </c>
      <c r="L1221" t="n">
        <v>0.8149999999999999</v>
      </c>
      <c r="M1221" t="n">
        <v>0</v>
      </c>
    </row>
    <row r="1222" spans="1:13">
      <c r="A1222" s="1">
        <f>HYPERLINK("http://www.twitter.com/NathanBLawrence/status/984591353974845441", "984591353974845441")</f>
        <v/>
      </c>
      <c r="B1222" s="2" t="n">
        <v>43203.02599537037</v>
      </c>
      <c r="C1222" t="n">
        <v>0</v>
      </c>
      <c r="D1222" t="n">
        <v>1</v>
      </c>
      <c r="E1222" t="s">
        <v>1230</v>
      </c>
      <c r="F1222">
        <f>HYPERLINK("http://pbs.twimg.com/media/DanornDUQAAM-UG.jpg", "http://pbs.twimg.com/media/DanornDUQAAM-UG.jpg")</f>
        <v/>
      </c>
      <c r="G1222" t="s"/>
      <c r="H1222" t="s"/>
      <c r="I1222" t="s"/>
      <c r="J1222" t="n">
        <v>0</v>
      </c>
      <c r="K1222" t="n">
        <v>0</v>
      </c>
      <c r="L1222" t="n">
        <v>1</v>
      </c>
      <c r="M1222" t="n">
        <v>0</v>
      </c>
    </row>
    <row r="1223" spans="1:13">
      <c r="A1223" s="1">
        <f>HYPERLINK("http://www.twitter.com/NathanBLawrence/status/984590769800564741", "984590769800564741")</f>
        <v/>
      </c>
      <c r="B1223" s="2" t="n">
        <v>43203.024375</v>
      </c>
      <c r="C1223" t="n">
        <v>1</v>
      </c>
      <c r="D1223" t="n">
        <v>0</v>
      </c>
      <c r="E1223" t="s">
        <v>1231</v>
      </c>
      <c r="F1223" t="s"/>
      <c r="G1223" t="s"/>
      <c r="H1223" t="s"/>
      <c r="I1223" t="s"/>
      <c r="J1223" t="n">
        <v>-0.3818</v>
      </c>
      <c r="K1223" t="n">
        <v>0.274</v>
      </c>
      <c r="L1223" t="n">
        <v>0.549</v>
      </c>
      <c r="M1223" t="n">
        <v>0.177</v>
      </c>
    </row>
    <row r="1224" spans="1:13">
      <c r="A1224" s="1">
        <f>HYPERLINK("http://www.twitter.com/NathanBLawrence/status/984590610844839937", "984590610844839937")</f>
        <v/>
      </c>
      <c r="B1224" s="2" t="n">
        <v>43203.02394675926</v>
      </c>
      <c r="C1224" t="n">
        <v>0</v>
      </c>
      <c r="D1224" t="n">
        <v>1</v>
      </c>
      <c r="E1224" t="s">
        <v>1232</v>
      </c>
      <c r="F1224" t="s"/>
      <c r="G1224" t="s"/>
      <c r="H1224" t="s"/>
      <c r="I1224" t="s"/>
      <c r="J1224" t="n">
        <v>0</v>
      </c>
      <c r="K1224" t="n">
        <v>0</v>
      </c>
      <c r="L1224" t="n">
        <v>1</v>
      </c>
      <c r="M1224" t="n">
        <v>0</v>
      </c>
    </row>
    <row r="1225" spans="1:13">
      <c r="A1225" s="1">
        <f>HYPERLINK("http://www.twitter.com/NathanBLawrence/status/984589747996807168", "984589747996807168")</f>
        <v/>
      </c>
      <c r="B1225" s="2" t="n">
        <v>43203.0215625</v>
      </c>
      <c r="C1225" t="n">
        <v>1</v>
      </c>
      <c r="D1225" t="n">
        <v>0</v>
      </c>
      <c r="E1225" t="s">
        <v>1233</v>
      </c>
      <c r="F1225" t="s"/>
      <c r="G1225" t="s"/>
      <c r="H1225" t="s"/>
      <c r="I1225" t="s"/>
      <c r="J1225" t="n">
        <v>0.4738</v>
      </c>
      <c r="K1225" t="n">
        <v>0</v>
      </c>
      <c r="L1225" t="n">
        <v>0.619</v>
      </c>
      <c r="M1225" t="n">
        <v>0.381</v>
      </c>
    </row>
    <row r="1226" spans="1:13">
      <c r="A1226" s="1">
        <f>HYPERLINK("http://www.twitter.com/NathanBLawrence/status/984582646733918209", "984582646733918209")</f>
        <v/>
      </c>
      <c r="B1226" s="2" t="n">
        <v>43203.00196759259</v>
      </c>
      <c r="C1226" t="n">
        <v>2</v>
      </c>
      <c r="D1226" t="n">
        <v>0</v>
      </c>
      <c r="E1226" t="s">
        <v>1234</v>
      </c>
      <c r="F1226" t="s"/>
      <c r="G1226" t="s"/>
      <c r="H1226" t="s"/>
      <c r="I1226" t="s"/>
      <c r="J1226" t="n">
        <v>0.8393</v>
      </c>
      <c r="K1226" t="n">
        <v>0</v>
      </c>
      <c r="L1226" t="n">
        <v>0.592</v>
      </c>
      <c r="M1226" t="n">
        <v>0.408</v>
      </c>
    </row>
    <row r="1227" spans="1:13">
      <c r="A1227" s="1">
        <f>HYPERLINK("http://www.twitter.com/NathanBLawrence/status/984582081383686144", "984582081383686144")</f>
        <v/>
      </c>
      <c r="B1227" s="2" t="n">
        <v>43203.00040509259</v>
      </c>
      <c r="C1227" t="n">
        <v>2</v>
      </c>
      <c r="D1227" t="n">
        <v>0</v>
      </c>
      <c r="E1227" t="s">
        <v>1235</v>
      </c>
      <c r="F1227" t="s"/>
      <c r="G1227" t="s"/>
      <c r="H1227" t="s"/>
      <c r="I1227" t="s"/>
      <c r="J1227" t="n">
        <v>0</v>
      </c>
      <c r="K1227" t="n">
        <v>0</v>
      </c>
      <c r="L1227" t="n">
        <v>1</v>
      </c>
      <c r="M1227" t="n">
        <v>0</v>
      </c>
    </row>
    <row r="1228" spans="1:13">
      <c r="A1228" s="1">
        <f>HYPERLINK("http://www.twitter.com/NathanBLawrence/status/984580337610252288", "984580337610252288")</f>
        <v/>
      </c>
      <c r="B1228" s="2" t="n">
        <v>43202.99559027778</v>
      </c>
      <c r="C1228" t="n">
        <v>1</v>
      </c>
      <c r="D1228" t="n">
        <v>0</v>
      </c>
      <c r="E1228" t="s">
        <v>1236</v>
      </c>
      <c r="F1228" t="s"/>
      <c r="G1228" t="s"/>
      <c r="H1228" t="s"/>
      <c r="I1228" t="s"/>
      <c r="J1228" t="n">
        <v>0.8436</v>
      </c>
      <c r="K1228" t="n">
        <v>0</v>
      </c>
      <c r="L1228" t="n">
        <v>0.6860000000000001</v>
      </c>
      <c r="M1228" t="n">
        <v>0.314</v>
      </c>
    </row>
    <row r="1229" spans="1:13">
      <c r="A1229" s="1">
        <f>HYPERLINK("http://www.twitter.com/NathanBLawrence/status/984579506110377984", "984579506110377984")</f>
        <v/>
      </c>
      <c r="B1229" s="2" t="n">
        <v>43202.99329861111</v>
      </c>
      <c r="C1229" t="n">
        <v>0</v>
      </c>
      <c r="D1229" t="n">
        <v>37</v>
      </c>
      <c r="E1229" t="s">
        <v>1237</v>
      </c>
      <c r="F1229" t="s"/>
      <c r="G1229" t="s"/>
      <c r="H1229" t="s"/>
      <c r="I1229" t="s"/>
      <c r="J1229" t="n">
        <v>-0.3885</v>
      </c>
      <c r="K1229" t="n">
        <v>0.212</v>
      </c>
      <c r="L1229" t="n">
        <v>0.646</v>
      </c>
      <c r="M1229" t="n">
        <v>0.142</v>
      </c>
    </row>
    <row r="1230" spans="1:13">
      <c r="A1230" s="1">
        <f>HYPERLINK("http://www.twitter.com/NathanBLawrence/status/984574973238005760", "984574973238005760")</f>
        <v/>
      </c>
      <c r="B1230" s="2" t="n">
        <v>43202.98078703704</v>
      </c>
      <c r="C1230" t="n">
        <v>1</v>
      </c>
      <c r="D1230" t="n">
        <v>0</v>
      </c>
      <c r="E1230" t="s">
        <v>1238</v>
      </c>
      <c r="F1230" t="s"/>
      <c r="G1230" t="s"/>
      <c r="H1230" t="s"/>
      <c r="I1230" t="s"/>
      <c r="J1230" t="n">
        <v>-0.6597</v>
      </c>
      <c r="K1230" t="n">
        <v>0.407</v>
      </c>
      <c r="L1230" t="n">
        <v>0.5</v>
      </c>
      <c r="M1230" t="n">
        <v>0.093</v>
      </c>
    </row>
    <row r="1231" spans="1:13">
      <c r="A1231" s="1">
        <f>HYPERLINK("http://www.twitter.com/NathanBLawrence/status/984573914801147904", "984573914801147904")</f>
        <v/>
      </c>
      <c r="B1231" s="2" t="n">
        <v>43202.97787037037</v>
      </c>
      <c r="C1231" t="n">
        <v>2</v>
      </c>
      <c r="D1231" t="n">
        <v>1</v>
      </c>
      <c r="E1231" t="s">
        <v>1239</v>
      </c>
      <c r="F1231" t="s"/>
      <c r="G1231" t="s"/>
      <c r="H1231" t="s"/>
      <c r="I1231" t="s"/>
      <c r="J1231" t="n">
        <v>-0.872</v>
      </c>
      <c r="K1231" t="n">
        <v>0.351</v>
      </c>
      <c r="L1231" t="n">
        <v>0.59</v>
      </c>
      <c r="M1231" t="n">
        <v>0.059</v>
      </c>
    </row>
    <row r="1232" spans="1:13">
      <c r="A1232" s="1">
        <f>HYPERLINK("http://www.twitter.com/NathanBLawrence/status/984573526438043648", "984573526438043648")</f>
        <v/>
      </c>
      <c r="B1232" s="2" t="n">
        <v>43202.97679398148</v>
      </c>
      <c r="C1232" t="n">
        <v>0</v>
      </c>
      <c r="D1232" t="n">
        <v>3</v>
      </c>
      <c r="E1232" t="s">
        <v>1240</v>
      </c>
      <c r="F1232" t="s"/>
      <c r="G1232" t="s"/>
      <c r="H1232" t="s"/>
      <c r="I1232" t="s"/>
      <c r="J1232" t="n">
        <v>0</v>
      </c>
      <c r="K1232" t="n">
        <v>0</v>
      </c>
      <c r="L1232" t="n">
        <v>1</v>
      </c>
      <c r="M1232" t="n">
        <v>0</v>
      </c>
    </row>
    <row r="1233" spans="1:13">
      <c r="A1233" s="1">
        <f>HYPERLINK("http://www.twitter.com/NathanBLawrence/status/984572852388188161", "984572852388188161")</f>
        <v/>
      </c>
      <c r="B1233" s="2" t="n">
        <v>43202.97494212963</v>
      </c>
      <c r="C1233" t="n">
        <v>3</v>
      </c>
      <c r="D1233" t="n">
        <v>0</v>
      </c>
      <c r="E1233" t="s">
        <v>1241</v>
      </c>
      <c r="F1233" t="s"/>
      <c r="G1233" t="s"/>
      <c r="H1233" t="s"/>
      <c r="I1233" t="s"/>
      <c r="J1233" t="n">
        <v>-0.8823</v>
      </c>
      <c r="K1233" t="n">
        <v>0.313</v>
      </c>
      <c r="L1233" t="n">
        <v>0.591</v>
      </c>
      <c r="M1233" t="n">
        <v>0.096</v>
      </c>
    </row>
    <row r="1234" spans="1:13">
      <c r="A1234" s="1">
        <f>HYPERLINK("http://www.twitter.com/NathanBLawrence/status/984570792527704064", "984570792527704064")</f>
        <v/>
      </c>
      <c r="B1234" s="2" t="n">
        <v>43202.96925925926</v>
      </c>
      <c r="C1234" t="n">
        <v>3</v>
      </c>
      <c r="D1234" t="n">
        <v>1</v>
      </c>
      <c r="E1234" t="s">
        <v>1242</v>
      </c>
      <c r="F1234" t="s"/>
      <c r="G1234" t="s"/>
      <c r="H1234" t="s"/>
      <c r="I1234" t="s"/>
      <c r="J1234" t="n">
        <v>0.1779</v>
      </c>
      <c r="K1234" t="n">
        <v>0.159</v>
      </c>
      <c r="L1234" t="n">
        <v>0.597</v>
      </c>
      <c r="M1234" t="n">
        <v>0.244</v>
      </c>
    </row>
    <row r="1235" spans="1:13">
      <c r="A1235" s="1">
        <f>HYPERLINK("http://www.twitter.com/NathanBLawrence/status/984570312636403712", "984570312636403712")</f>
        <v/>
      </c>
      <c r="B1235" s="2" t="n">
        <v>43202.96792824074</v>
      </c>
      <c r="C1235" t="n">
        <v>0</v>
      </c>
      <c r="D1235" t="n">
        <v>2</v>
      </c>
      <c r="E1235" t="s">
        <v>1243</v>
      </c>
      <c r="F1235" t="s"/>
      <c r="G1235" t="s"/>
      <c r="H1235" t="s"/>
      <c r="I1235" t="s"/>
      <c r="J1235" t="n">
        <v>-0.6908</v>
      </c>
      <c r="K1235" t="n">
        <v>0.251</v>
      </c>
      <c r="L1235" t="n">
        <v>0.749</v>
      </c>
      <c r="M1235" t="n">
        <v>0</v>
      </c>
    </row>
    <row r="1236" spans="1:13">
      <c r="A1236" s="1">
        <f>HYPERLINK("http://www.twitter.com/NathanBLawrence/status/984569807319306241", "984569807319306241")</f>
        <v/>
      </c>
      <c r="B1236" s="2" t="n">
        <v>43202.96653935185</v>
      </c>
      <c r="C1236" t="n">
        <v>4</v>
      </c>
      <c r="D1236" t="n">
        <v>1</v>
      </c>
      <c r="E1236" t="s">
        <v>1244</v>
      </c>
      <c r="F1236" t="s"/>
      <c r="G1236" t="s"/>
      <c r="H1236" t="s"/>
      <c r="I1236" t="s"/>
      <c r="J1236" t="n">
        <v>-0.4215</v>
      </c>
      <c r="K1236" t="n">
        <v>0.113</v>
      </c>
      <c r="L1236" t="n">
        <v>0.887</v>
      </c>
      <c r="M1236" t="n">
        <v>0</v>
      </c>
    </row>
    <row r="1237" spans="1:13">
      <c r="A1237" s="1">
        <f>HYPERLINK("http://www.twitter.com/NathanBLawrence/status/984569348001067008", "984569348001067008")</f>
        <v/>
      </c>
      <c r="B1237" s="2" t="n">
        <v>43202.9652662037</v>
      </c>
      <c r="C1237" t="n">
        <v>0</v>
      </c>
      <c r="D1237" t="n">
        <v>1</v>
      </c>
      <c r="E1237" t="s">
        <v>1245</v>
      </c>
      <c r="F1237" t="s"/>
      <c r="G1237" t="s"/>
      <c r="H1237" t="s"/>
      <c r="I1237" t="s"/>
      <c r="J1237" t="n">
        <v>0.4404</v>
      </c>
      <c r="K1237" t="n">
        <v>0</v>
      </c>
      <c r="L1237" t="n">
        <v>0.756</v>
      </c>
      <c r="M1237" t="n">
        <v>0.244</v>
      </c>
    </row>
    <row r="1238" spans="1:13">
      <c r="A1238" s="1">
        <f>HYPERLINK("http://www.twitter.com/NathanBLawrence/status/984568908521885701", "984568908521885701")</f>
        <v/>
      </c>
      <c r="B1238" s="2" t="n">
        <v>43202.96405092593</v>
      </c>
      <c r="C1238" t="n">
        <v>0</v>
      </c>
      <c r="D1238" t="n">
        <v>3</v>
      </c>
      <c r="E1238" t="s">
        <v>1246</v>
      </c>
      <c r="F1238" t="s"/>
      <c r="G1238" t="s"/>
      <c r="H1238" t="s"/>
      <c r="I1238" t="s"/>
      <c r="J1238" t="n">
        <v>-0.2244</v>
      </c>
      <c r="K1238" t="n">
        <v>0.191</v>
      </c>
      <c r="L1238" t="n">
        <v>0.8090000000000001</v>
      </c>
      <c r="M1238" t="n">
        <v>0</v>
      </c>
    </row>
    <row r="1239" spans="1:13">
      <c r="A1239" s="1">
        <f>HYPERLINK("http://www.twitter.com/NathanBLawrence/status/984567986777403392", "984567986777403392")</f>
        <v/>
      </c>
      <c r="B1239" s="2" t="n">
        <v>43202.9615162037</v>
      </c>
      <c r="C1239" t="n">
        <v>2</v>
      </c>
      <c r="D1239" t="n">
        <v>1</v>
      </c>
      <c r="E1239" t="s">
        <v>1247</v>
      </c>
      <c r="F1239" t="s"/>
      <c r="G1239" t="s"/>
      <c r="H1239" t="s"/>
      <c r="I1239" t="s"/>
      <c r="J1239" t="n">
        <v>0.2617</v>
      </c>
      <c r="K1239" t="n">
        <v>0.047</v>
      </c>
      <c r="L1239" t="n">
        <v>0.881</v>
      </c>
      <c r="M1239" t="n">
        <v>0.07199999999999999</v>
      </c>
    </row>
    <row r="1240" spans="1:13">
      <c r="A1240" s="1">
        <f>HYPERLINK("http://www.twitter.com/NathanBLawrence/status/984566719799848961", "984566719799848961")</f>
        <v/>
      </c>
      <c r="B1240" s="2" t="n">
        <v>43202.95802083334</v>
      </c>
      <c r="C1240" t="n">
        <v>11</v>
      </c>
      <c r="D1240" t="n">
        <v>2</v>
      </c>
      <c r="E1240" t="s">
        <v>1248</v>
      </c>
      <c r="F1240" t="s"/>
      <c r="G1240" t="s"/>
      <c r="H1240" t="s"/>
      <c r="I1240" t="s"/>
      <c r="J1240" t="n">
        <v>0</v>
      </c>
      <c r="K1240" t="n">
        <v>0</v>
      </c>
      <c r="L1240" t="n">
        <v>1</v>
      </c>
      <c r="M1240" t="n">
        <v>0</v>
      </c>
    </row>
    <row r="1241" spans="1:13">
      <c r="A1241" s="1">
        <f>HYPERLINK("http://www.twitter.com/NathanBLawrence/status/984566461925675009", "984566461925675009")</f>
        <v/>
      </c>
      <c r="B1241" s="2" t="n">
        <v>43202.95730324074</v>
      </c>
      <c r="C1241" t="n">
        <v>0</v>
      </c>
      <c r="D1241" t="n">
        <v>5</v>
      </c>
      <c r="E1241" t="s">
        <v>1249</v>
      </c>
      <c r="F1241" t="s"/>
      <c r="G1241" t="s"/>
      <c r="H1241" t="s"/>
      <c r="I1241" t="s"/>
      <c r="J1241" t="n">
        <v>0</v>
      </c>
      <c r="K1241" t="n">
        <v>0</v>
      </c>
      <c r="L1241" t="n">
        <v>1</v>
      </c>
      <c r="M1241" t="n">
        <v>0</v>
      </c>
    </row>
    <row r="1242" spans="1:13">
      <c r="A1242" s="1">
        <f>HYPERLINK("http://www.twitter.com/NathanBLawrence/status/984562943361736705", "984562943361736705")</f>
        <v/>
      </c>
      <c r="B1242" s="2" t="n">
        <v>43202.94759259259</v>
      </c>
      <c r="C1242" t="n">
        <v>1</v>
      </c>
      <c r="D1242" t="n">
        <v>0</v>
      </c>
      <c r="E1242" t="s">
        <v>1250</v>
      </c>
      <c r="F1242" t="s"/>
      <c r="G1242" t="s"/>
      <c r="H1242" t="s"/>
      <c r="I1242" t="s"/>
      <c r="J1242" t="n">
        <v>0.0772</v>
      </c>
      <c r="K1242" t="n">
        <v>0.241</v>
      </c>
      <c r="L1242" t="n">
        <v>0.426</v>
      </c>
      <c r="M1242" t="n">
        <v>0.333</v>
      </c>
    </row>
    <row r="1243" spans="1:13">
      <c r="A1243" s="1">
        <f>HYPERLINK("http://www.twitter.com/NathanBLawrence/status/984561793778503681", "984561793778503681")</f>
        <v/>
      </c>
      <c r="B1243" s="2" t="n">
        <v>43202.9444212963</v>
      </c>
      <c r="C1243" t="n">
        <v>0</v>
      </c>
      <c r="D1243" t="n">
        <v>0</v>
      </c>
      <c r="E1243" t="s">
        <v>1251</v>
      </c>
      <c r="F1243" t="s"/>
      <c r="G1243" t="s"/>
      <c r="H1243" t="s"/>
      <c r="I1243" t="s"/>
      <c r="J1243" t="n">
        <v>-0.6808</v>
      </c>
      <c r="K1243" t="n">
        <v>0.365</v>
      </c>
      <c r="L1243" t="n">
        <v>0.635</v>
      </c>
      <c r="M1243" t="n">
        <v>0</v>
      </c>
    </row>
    <row r="1244" spans="1:13">
      <c r="A1244" s="1">
        <f>HYPERLINK("http://www.twitter.com/NathanBLawrence/status/984561594234474496", "984561594234474496")</f>
        <v/>
      </c>
      <c r="B1244" s="2" t="n">
        <v>43202.94386574074</v>
      </c>
      <c r="C1244" t="n">
        <v>0</v>
      </c>
      <c r="D1244" t="n">
        <v>0</v>
      </c>
      <c r="E1244" t="s">
        <v>1252</v>
      </c>
      <c r="F1244" t="s"/>
      <c r="G1244" t="s"/>
      <c r="H1244" t="s"/>
      <c r="I1244" t="s"/>
      <c r="J1244" t="n">
        <v>0.0772</v>
      </c>
      <c r="K1244" t="n">
        <v>0</v>
      </c>
      <c r="L1244" t="n">
        <v>0.755</v>
      </c>
      <c r="M1244" t="n">
        <v>0.245</v>
      </c>
    </row>
    <row r="1245" spans="1:13">
      <c r="A1245" s="1">
        <f>HYPERLINK("http://www.twitter.com/NathanBLawrence/status/984561266026049538", "984561266026049538")</f>
        <v/>
      </c>
      <c r="B1245" s="2" t="n">
        <v>43202.94296296296</v>
      </c>
      <c r="C1245" t="n">
        <v>2</v>
      </c>
      <c r="D1245" t="n">
        <v>1</v>
      </c>
      <c r="E1245" t="s">
        <v>1253</v>
      </c>
      <c r="F1245" t="s"/>
      <c r="G1245" t="s"/>
      <c r="H1245" t="s"/>
      <c r="I1245" t="s"/>
      <c r="J1245" t="n">
        <v>0</v>
      </c>
      <c r="K1245" t="n">
        <v>0</v>
      </c>
      <c r="L1245" t="n">
        <v>1</v>
      </c>
      <c r="M1245" t="n">
        <v>0</v>
      </c>
    </row>
    <row r="1246" spans="1:13">
      <c r="A1246" s="1">
        <f>HYPERLINK("http://www.twitter.com/NathanBLawrence/status/984557635239383041", "984557635239383041")</f>
        <v/>
      </c>
      <c r="B1246" s="2" t="n">
        <v>43202.93295138889</v>
      </c>
      <c r="C1246" t="n">
        <v>5</v>
      </c>
      <c r="D1246" t="n">
        <v>2</v>
      </c>
      <c r="E1246" t="s">
        <v>1254</v>
      </c>
      <c r="F1246" t="s"/>
      <c r="G1246" t="s"/>
      <c r="H1246" t="s"/>
      <c r="I1246" t="s"/>
      <c r="J1246" t="n">
        <v>0.1406</v>
      </c>
      <c r="K1246" t="n">
        <v>0</v>
      </c>
      <c r="L1246" t="n">
        <v>0.925</v>
      </c>
      <c r="M1246" t="n">
        <v>0.075</v>
      </c>
    </row>
    <row r="1247" spans="1:13">
      <c r="A1247" s="1">
        <f>HYPERLINK("http://www.twitter.com/NathanBLawrence/status/984556329191837697", "984556329191837697")</f>
        <v/>
      </c>
      <c r="B1247" s="2" t="n">
        <v>43202.92934027778</v>
      </c>
      <c r="C1247" t="n">
        <v>0</v>
      </c>
      <c r="D1247" t="n">
        <v>8</v>
      </c>
      <c r="E1247" t="s">
        <v>1255</v>
      </c>
      <c r="F1247">
        <f>HYPERLINK("http://pbs.twimg.com/media/DanX5OnU8AAka2m.jpg", "http://pbs.twimg.com/media/DanX5OnU8AAka2m.jpg")</f>
        <v/>
      </c>
      <c r="G1247" t="s"/>
      <c r="H1247" t="s"/>
      <c r="I1247" t="s"/>
      <c r="J1247" t="n">
        <v>-0.4144</v>
      </c>
      <c r="K1247" t="n">
        <v>0.187</v>
      </c>
      <c r="L1247" t="n">
        <v>0.8129999999999999</v>
      </c>
      <c r="M1247" t="n">
        <v>0</v>
      </c>
    </row>
    <row r="1248" spans="1:13">
      <c r="A1248" s="1">
        <f>HYPERLINK("http://www.twitter.com/NathanBLawrence/status/984555893579796486", "984555893579796486")</f>
        <v/>
      </c>
      <c r="B1248" s="2" t="n">
        <v>43202.92813657408</v>
      </c>
      <c r="C1248" t="n">
        <v>1</v>
      </c>
      <c r="D1248" t="n">
        <v>0</v>
      </c>
      <c r="E1248" t="s">
        <v>1256</v>
      </c>
      <c r="F1248" t="s"/>
      <c r="G1248" t="s"/>
      <c r="H1248" t="s"/>
      <c r="I1248" t="s"/>
      <c r="J1248" t="n">
        <v>-0.4767</v>
      </c>
      <c r="K1248" t="n">
        <v>0.154</v>
      </c>
      <c r="L1248" t="n">
        <v>0.846</v>
      </c>
      <c r="M1248" t="n">
        <v>0</v>
      </c>
    </row>
    <row r="1249" spans="1:13">
      <c r="A1249" s="1">
        <f>HYPERLINK("http://www.twitter.com/NathanBLawrence/status/984554939434328064", "984554939434328064")</f>
        <v/>
      </c>
      <c r="B1249" s="2" t="n">
        <v>43202.92550925926</v>
      </c>
      <c r="C1249" t="n">
        <v>5</v>
      </c>
      <c r="D1249" t="n">
        <v>1</v>
      </c>
      <c r="E1249" t="s">
        <v>1257</v>
      </c>
      <c r="F1249" t="s"/>
      <c r="G1249" t="s"/>
      <c r="H1249" t="s"/>
      <c r="I1249" t="s"/>
      <c r="J1249" t="n">
        <v>0.296</v>
      </c>
      <c r="K1249" t="n">
        <v>0</v>
      </c>
      <c r="L1249" t="n">
        <v>0.732</v>
      </c>
      <c r="M1249" t="n">
        <v>0.268</v>
      </c>
    </row>
    <row r="1250" spans="1:13">
      <c r="A1250" s="1">
        <f>HYPERLINK("http://www.twitter.com/NathanBLawrence/status/984554545090048002", "984554545090048002")</f>
        <v/>
      </c>
      <c r="B1250" s="2" t="n">
        <v>43202.92442129629</v>
      </c>
      <c r="C1250" t="n">
        <v>0</v>
      </c>
      <c r="D1250" t="n">
        <v>2</v>
      </c>
      <c r="E1250" t="s">
        <v>1258</v>
      </c>
      <c r="F1250" t="s"/>
      <c r="G1250" t="s"/>
      <c r="H1250" t="s"/>
      <c r="I1250" t="s"/>
      <c r="J1250" t="n">
        <v>0.0772</v>
      </c>
      <c r="K1250" t="n">
        <v>0</v>
      </c>
      <c r="L1250" t="n">
        <v>0.9419999999999999</v>
      </c>
      <c r="M1250" t="n">
        <v>0.058</v>
      </c>
    </row>
    <row r="1251" spans="1:13">
      <c r="A1251" s="1">
        <f>HYPERLINK("http://www.twitter.com/NathanBLawrence/status/984553605352083457", "984553605352083457")</f>
        <v/>
      </c>
      <c r="B1251" s="2" t="n">
        <v>43202.9218287037</v>
      </c>
      <c r="C1251" t="n">
        <v>1</v>
      </c>
      <c r="D1251" t="n">
        <v>1</v>
      </c>
      <c r="E1251" t="s">
        <v>1259</v>
      </c>
      <c r="F1251" t="s"/>
      <c r="G1251" t="s"/>
      <c r="H1251" t="s"/>
      <c r="I1251" t="s"/>
      <c r="J1251" t="n">
        <v>-0.5106000000000001</v>
      </c>
      <c r="K1251" t="n">
        <v>0.121</v>
      </c>
      <c r="L1251" t="n">
        <v>0.879</v>
      </c>
      <c r="M1251" t="n">
        <v>0</v>
      </c>
    </row>
    <row r="1252" spans="1:13">
      <c r="A1252" s="1">
        <f>HYPERLINK("http://www.twitter.com/NathanBLawrence/status/984552693241925632", "984552693241925632")</f>
        <v/>
      </c>
      <c r="B1252" s="2" t="n">
        <v>43202.91930555556</v>
      </c>
      <c r="C1252" t="n">
        <v>0</v>
      </c>
      <c r="D1252" t="n">
        <v>82</v>
      </c>
      <c r="E1252" t="s">
        <v>1260</v>
      </c>
      <c r="F1252" t="s"/>
      <c r="G1252" t="s"/>
      <c r="H1252" t="s"/>
      <c r="I1252" t="s"/>
      <c r="J1252" t="n">
        <v>0</v>
      </c>
      <c r="K1252" t="n">
        <v>0</v>
      </c>
      <c r="L1252" t="n">
        <v>1</v>
      </c>
      <c r="M1252" t="n">
        <v>0</v>
      </c>
    </row>
    <row r="1253" spans="1:13">
      <c r="A1253" s="1">
        <f>HYPERLINK("http://www.twitter.com/NathanBLawrence/status/984552671234404352", "984552671234404352")</f>
        <v/>
      </c>
      <c r="B1253" s="2" t="n">
        <v>43202.91924768518</v>
      </c>
      <c r="C1253" t="n">
        <v>0</v>
      </c>
      <c r="D1253" t="n">
        <v>81</v>
      </c>
      <c r="E1253" t="s">
        <v>1261</v>
      </c>
      <c r="F1253" t="s"/>
      <c r="G1253" t="s"/>
      <c r="H1253" t="s"/>
      <c r="I1253" t="s"/>
      <c r="J1253" t="n">
        <v>0</v>
      </c>
      <c r="K1253" t="n">
        <v>0</v>
      </c>
      <c r="L1253" t="n">
        <v>1</v>
      </c>
      <c r="M1253" t="n">
        <v>0</v>
      </c>
    </row>
    <row r="1254" spans="1:13">
      <c r="A1254" s="1">
        <f>HYPERLINK("http://www.twitter.com/NathanBLawrence/status/984552645296783360", "984552645296783360")</f>
        <v/>
      </c>
      <c r="B1254" s="2" t="n">
        <v>43202.91917824074</v>
      </c>
      <c r="C1254" t="n">
        <v>0</v>
      </c>
      <c r="D1254" t="n">
        <v>83</v>
      </c>
      <c r="E1254" t="s">
        <v>1262</v>
      </c>
      <c r="F1254" t="s"/>
      <c r="G1254" t="s"/>
      <c r="H1254" t="s"/>
      <c r="I1254" t="s"/>
      <c r="J1254" t="n">
        <v>0</v>
      </c>
      <c r="K1254" t="n">
        <v>0</v>
      </c>
      <c r="L1254" t="n">
        <v>1</v>
      </c>
      <c r="M1254" t="n">
        <v>0</v>
      </c>
    </row>
    <row r="1255" spans="1:13">
      <c r="A1255" s="1">
        <f>HYPERLINK("http://www.twitter.com/NathanBLawrence/status/984552598698102784", "984552598698102784")</f>
        <v/>
      </c>
      <c r="B1255" s="2" t="n">
        <v>43202.91905092593</v>
      </c>
      <c r="C1255" t="n">
        <v>0</v>
      </c>
      <c r="D1255" t="n">
        <v>76</v>
      </c>
      <c r="E1255" t="s">
        <v>1263</v>
      </c>
      <c r="F1255" t="s"/>
      <c r="G1255" t="s"/>
      <c r="H1255" t="s"/>
      <c r="I1255" t="s"/>
      <c r="J1255" t="n">
        <v>0</v>
      </c>
      <c r="K1255" t="n">
        <v>0</v>
      </c>
      <c r="L1255" t="n">
        <v>1</v>
      </c>
      <c r="M1255" t="n">
        <v>0</v>
      </c>
    </row>
    <row r="1256" spans="1:13">
      <c r="A1256" s="1">
        <f>HYPERLINK("http://www.twitter.com/NathanBLawrence/status/984552561268133889", "984552561268133889")</f>
        <v/>
      </c>
      <c r="B1256" s="2" t="n">
        <v>43202.91894675926</v>
      </c>
      <c r="C1256" t="n">
        <v>0</v>
      </c>
      <c r="D1256" t="n">
        <v>80</v>
      </c>
      <c r="E1256" t="s">
        <v>1264</v>
      </c>
      <c r="F1256" t="s"/>
      <c r="G1256" t="s"/>
      <c r="H1256" t="s"/>
      <c r="I1256" t="s"/>
      <c r="J1256" t="n">
        <v>0</v>
      </c>
      <c r="K1256" t="n">
        <v>0</v>
      </c>
      <c r="L1256" t="n">
        <v>1</v>
      </c>
      <c r="M1256" t="n">
        <v>0</v>
      </c>
    </row>
    <row r="1257" spans="1:13">
      <c r="A1257" s="1">
        <f>HYPERLINK("http://www.twitter.com/NathanBLawrence/status/984552532407177216", "984552532407177216")</f>
        <v/>
      </c>
      <c r="B1257" s="2" t="n">
        <v>43202.91886574074</v>
      </c>
      <c r="C1257" t="n">
        <v>0</v>
      </c>
      <c r="D1257" t="n">
        <v>92</v>
      </c>
      <c r="E1257" t="s">
        <v>1265</v>
      </c>
      <c r="F1257" t="s"/>
      <c r="G1257" t="s"/>
      <c r="H1257" t="s"/>
      <c r="I1257" t="s"/>
      <c r="J1257" t="n">
        <v>0</v>
      </c>
      <c r="K1257" t="n">
        <v>0</v>
      </c>
      <c r="L1257" t="n">
        <v>1</v>
      </c>
      <c r="M1257" t="n">
        <v>0</v>
      </c>
    </row>
    <row r="1258" spans="1:13">
      <c r="A1258" s="1">
        <f>HYPERLINK("http://www.twitter.com/NathanBLawrence/status/984552482935328768", "984552482935328768")</f>
        <v/>
      </c>
      <c r="B1258" s="2" t="n">
        <v>43202.91872685185</v>
      </c>
      <c r="C1258" t="n">
        <v>0</v>
      </c>
      <c r="D1258" t="n">
        <v>81</v>
      </c>
      <c r="E1258" t="s">
        <v>1266</v>
      </c>
      <c r="F1258" t="s"/>
      <c r="G1258" t="s"/>
      <c r="H1258" t="s"/>
      <c r="I1258" t="s"/>
      <c r="J1258" t="n">
        <v>0</v>
      </c>
      <c r="K1258" t="n">
        <v>0</v>
      </c>
      <c r="L1258" t="n">
        <v>1</v>
      </c>
      <c r="M1258" t="n">
        <v>0</v>
      </c>
    </row>
    <row r="1259" spans="1:13">
      <c r="A1259" s="1">
        <f>HYPERLINK("http://www.twitter.com/NathanBLawrence/status/984552448672124928", "984552448672124928")</f>
        <v/>
      </c>
      <c r="B1259" s="2" t="n">
        <v>43202.91863425926</v>
      </c>
      <c r="C1259" t="n">
        <v>0</v>
      </c>
      <c r="D1259" t="n">
        <v>84</v>
      </c>
      <c r="E1259" t="s">
        <v>1267</v>
      </c>
      <c r="F1259" t="s"/>
      <c r="G1259" t="s"/>
      <c r="H1259" t="s"/>
      <c r="I1259" t="s"/>
      <c r="J1259" t="n">
        <v>0</v>
      </c>
      <c r="K1259" t="n">
        <v>0</v>
      </c>
      <c r="L1259" t="n">
        <v>1</v>
      </c>
      <c r="M1259" t="n">
        <v>0</v>
      </c>
    </row>
    <row r="1260" spans="1:13">
      <c r="A1260" s="1">
        <f>HYPERLINK("http://www.twitter.com/NathanBLawrence/status/984552429357355009", "984552429357355009")</f>
        <v/>
      </c>
      <c r="B1260" s="2" t="n">
        <v>43202.91857638889</v>
      </c>
      <c r="C1260" t="n">
        <v>0</v>
      </c>
      <c r="D1260" t="n">
        <v>85</v>
      </c>
      <c r="E1260" t="s">
        <v>1268</v>
      </c>
      <c r="F1260" t="s"/>
      <c r="G1260" t="s"/>
      <c r="H1260" t="s"/>
      <c r="I1260" t="s"/>
      <c r="J1260" t="n">
        <v>0</v>
      </c>
      <c r="K1260" t="n">
        <v>0</v>
      </c>
      <c r="L1260" t="n">
        <v>1</v>
      </c>
      <c r="M1260" t="n">
        <v>0</v>
      </c>
    </row>
    <row r="1261" spans="1:13">
      <c r="A1261" s="1">
        <f>HYPERLINK("http://www.twitter.com/NathanBLawrence/status/984552391390396416", "984552391390396416")</f>
        <v/>
      </c>
      <c r="B1261" s="2" t="n">
        <v>43202.91847222222</v>
      </c>
      <c r="C1261" t="n">
        <v>0</v>
      </c>
      <c r="D1261" t="n">
        <v>85</v>
      </c>
      <c r="E1261" t="s">
        <v>1269</v>
      </c>
      <c r="F1261" t="s"/>
      <c r="G1261" t="s"/>
      <c r="H1261" t="s"/>
      <c r="I1261" t="s"/>
      <c r="J1261" t="n">
        <v>0</v>
      </c>
      <c r="K1261" t="n">
        <v>0</v>
      </c>
      <c r="L1261" t="n">
        <v>1</v>
      </c>
      <c r="M1261" t="n">
        <v>0</v>
      </c>
    </row>
    <row r="1262" spans="1:13">
      <c r="A1262" s="1">
        <f>HYPERLINK("http://www.twitter.com/NathanBLawrence/status/984550201674420224", "984550201674420224")</f>
        <v/>
      </c>
      <c r="B1262" s="2" t="n">
        <v>43202.91243055555</v>
      </c>
      <c r="C1262" t="n">
        <v>1</v>
      </c>
      <c r="D1262" t="n">
        <v>0</v>
      </c>
      <c r="E1262" t="s">
        <v>1270</v>
      </c>
      <c r="F1262" t="s"/>
      <c r="G1262" t="s"/>
      <c r="H1262" t="s"/>
      <c r="I1262" t="s"/>
      <c r="J1262" t="n">
        <v>0</v>
      </c>
      <c r="K1262" t="n">
        <v>0</v>
      </c>
      <c r="L1262" t="n">
        <v>1</v>
      </c>
      <c r="M1262" t="n">
        <v>0</v>
      </c>
    </row>
    <row r="1263" spans="1:13">
      <c r="A1263" s="1">
        <f>HYPERLINK("http://www.twitter.com/NathanBLawrence/status/984549834819604485", "984549834819604485")</f>
        <v/>
      </c>
      <c r="B1263" s="2" t="n">
        <v>43202.91142361111</v>
      </c>
      <c r="C1263" t="n">
        <v>11</v>
      </c>
      <c r="D1263" t="n">
        <v>0</v>
      </c>
      <c r="E1263" t="s">
        <v>1271</v>
      </c>
      <c r="F1263" t="s"/>
      <c r="G1263" t="s"/>
      <c r="H1263" t="s"/>
      <c r="I1263" t="s"/>
      <c r="J1263" t="n">
        <v>0.631</v>
      </c>
      <c r="K1263" t="n">
        <v>0</v>
      </c>
      <c r="L1263" t="n">
        <v>0.828</v>
      </c>
      <c r="M1263" t="n">
        <v>0.172</v>
      </c>
    </row>
    <row r="1264" spans="1:13">
      <c r="A1264" s="1">
        <f>HYPERLINK("http://www.twitter.com/NathanBLawrence/status/984548798138593285", "984548798138593285")</f>
        <v/>
      </c>
      <c r="B1264" s="2" t="n">
        <v>43202.90856481482</v>
      </c>
      <c r="C1264" t="n">
        <v>3</v>
      </c>
      <c r="D1264" t="n">
        <v>0</v>
      </c>
      <c r="E1264" t="s">
        <v>1272</v>
      </c>
      <c r="F1264" t="s"/>
      <c r="G1264" t="s"/>
      <c r="H1264" t="s"/>
      <c r="I1264" t="s"/>
      <c r="J1264" t="n">
        <v>0.2732</v>
      </c>
      <c r="K1264" t="n">
        <v>0</v>
      </c>
      <c r="L1264" t="n">
        <v>0.8110000000000001</v>
      </c>
      <c r="M1264" t="n">
        <v>0.189</v>
      </c>
    </row>
    <row r="1265" spans="1:13">
      <c r="A1265" s="1">
        <f>HYPERLINK("http://www.twitter.com/NathanBLawrence/status/984548418235326464", "984548418235326464")</f>
        <v/>
      </c>
      <c r="B1265" s="2" t="n">
        <v>43202.90751157407</v>
      </c>
      <c r="C1265" t="n">
        <v>0</v>
      </c>
      <c r="D1265" t="n">
        <v>5</v>
      </c>
      <c r="E1265" t="s">
        <v>1273</v>
      </c>
      <c r="F1265">
        <f>HYPERLINK("http://pbs.twimg.com/media/DanMjcXVAAAOjG3.jpg", "http://pbs.twimg.com/media/DanMjcXVAAAOjG3.jpg")</f>
        <v/>
      </c>
      <c r="G1265" t="s"/>
      <c r="H1265" t="s"/>
      <c r="I1265" t="s"/>
      <c r="J1265" t="n">
        <v>0</v>
      </c>
      <c r="K1265" t="n">
        <v>0</v>
      </c>
      <c r="L1265" t="n">
        <v>1</v>
      </c>
      <c r="M1265" t="n">
        <v>0</v>
      </c>
    </row>
    <row r="1266" spans="1:13">
      <c r="A1266" s="1">
        <f>HYPERLINK("http://www.twitter.com/NathanBLawrence/status/984548319673442311", "984548319673442311")</f>
        <v/>
      </c>
      <c r="B1266" s="2" t="n">
        <v>43202.90724537037</v>
      </c>
      <c r="C1266" t="n">
        <v>36</v>
      </c>
      <c r="D1266" t="n">
        <v>7</v>
      </c>
      <c r="E1266" t="s">
        <v>1274</v>
      </c>
      <c r="F1266" t="s"/>
      <c r="G1266" t="s"/>
      <c r="H1266" t="s"/>
      <c r="I1266" t="s"/>
      <c r="J1266" t="n">
        <v>-0.6542</v>
      </c>
      <c r="K1266" t="n">
        <v>0.152</v>
      </c>
      <c r="L1266" t="n">
        <v>0.787</v>
      </c>
      <c r="M1266" t="n">
        <v>0.061</v>
      </c>
    </row>
    <row r="1267" spans="1:13">
      <c r="A1267" s="1">
        <f>HYPERLINK("http://www.twitter.com/NathanBLawrence/status/984547091862212609", "984547091862212609")</f>
        <v/>
      </c>
      <c r="B1267" s="2" t="n">
        <v>43202.90385416667</v>
      </c>
      <c r="C1267" t="n">
        <v>0</v>
      </c>
      <c r="D1267" t="n">
        <v>7</v>
      </c>
      <c r="E1267" t="s">
        <v>1275</v>
      </c>
      <c r="F1267" t="s"/>
      <c r="G1267" t="s"/>
      <c r="H1267" t="s"/>
      <c r="I1267" t="s"/>
      <c r="J1267" t="n">
        <v>-0.7118</v>
      </c>
      <c r="K1267" t="n">
        <v>0.425</v>
      </c>
      <c r="L1267" t="n">
        <v>0.575</v>
      </c>
      <c r="M1267" t="n">
        <v>0</v>
      </c>
    </row>
    <row r="1268" spans="1:13">
      <c r="A1268" s="1">
        <f>HYPERLINK("http://www.twitter.com/NathanBLawrence/status/984546393120559109", "984546393120559109")</f>
        <v/>
      </c>
      <c r="B1268" s="2" t="n">
        <v>43202.9019212963</v>
      </c>
      <c r="C1268" t="n">
        <v>0</v>
      </c>
      <c r="D1268" t="n">
        <v>515</v>
      </c>
      <c r="E1268" t="s">
        <v>1276</v>
      </c>
      <c r="F1268">
        <f>HYPERLINK("http://pbs.twimg.com/media/DanKGFIVQAAiYde.jpg", "http://pbs.twimg.com/media/DanKGFIVQAAiYde.jpg")</f>
        <v/>
      </c>
      <c r="G1268" t="s"/>
      <c r="H1268" t="s"/>
      <c r="I1268" t="s"/>
      <c r="J1268" t="n">
        <v>-0.4019</v>
      </c>
      <c r="K1268" t="n">
        <v>0.163</v>
      </c>
      <c r="L1268" t="n">
        <v>0.837</v>
      </c>
      <c r="M1268" t="n">
        <v>0</v>
      </c>
    </row>
    <row r="1269" spans="1:13">
      <c r="A1269" s="1">
        <f>HYPERLINK("http://www.twitter.com/NathanBLawrence/status/984546229114802177", "984546229114802177")</f>
        <v/>
      </c>
      <c r="B1269" s="2" t="n">
        <v>43202.90146990741</v>
      </c>
      <c r="C1269" t="n">
        <v>0</v>
      </c>
      <c r="D1269" t="n">
        <v>0</v>
      </c>
      <c r="E1269" t="s">
        <v>1277</v>
      </c>
      <c r="F1269" t="s"/>
      <c r="G1269" t="s"/>
      <c r="H1269" t="s"/>
      <c r="I1269" t="s"/>
      <c r="J1269" t="n">
        <v>0</v>
      </c>
      <c r="K1269" t="n">
        <v>0</v>
      </c>
      <c r="L1269" t="n">
        <v>1</v>
      </c>
      <c r="M1269" t="n">
        <v>0</v>
      </c>
    </row>
    <row r="1270" spans="1:13">
      <c r="A1270" s="1">
        <f>HYPERLINK("http://www.twitter.com/NathanBLawrence/status/984545383807414272", "984545383807414272")</f>
        <v/>
      </c>
      <c r="B1270" s="2" t="n">
        <v>43202.89914351852</v>
      </c>
      <c r="C1270" t="n">
        <v>0</v>
      </c>
      <c r="D1270" t="n">
        <v>0</v>
      </c>
      <c r="E1270" t="s">
        <v>1278</v>
      </c>
      <c r="F1270" t="s"/>
      <c r="G1270" t="s"/>
      <c r="H1270" t="s"/>
      <c r="I1270" t="s"/>
      <c r="J1270" t="n">
        <v>0</v>
      </c>
      <c r="K1270" t="n">
        <v>0</v>
      </c>
      <c r="L1270" t="n">
        <v>1</v>
      </c>
      <c r="M1270" t="n">
        <v>0</v>
      </c>
    </row>
    <row r="1271" spans="1:13">
      <c r="A1271" s="1">
        <f>HYPERLINK("http://www.twitter.com/NathanBLawrence/status/984544929052549120", "984544929052549120")</f>
        <v/>
      </c>
      <c r="B1271" s="2" t="n">
        <v>43202.89788194445</v>
      </c>
      <c r="C1271" t="n">
        <v>0</v>
      </c>
      <c r="D1271" t="n">
        <v>0</v>
      </c>
      <c r="E1271" t="s">
        <v>1279</v>
      </c>
      <c r="F1271" t="s"/>
      <c r="G1271" t="s"/>
      <c r="H1271" t="s"/>
      <c r="I1271" t="s"/>
      <c r="J1271" t="n">
        <v>0</v>
      </c>
      <c r="K1271" t="n">
        <v>0</v>
      </c>
      <c r="L1271" t="n">
        <v>1</v>
      </c>
      <c r="M1271" t="n">
        <v>0</v>
      </c>
    </row>
    <row r="1272" spans="1:13">
      <c r="A1272" s="1">
        <f>HYPERLINK("http://www.twitter.com/NathanBLawrence/status/984541512016056320", "984541512016056320")</f>
        <v/>
      </c>
      <c r="B1272" s="2" t="n">
        <v>43202.88846064815</v>
      </c>
      <c r="C1272" t="n">
        <v>1</v>
      </c>
      <c r="D1272" t="n">
        <v>0</v>
      </c>
      <c r="E1272" t="s">
        <v>1187</v>
      </c>
      <c r="F1272" t="s"/>
      <c r="G1272" t="s"/>
      <c r="H1272" t="s"/>
      <c r="I1272" t="s"/>
      <c r="J1272" t="n">
        <v>0</v>
      </c>
      <c r="K1272" t="n">
        <v>0</v>
      </c>
      <c r="L1272" t="n">
        <v>1</v>
      </c>
      <c r="M1272" t="n">
        <v>0</v>
      </c>
    </row>
    <row r="1273" spans="1:13">
      <c r="A1273" s="1">
        <f>HYPERLINK("http://www.twitter.com/NathanBLawrence/status/984540918131888129", "984540918131888129")</f>
        <v/>
      </c>
      <c r="B1273" s="2" t="n">
        <v>43202.88681712963</v>
      </c>
      <c r="C1273" t="n">
        <v>0</v>
      </c>
      <c r="D1273" t="n">
        <v>1</v>
      </c>
      <c r="E1273" t="s">
        <v>1280</v>
      </c>
      <c r="F1273" t="s"/>
      <c r="G1273" t="s"/>
      <c r="H1273" t="s"/>
      <c r="I1273" t="s"/>
      <c r="J1273" t="n">
        <v>-0.296</v>
      </c>
      <c r="K1273" t="n">
        <v>0.155</v>
      </c>
      <c r="L1273" t="n">
        <v>0.845</v>
      </c>
      <c r="M1273" t="n">
        <v>0</v>
      </c>
    </row>
    <row r="1274" spans="1:13">
      <c r="A1274" s="1">
        <f>HYPERLINK("http://www.twitter.com/NathanBLawrence/status/984540737856471040", "984540737856471040")</f>
        <v/>
      </c>
      <c r="B1274" s="2" t="n">
        <v>43202.88631944444</v>
      </c>
      <c r="C1274" t="n">
        <v>0</v>
      </c>
      <c r="D1274" t="n">
        <v>1</v>
      </c>
      <c r="E1274" t="s">
        <v>1188</v>
      </c>
      <c r="F1274" t="s"/>
      <c r="G1274" t="s"/>
      <c r="H1274" t="s"/>
      <c r="I1274" t="s"/>
      <c r="J1274" t="n">
        <v>-0.296</v>
      </c>
      <c r="K1274" t="n">
        <v>0.18</v>
      </c>
      <c r="L1274" t="n">
        <v>0.82</v>
      </c>
      <c r="M1274" t="n">
        <v>0</v>
      </c>
    </row>
    <row r="1275" spans="1:13">
      <c r="A1275" s="1">
        <f>HYPERLINK("http://www.twitter.com/NathanBLawrence/status/984540635108691968", "984540635108691968")</f>
        <v/>
      </c>
      <c r="B1275" s="2" t="n">
        <v>43202.8860300926</v>
      </c>
      <c r="C1275" t="n">
        <v>0</v>
      </c>
      <c r="D1275" t="n">
        <v>0</v>
      </c>
      <c r="E1275" t="s">
        <v>1281</v>
      </c>
      <c r="F1275" t="s"/>
      <c r="G1275" t="s"/>
      <c r="H1275" t="s"/>
      <c r="I1275" t="s"/>
      <c r="J1275" t="n">
        <v>0</v>
      </c>
      <c r="K1275" t="n">
        <v>0</v>
      </c>
      <c r="L1275" t="n">
        <v>1</v>
      </c>
      <c r="M1275" t="n">
        <v>0</v>
      </c>
    </row>
    <row r="1276" spans="1:13">
      <c r="A1276" s="1">
        <f>HYPERLINK("http://www.twitter.com/NathanBLawrence/status/984532595512958976", "984532595512958976")</f>
        <v/>
      </c>
      <c r="B1276" s="2" t="n">
        <v>43202.86385416667</v>
      </c>
      <c r="C1276" t="n">
        <v>1</v>
      </c>
      <c r="D1276" t="n">
        <v>1</v>
      </c>
      <c r="E1276" t="s">
        <v>1282</v>
      </c>
      <c r="F1276" t="s"/>
      <c r="G1276" t="s"/>
      <c r="H1276" t="s"/>
      <c r="I1276" t="s"/>
      <c r="J1276" t="n">
        <v>-0.7845</v>
      </c>
      <c r="K1276" t="n">
        <v>0.367</v>
      </c>
      <c r="L1276" t="n">
        <v>0.5679999999999999</v>
      </c>
      <c r="M1276" t="n">
        <v>0.066</v>
      </c>
    </row>
    <row r="1277" spans="1:13">
      <c r="A1277" s="1">
        <f>HYPERLINK("http://www.twitter.com/NathanBLawrence/status/984511817677340672", "984511817677340672")</f>
        <v/>
      </c>
      <c r="B1277" s="2" t="n">
        <v>43202.8065162037</v>
      </c>
      <c r="C1277" t="n">
        <v>0</v>
      </c>
      <c r="D1277" t="n">
        <v>157</v>
      </c>
      <c r="E1277" t="s">
        <v>1283</v>
      </c>
      <c r="F1277">
        <f>HYPERLINK("http://pbs.twimg.com/media/DamENe4U0AUcNV7.jpg", "http://pbs.twimg.com/media/DamENe4U0AUcNV7.jpg")</f>
        <v/>
      </c>
      <c r="G1277" t="s"/>
      <c r="H1277" t="s"/>
      <c r="I1277" t="s"/>
      <c r="J1277" t="n">
        <v>0.9345</v>
      </c>
      <c r="K1277" t="n">
        <v>0</v>
      </c>
      <c r="L1277" t="n">
        <v>0.573</v>
      </c>
      <c r="M1277" t="n">
        <v>0.427</v>
      </c>
    </row>
    <row r="1278" spans="1:13">
      <c r="A1278" s="1">
        <f>HYPERLINK("http://www.twitter.com/NathanBLawrence/status/984511702971580418", "984511702971580418")</f>
        <v/>
      </c>
      <c r="B1278" s="2" t="n">
        <v>43202.80619212963</v>
      </c>
      <c r="C1278" t="n">
        <v>0</v>
      </c>
      <c r="D1278" t="n">
        <v>242</v>
      </c>
      <c r="E1278" t="s">
        <v>1284</v>
      </c>
      <c r="F1278">
        <f>HYPERLINK("https://video.twimg.com/amplify_video/983501459881734144/vid/1280x720/V_WehRSn4epnsWnn.mp4?tag=2", "https://video.twimg.com/amplify_video/983501459881734144/vid/1280x720/V_WehRSn4epnsWnn.mp4?tag=2")</f>
        <v/>
      </c>
      <c r="G1278" t="s"/>
      <c r="H1278" t="s"/>
      <c r="I1278" t="s"/>
      <c r="J1278" t="n">
        <v>-0.128</v>
      </c>
      <c r="K1278" t="n">
        <v>0.261</v>
      </c>
      <c r="L1278" t="n">
        <v>0.498</v>
      </c>
      <c r="M1278" t="n">
        <v>0.241</v>
      </c>
    </row>
    <row r="1279" spans="1:13">
      <c r="A1279" s="1">
        <f>HYPERLINK("http://www.twitter.com/NathanBLawrence/status/984511439560994817", "984511439560994817")</f>
        <v/>
      </c>
      <c r="B1279" s="2" t="n">
        <v>43202.80547453704</v>
      </c>
      <c r="C1279" t="n">
        <v>0</v>
      </c>
      <c r="D1279" t="n">
        <v>2</v>
      </c>
      <c r="E1279" t="s">
        <v>1285</v>
      </c>
      <c r="F1279" t="s"/>
      <c r="G1279" t="s"/>
      <c r="H1279" t="s"/>
      <c r="I1279" t="s"/>
      <c r="J1279" t="n">
        <v>-0.8078</v>
      </c>
      <c r="K1279" t="n">
        <v>0.327</v>
      </c>
      <c r="L1279" t="n">
        <v>0.597</v>
      </c>
      <c r="M1279" t="n">
        <v>0.076</v>
      </c>
    </row>
    <row r="1280" spans="1:13">
      <c r="A1280" s="1">
        <f>HYPERLINK("http://www.twitter.com/NathanBLawrence/status/984511075801616384", "984511075801616384")</f>
        <v/>
      </c>
      <c r="B1280" s="2" t="n">
        <v>43202.80446759259</v>
      </c>
      <c r="C1280" t="n">
        <v>1</v>
      </c>
      <c r="D1280" t="n">
        <v>0</v>
      </c>
      <c r="E1280" t="s">
        <v>1286</v>
      </c>
      <c r="F1280" t="s"/>
      <c r="G1280" t="s"/>
      <c r="H1280" t="s"/>
      <c r="I1280" t="s"/>
      <c r="J1280" t="n">
        <v>0.1027</v>
      </c>
      <c r="K1280" t="n">
        <v>0.126</v>
      </c>
      <c r="L1280" t="n">
        <v>0.728</v>
      </c>
      <c r="M1280" t="n">
        <v>0.146</v>
      </c>
    </row>
    <row r="1281" spans="1:13">
      <c r="A1281" s="1">
        <f>HYPERLINK("http://www.twitter.com/NathanBLawrence/status/984510667427213313", "984510667427213313")</f>
        <v/>
      </c>
      <c r="B1281" s="2" t="n">
        <v>43202.80334490741</v>
      </c>
      <c r="C1281" t="n">
        <v>0</v>
      </c>
      <c r="D1281" t="n">
        <v>0</v>
      </c>
      <c r="E1281" t="s">
        <v>1287</v>
      </c>
      <c r="F1281" t="s"/>
      <c r="G1281" t="s"/>
      <c r="H1281" t="s"/>
      <c r="I1281" t="s"/>
      <c r="J1281" t="n">
        <v>-0.6486</v>
      </c>
      <c r="K1281" t="n">
        <v>0.263</v>
      </c>
      <c r="L1281" t="n">
        <v>0.634</v>
      </c>
      <c r="M1281" t="n">
        <v>0.103</v>
      </c>
    </row>
    <row r="1282" spans="1:13">
      <c r="A1282" s="1">
        <f>HYPERLINK("http://www.twitter.com/NathanBLawrence/status/984509791484694528", "984509791484694528")</f>
        <v/>
      </c>
      <c r="B1282" s="2" t="n">
        <v>43202.80092592593</v>
      </c>
      <c r="C1282" t="n">
        <v>0</v>
      </c>
      <c r="D1282" t="n">
        <v>3</v>
      </c>
      <c r="E1282" t="s">
        <v>1288</v>
      </c>
      <c r="F1282" t="s"/>
      <c r="G1282" t="s"/>
      <c r="H1282" t="s"/>
      <c r="I1282" t="s"/>
      <c r="J1282" t="n">
        <v>0.0516</v>
      </c>
      <c r="K1282" t="n">
        <v>0.138</v>
      </c>
      <c r="L1282" t="n">
        <v>0.714</v>
      </c>
      <c r="M1282" t="n">
        <v>0.148</v>
      </c>
    </row>
    <row r="1283" spans="1:13">
      <c r="A1283" s="1">
        <f>HYPERLINK("http://www.twitter.com/NathanBLawrence/status/984509734630944768", "984509734630944768")</f>
        <v/>
      </c>
      <c r="B1283" s="2" t="n">
        <v>43202.80076388889</v>
      </c>
      <c r="C1283" t="n">
        <v>0</v>
      </c>
      <c r="D1283" t="n">
        <v>3</v>
      </c>
      <c r="E1283" t="s">
        <v>1289</v>
      </c>
      <c r="F1283" t="s"/>
      <c r="G1283" t="s"/>
      <c r="H1283" t="s"/>
      <c r="I1283" t="s"/>
      <c r="J1283" t="n">
        <v>0</v>
      </c>
      <c r="K1283" t="n">
        <v>0</v>
      </c>
      <c r="L1283" t="n">
        <v>1</v>
      </c>
      <c r="M1283" t="n">
        <v>0</v>
      </c>
    </row>
    <row r="1284" spans="1:13">
      <c r="A1284" s="1">
        <f>HYPERLINK("http://www.twitter.com/NathanBLawrence/status/984509611180003329", "984509611180003329")</f>
        <v/>
      </c>
      <c r="B1284" s="2" t="n">
        <v>43202.80042824074</v>
      </c>
      <c r="C1284" t="n">
        <v>0</v>
      </c>
      <c r="D1284" t="n">
        <v>3</v>
      </c>
      <c r="E1284" t="s">
        <v>1290</v>
      </c>
      <c r="F1284" t="s"/>
      <c r="G1284" t="s"/>
      <c r="H1284" t="s"/>
      <c r="I1284" t="s"/>
      <c r="J1284" t="n">
        <v>-0.5067</v>
      </c>
      <c r="K1284" t="n">
        <v>0.125</v>
      </c>
      <c r="L1284" t="n">
        <v>0.875</v>
      </c>
      <c r="M1284" t="n">
        <v>0</v>
      </c>
    </row>
    <row r="1285" spans="1:13">
      <c r="A1285" s="1">
        <f>HYPERLINK("http://www.twitter.com/NathanBLawrence/status/984509028117221377", "984509028117221377")</f>
        <v/>
      </c>
      <c r="B1285" s="2" t="n">
        <v>43202.79881944445</v>
      </c>
      <c r="C1285" t="n">
        <v>1</v>
      </c>
      <c r="D1285" t="n">
        <v>0</v>
      </c>
      <c r="E1285" t="s">
        <v>1291</v>
      </c>
      <c r="F1285" t="s"/>
      <c r="G1285" t="s"/>
      <c r="H1285" t="s"/>
      <c r="I1285" t="s"/>
      <c r="J1285" t="n">
        <v>0.6467000000000001</v>
      </c>
      <c r="K1285" t="n">
        <v>0</v>
      </c>
      <c r="L1285" t="n">
        <v>0.362</v>
      </c>
      <c r="M1285" t="n">
        <v>0.638</v>
      </c>
    </row>
    <row r="1286" spans="1:13">
      <c r="A1286" s="1">
        <f>HYPERLINK("http://www.twitter.com/NathanBLawrence/status/984508895933673472", "984508895933673472")</f>
        <v/>
      </c>
      <c r="B1286" s="2" t="n">
        <v>43202.79844907407</v>
      </c>
      <c r="C1286" t="n">
        <v>0</v>
      </c>
      <c r="D1286" t="n">
        <v>4</v>
      </c>
      <c r="E1286" t="s">
        <v>1292</v>
      </c>
      <c r="F1286" t="s"/>
      <c r="G1286" t="s"/>
      <c r="H1286" t="s"/>
      <c r="I1286" t="s"/>
      <c r="J1286" t="n">
        <v>0</v>
      </c>
      <c r="K1286" t="n">
        <v>0</v>
      </c>
      <c r="L1286" t="n">
        <v>1</v>
      </c>
      <c r="M1286" t="n">
        <v>0</v>
      </c>
    </row>
    <row r="1287" spans="1:13">
      <c r="A1287" s="1">
        <f>HYPERLINK("http://www.twitter.com/NathanBLawrence/status/984506940427415552", "984506940427415552")</f>
        <v/>
      </c>
      <c r="B1287" s="2" t="n">
        <v>43202.79305555556</v>
      </c>
      <c r="C1287" t="n">
        <v>0</v>
      </c>
      <c r="D1287" t="n">
        <v>0</v>
      </c>
      <c r="E1287" t="s">
        <v>1293</v>
      </c>
      <c r="F1287" t="s"/>
      <c r="G1287" t="s"/>
      <c r="H1287" t="s"/>
      <c r="I1287" t="s"/>
      <c r="J1287" t="n">
        <v>0.5106000000000001</v>
      </c>
      <c r="K1287" t="n">
        <v>0.077</v>
      </c>
      <c r="L1287" t="n">
        <v>0.663</v>
      </c>
      <c r="M1287" t="n">
        <v>0.26</v>
      </c>
    </row>
    <row r="1288" spans="1:13">
      <c r="A1288" s="1">
        <f>HYPERLINK("http://www.twitter.com/NathanBLawrence/status/984506081291526144", "984506081291526144")</f>
        <v/>
      </c>
      <c r="B1288" s="2" t="n">
        <v>43202.79068287037</v>
      </c>
      <c r="C1288" t="n">
        <v>0</v>
      </c>
      <c r="D1288" t="n">
        <v>5</v>
      </c>
      <c r="E1288" t="s">
        <v>1294</v>
      </c>
      <c r="F1288" t="s"/>
      <c r="G1288" t="s"/>
      <c r="H1288" t="s"/>
      <c r="I1288" t="s"/>
      <c r="J1288" t="n">
        <v>0</v>
      </c>
      <c r="K1288" t="n">
        <v>0</v>
      </c>
      <c r="L1288" t="n">
        <v>1</v>
      </c>
      <c r="M1288" t="n">
        <v>0</v>
      </c>
    </row>
    <row r="1289" spans="1:13">
      <c r="A1289" s="1">
        <f>HYPERLINK("http://www.twitter.com/NathanBLawrence/status/984503826756653056", "984503826756653056")</f>
        <v/>
      </c>
      <c r="B1289" s="2" t="n">
        <v>43202.7844675926</v>
      </c>
      <c r="C1289" t="n">
        <v>0</v>
      </c>
      <c r="D1289" t="n">
        <v>91</v>
      </c>
      <c r="E1289" t="s">
        <v>1295</v>
      </c>
      <c r="F1289" t="s"/>
      <c r="G1289" t="s"/>
      <c r="H1289" t="s"/>
      <c r="I1289" t="s"/>
      <c r="J1289" t="n">
        <v>0</v>
      </c>
      <c r="K1289" t="n">
        <v>0</v>
      </c>
      <c r="L1289" t="n">
        <v>1</v>
      </c>
      <c r="M1289" t="n">
        <v>0</v>
      </c>
    </row>
    <row r="1290" spans="1:13">
      <c r="A1290" s="1">
        <f>HYPERLINK("http://www.twitter.com/NathanBLawrence/status/984503793336205312", "984503793336205312")</f>
        <v/>
      </c>
      <c r="B1290" s="2" t="n">
        <v>43202.784375</v>
      </c>
      <c r="C1290" t="n">
        <v>0</v>
      </c>
      <c r="D1290" t="n">
        <v>95</v>
      </c>
      <c r="E1290" t="s">
        <v>1296</v>
      </c>
      <c r="F1290" t="s"/>
      <c r="G1290" t="s"/>
      <c r="H1290" t="s"/>
      <c r="I1290" t="s"/>
      <c r="J1290" t="n">
        <v>0</v>
      </c>
      <c r="K1290" t="n">
        <v>0</v>
      </c>
      <c r="L1290" t="n">
        <v>1</v>
      </c>
      <c r="M1290" t="n">
        <v>0</v>
      </c>
    </row>
    <row r="1291" spans="1:13">
      <c r="A1291" s="1">
        <f>HYPERLINK("http://www.twitter.com/NathanBLawrence/status/984503763728711680", "984503763728711680")</f>
        <v/>
      </c>
      <c r="B1291" s="2" t="n">
        <v>43202.78429398148</v>
      </c>
      <c r="C1291" t="n">
        <v>0</v>
      </c>
      <c r="D1291" t="n">
        <v>89</v>
      </c>
      <c r="E1291" t="s">
        <v>1297</v>
      </c>
      <c r="F1291" t="s"/>
      <c r="G1291" t="s"/>
      <c r="H1291" t="s"/>
      <c r="I1291" t="s"/>
      <c r="J1291" t="n">
        <v>0</v>
      </c>
      <c r="K1291" t="n">
        <v>0</v>
      </c>
      <c r="L1291" t="n">
        <v>1</v>
      </c>
      <c r="M1291" t="n">
        <v>0</v>
      </c>
    </row>
    <row r="1292" spans="1:13">
      <c r="A1292" s="1">
        <f>HYPERLINK("http://www.twitter.com/NathanBLawrence/status/984503326271311873", "984503326271311873")</f>
        <v/>
      </c>
      <c r="B1292" s="2" t="n">
        <v>43202.7830787037</v>
      </c>
      <c r="C1292" t="n">
        <v>0</v>
      </c>
      <c r="D1292" t="n">
        <v>5369</v>
      </c>
      <c r="E1292" t="s">
        <v>1298</v>
      </c>
      <c r="F1292" t="s"/>
      <c r="G1292" t="s"/>
      <c r="H1292" t="s"/>
      <c r="I1292" t="s"/>
      <c r="J1292" t="n">
        <v>-0.1027</v>
      </c>
      <c r="K1292" t="n">
        <v>0.113</v>
      </c>
      <c r="L1292" t="n">
        <v>0.792</v>
      </c>
      <c r="M1292" t="n">
        <v>0.096</v>
      </c>
    </row>
    <row r="1293" spans="1:13">
      <c r="A1293" s="1">
        <f>HYPERLINK("http://www.twitter.com/NathanBLawrence/status/984503238304071680", "984503238304071680")</f>
        <v/>
      </c>
      <c r="B1293" s="2" t="n">
        <v>43202.78283564815</v>
      </c>
      <c r="C1293" t="n">
        <v>0</v>
      </c>
      <c r="D1293" t="n">
        <v>18893</v>
      </c>
      <c r="E1293" t="s">
        <v>1299</v>
      </c>
      <c r="F1293" t="s"/>
      <c r="G1293" t="s"/>
      <c r="H1293" t="s"/>
      <c r="I1293" t="s"/>
      <c r="J1293" t="n">
        <v>-0.8519</v>
      </c>
      <c r="K1293" t="n">
        <v>0.317</v>
      </c>
      <c r="L1293" t="n">
        <v>0.6830000000000001</v>
      </c>
      <c r="M1293" t="n">
        <v>0</v>
      </c>
    </row>
    <row r="1294" spans="1:13">
      <c r="A1294" s="1">
        <f>HYPERLINK("http://www.twitter.com/NathanBLawrence/status/984503197770199040", "984503197770199040")</f>
        <v/>
      </c>
      <c r="B1294" s="2" t="n">
        <v>43202.78273148148</v>
      </c>
      <c r="C1294" t="n">
        <v>0</v>
      </c>
      <c r="D1294" t="n">
        <v>2143</v>
      </c>
      <c r="E1294" t="s">
        <v>1300</v>
      </c>
      <c r="F1294">
        <f>HYPERLINK("https://video.twimg.com/ext_tw_video/984402344229023745/pu/vid/640x360/vnYp-G3kbwVzFoEy.mp4?tag=2", "https://video.twimg.com/ext_tw_video/984402344229023745/pu/vid/640x360/vnYp-G3kbwVzFoEy.mp4?tag=2")</f>
        <v/>
      </c>
      <c r="G1294" t="s"/>
      <c r="H1294" t="s"/>
      <c r="I1294" t="s"/>
      <c r="J1294" t="n">
        <v>0.4767</v>
      </c>
      <c r="K1294" t="n">
        <v>0</v>
      </c>
      <c r="L1294" t="n">
        <v>0.866</v>
      </c>
      <c r="M1294" t="n">
        <v>0.134</v>
      </c>
    </row>
    <row r="1295" spans="1:13">
      <c r="A1295" s="1">
        <f>HYPERLINK("http://www.twitter.com/NathanBLawrence/status/984503115171991554", "984503115171991554")</f>
        <v/>
      </c>
      <c r="B1295" s="2" t="n">
        <v>43202.7825</v>
      </c>
      <c r="C1295" t="n">
        <v>0</v>
      </c>
      <c r="D1295" t="n">
        <v>4024</v>
      </c>
      <c r="E1295" t="s">
        <v>1301</v>
      </c>
      <c r="F1295">
        <f>HYPERLINK("https://video.twimg.com/amplify_video/984492161688330240/vid/1280x720/ntdxZh2oJKz09ENe.mp4?tag=6", "https://video.twimg.com/amplify_video/984492161688330240/vid/1280x720/ntdxZh2oJKz09ENe.mp4?tag=6")</f>
        <v/>
      </c>
      <c r="G1295" t="s"/>
      <c r="H1295" t="s"/>
      <c r="I1295" t="s"/>
      <c r="J1295" t="n">
        <v>-0.3612</v>
      </c>
      <c r="K1295" t="n">
        <v>0.094</v>
      </c>
      <c r="L1295" t="n">
        <v>0.906</v>
      </c>
      <c r="M1295" t="n">
        <v>0</v>
      </c>
    </row>
    <row r="1296" spans="1:13">
      <c r="A1296" s="1">
        <f>HYPERLINK("http://www.twitter.com/NathanBLawrence/status/984502878101372928", "984502878101372928")</f>
        <v/>
      </c>
      <c r="B1296" s="2" t="n">
        <v>43202.78184027778</v>
      </c>
      <c r="C1296" t="n">
        <v>0</v>
      </c>
      <c r="D1296" t="n">
        <v>93</v>
      </c>
      <c r="E1296" t="s">
        <v>1302</v>
      </c>
      <c r="F1296" t="s"/>
      <c r="G1296" t="s"/>
      <c r="H1296" t="s"/>
      <c r="I1296" t="s"/>
      <c r="J1296" t="n">
        <v>0</v>
      </c>
      <c r="K1296" t="n">
        <v>0</v>
      </c>
      <c r="L1296" t="n">
        <v>1</v>
      </c>
      <c r="M1296" t="n">
        <v>0</v>
      </c>
    </row>
    <row r="1297" spans="1:13">
      <c r="A1297" s="1">
        <f>HYPERLINK("http://www.twitter.com/NathanBLawrence/status/984502224276537344", "984502224276537344")</f>
        <v/>
      </c>
      <c r="B1297" s="2" t="n">
        <v>43202.7800462963</v>
      </c>
      <c r="C1297" t="n">
        <v>0</v>
      </c>
      <c r="D1297" t="n">
        <v>0</v>
      </c>
      <c r="E1297" t="s">
        <v>1303</v>
      </c>
      <c r="F1297" t="s"/>
      <c r="G1297" t="s"/>
      <c r="H1297" t="s"/>
      <c r="I1297" t="s"/>
      <c r="J1297" t="n">
        <v>0</v>
      </c>
      <c r="K1297" t="n">
        <v>0</v>
      </c>
      <c r="L1297" t="n">
        <v>1</v>
      </c>
      <c r="M1297" t="n">
        <v>0</v>
      </c>
    </row>
    <row r="1298" spans="1:13">
      <c r="A1298" s="1">
        <f>HYPERLINK("http://www.twitter.com/NathanBLawrence/status/984501483889680388", "984501483889680388")</f>
        <v/>
      </c>
      <c r="B1298" s="2" t="n">
        <v>43202.77799768518</v>
      </c>
      <c r="C1298" t="n">
        <v>0</v>
      </c>
      <c r="D1298" t="n">
        <v>0</v>
      </c>
      <c r="E1298" t="s">
        <v>1304</v>
      </c>
      <c r="F1298" t="s"/>
      <c r="G1298" t="s"/>
      <c r="H1298" t="s"/>
      <c r="I1298" t="s"/>
      <c r="J1298" t="n">
        <v>0.3182</v>
      </c>
      <c r="K1298" t="n">
        <v>0</v>
      </c>
      <c r="L1298" t="n">
        <v>0.916</v>
      </c>
      <c r="M1298" t="n">
        <v>0.08400000000000001</v>
      </c>
    </row>
    <row r="1299" spans="1:13">
      <c r="A1299" s="1">
        <f>HYPERLINK("http://www.twitter.com/NathanBLawrence/status/984499770738688000", "984499770738688000")</f>
        <v/>
      </c>
      <c r="B1299" s="2" t="n">
        <v>43202.77327546296</v>
      </c>
      <c r="C1299" t="n">
        <v>1</v>
      </c>
      <c r="D1299" t="n">
        <v>0</v>
      </c>
      <c r="E1299" t="s">
        <v>1305</v>
      </c>
      <c r="F1299" t="s"/>
      <c r="G1299" t="s"/>
      <c r="H1299" t="s"/>
      <c r="I1299" t="s"/>
      <c r="J1299" t="n">
        <v>-0.3612</v>
      </c>
      <c r="K1299" t="n">
        <v>0.333</v>
      </c>
      <c r="L1299" t="n">
        <v>0.667</v>
      </c>
      <c r="M1299" t="n">
        <v>0</v>
      </c>
    </row>
    <row r="1300" spans="1:13">
      <c r="A1300" s="1">
        <f>HYPERLINK("http://www.twitter.com/NathanBLawrence/status/984499620297560067", "984499620297560067")</f>
        <v/>
      </c>
      <c r="B1300" s="2" t="n">
        <v>43202.7728587963</v>
      </c>
      <c r="C1300" t="n">
        <v>0</v>
      </c>
      <c r="D1300" t="n">
        <v>21</v>
      </c>
      <c r="E1300" t="s">
        <v>1306</v>
      </c>
      <c r="F1300" t="s"/>
      <c r="G1300" t="s"/>
      <c r="H1300" t="s"/>
      <c r="I1300" t="s"/>
      <c r="J1300" t="n">
        <v>-0.765</v>
      </c>
      <c r="K1300" t="n">
        <v>0.322</v>
      </c>
      <c r="L1300" t="n">
        <v>0.678</v>
      </c>
      <c r="M1300" t="n">
        <v>0</v>
      </c>
    </row>
    <row r="1301" spans="1:13">
      <c r="A1301" s="1">
        <f>HYPERLINK("http://www.twitter.com/NathanBLawrence/status/984499302075641856", "984499302075641856")</f>
        <v/>
      </c>
      <c r="B1301" s="2" t="n">
        <v>43202.77197916667</v>
      </c>
      <c r="C1301" t="n">
        <v>0</v>
      </c>
      <c r="D1301" t="n">
        <v>0</v>
      </c>
      <c r="E1301" t="s">
        <v>1307</v>
      </c>
      <c r="F1301" t="s"/>
      <c r="G1301" t="s"/>
      <c r="H1301" t="s"/>
      <c r="I1301" t="s"/>
      <c r="J1301" t="n">
        <v>0.5023</v>
      </c>
      <c r="K1301" t="n">
        <v>0</v>
      </c>
      <c r="L1301" t="n">
        <v>0.622</v>
      </c>
      <c r="M1301" t="n">
        <v>0.378</v>
      </c>
    </row>
    <row r="1302" spans="1:13">
      <c r="A1302" s="1">
        <f>HYPERLINK("http://www.twitter.com/NathanBLawrence/status/984498481883688960", "984498481883688960")</f>
        <v/>
      </c>
      <c r="B1302" s="2" t="n">
        <v>43202.76971064815</v>
      </c>
      <c r="C1302" t="n">
        <v>2</v>
      </c>
      <c r="D1302" t="n">
        <v>0</v>
      </c>
      <c r="E1302" t="s">
        <v>1308</v>
      </c>
      <c r="F1302" t="s"/>
      <c r="G1302" t="s"/>
      <c r="H1302" t="s"/>
      <c r="I1302" t="s"/>
      <c r="J1302" t="n">
        <v>0</v>
      </c>
      <c r="K1302" t="n">
        <v>0</v>
      </c>
      <c r="L1302" t="n">
        <v>1</v>
      </c>
      <c r="M1302" t="n">
        <v>0</v>
      </c>
    </row>
    <row r="1303" spans="1:13">
      <c r="A1303" s="1">
        <f>HYPERLINK("http://www.twitter.com/NathanBLawrence/status/984498195316314118", "984498195316314118")</f>
        <v/>
      </c>
      <c r="B1303" s="2" t="n">
        <v>43202.76892361111</v>
      </c>
      <c r="C1303" t="n">
        <v>0</v>
      </c>
      <c r="D1303" t="n">
        <v>1</v>
      </c>
      <c r="E1303" t="s">
        <v>1309</v>
      </c>
      <c r="F1303" t="s"/>
      <c r="G1303" t="s"/>
      <c r="H1303" t="s"/>
      <c r="I1303" t="s"/>
      <c r="J1303" t="n">
        <v>0</v>
      </c>
      <c r="K1303" t="n">
        <v>0</v>
      </c>
      <c r="L1303" t="n">
        <v>1</v>
      </c>
      <c r="M1303" t="n">
        <v>0</v>
      </c>
    </row>
    <row r="1304" spans="1:13">
      <c r="A1304" s="1">
        <f>HYPERLINK("http://www.twitter.com/NathanBLawrence/status/984498097018626054", "984498097018626054")</f>
        <v/>
      </c>
      <c r="B1304" s="2" t="n">
        <v>43202.76865740741</v>
      </c>
      <c r="C1304" t="n">
        <v>0</v>
      </c>
      <c r="D1304" t="n">
        <v>0</v>
      </c>
      <c r="E1304" t="s">
        <v>1310</v>
      </c>
      <c r="F1304" t="s"/>
      <c r="G1304" t="s"/>
      <c r="H1304" t="s"/>
      <c r="I1304" t="s"/>
      <c r="J1304" t="n">
        <v>0</v>
      </c>
      <c r="K1304" t="n">
        <v>0</v>
      </c>
      <c r="L1304" t="n">
        <v>1</v>
      </c>
      <c r="M1304" t="n">
        <v>0</v>
      </c>
    </row>
    <row r="1305" spans="1:13">
      <c r="A1305" s="1">
        <f>HYPERLINK("http://www.twitter.com/NathanBLawrence/status/984497538358304768", "984497538358304768")</f>
        <v/>
      </c>
      <c r="B1305" s="2" t="n">
        <v>43202.76710648148</v>
      </c>
      <c r="C1305" t="n">
        <v>0</v>
      </c>
      <c r="D1305" t="n">
        <v>0</v>
      </c>
      <c r="E1305" t="s">
        <v>1311</v>
      </c>
      <c r="F1305" t="s"/>
      <c r="G1305" t="s"/>
      <c r="H1305" t="s"/>
      <c r="I1305" t="s"/>
      <c r="J1305" t="n">
        <v>0.509</v>
      </c>
      <c r="K1305" t="n">
        <v>0.037</v>
      </c>
      <c r="L1305" t="n">
        <v>0.858</v>
      </c>
      <c r="M1305" t="n">
        <v>0.105</v>
      </c>
    </row>
    <row r="1306" spans="1:13">
      <c r="A1306" s="1">
        <f>HYPERLINK("http://www.twitter.com/NathanBLawrence/status/984495652645277696", "984495652645277696")</f>
        <v/>
      </c>
      <c r="B1306" s="2" t="n">
        <v>43202.76190972222</v>
      </c>
      <c r="C1306" t="n">
        <v>0</v>
      </c>
      <c r="D1306" t="n">
        <v>0</v>
      </c>
      <c r="E1306" t="s">
        <v>1312</v>
      </c>
      <c r="F1306" t="s"/>
      <c r="G1306" t="s"/>
      <c r="H1306" t="s"/>
      <c r="I1306" t="s"/>
      <c r="J1306" t="n">
        <v>0.3724</v>
      </c>
      <c r="K1306" t="n">
        <v>0</v>
      </c>
      <c r="L1306" t="n">
        <v>0.887</v>
      </c>
      <c r="M1306" t="n">
        <v>0.113</v>
      </c>
    </row>
    <row r="1307" spans="1:13">
      <c r="A1307" s="1">
        <f>HYPERLINK("http://www.twitter.com/NathanBLawrence/status/984494623484719104", "984494623484719104")</f>
        <v/>
      </c>
      <c r="B1307" s="2" t="n">
        <v>43202.7590625</v>
      </c>
      <c r="C1307" t="n">
        <v>1</v>
      </c>
      <c r="D1307" t="n">
        <v>0</v>
      </c>
      <c r="E1307" t="s">
        <v>1313</v>
      </c>
      <c r="F1307" t="s"/>
      <c r="G1307" t="s"/>
      <c r="H1307" t="s"/>
      <c r="I1307" t="s"/>
      <c r="J1307" t="n">
        <v>-0.6486</v>
      </c>
      <c r="K1307" t="n">
        <v>0.29</v>
      </c>
      <c r="L1307" t="n">
        <v>0.71</v>
      </c>
      <c r="M1307" t="n">
        <v>0</v>
      </c>
    </row>
    <row r="1308" spans="1:13">
      <c r="A1308" s="1">
        <f>HYPERLINK("http://www.twitter.com/NathanBLawrence/status/984493912411734016", "984493912411734016")</f>
        <v/>
      </c>
      <c r="B1308" s="2" t="n">
        <v>43202.75710648148</v>
      </c>
      <c r="C1308" t="n">
        <v>0</v>
      </c>
      <c r="D1308" t="n">
        <v>0</v>
      </c>
      <c r="E1308" t="s">
        <v>1314</v>
      </c>
      <c r="F1308" t="s"/>
      <c r="G1308" t="s"/>
      <c r="H1308" t="s"/>
      <c r="I1308" t="s"/>
      <c r="J1308" t="n">
        <v>-0.3987</v>
      </c>
      <c r="K1308" t="n">
        <v>0.472</v>
      </c>
      <c r="L1308" t="n">
        <v>0.528</v>
      </c>
      <c r="M1308" t="n">
        <v>0</v>
      </c>
    </row>
    <row r="1309" spans="1:13">
      <c r="A1309" s="1">
        <f>HYPERLINK("http://www.twitter.com/NathanBLawrence/status/984493771822911488", "984493771822911488")</f>
        <v/>
      </c>
      <c r="B1309" s="2" t="n">
        <v>43202.75671296296</v>
      </c>
      <c r="C1309" t="n">
        <v>0</v>
      </c>
      <c r="D1309" t="n">
        <v>0</v>
      </c>
      <c r="E1309" t="s">
        <v>1315</v>
      </c>
      <c r="F1309" t="s"/>
      <c r="G1309" t="s"/>
      <c r="H1309" t="s"/>
      <c r="I1309" t="s"/>
      <c r="J1309" t="n">
        <v>-0.9144</v>
      </c>
      <c r="K1309" t="n">
        <v>0.415</v>
      </c>
      <c r="L1309" t="n">
        <v>0.585</v>
      </c>
      <c r="M1309" t="n">
        <v>0</v>
      </c>
    </row>
    <row r="1310" spans="1:13">
      <c r="A1310" s="1">
        <f>HYPERLINK("http://www.twitter.com/NathanBLawrence/status/984492714296258561", "984492714296258561")</f>
        <v/>
      </c>
      <c r="B1310" s="2" t="n">
        <v>43202.7537962963</v>
      </c>
      <c r="C1310" t="n">
        <v>0</v>
      </c>
      <c r="D1310" t="n">
        <v>0</v>
      </c>
      <c r="E1310" t="s">
        <v>1316</v>
      </c>
      <c r="F1310" t="s"/>
      <c r="G1310" t="s"/>
      <c r="H1310" t="s"/>
      <c r="I1310" t="s"/>
      <c r="J1310" t="n">
        <v>-0.7351</v>
      </c>
      <c r="K1310" t="n">
        <v>0.507</v>
      </c>
      <c r="L1310" t="n">
        <v>0.493</v>
      </c>
      <c r="M1310" t="n">
        <v>0</v>
      </c>
    </row>
    <row r="1311" spans="1:13">
      <c r="A1311" s="1">
        <f>HYPERLINK("http://www.twitter.com/NathanBLawrence/status/984489241118937090", "984489241118937090")</f>
        <v/>
      </c>
      <c r="B1311" s="2" t="n">
        <v>43202.74421296296</v>
      </c>
      <c r="C1311" t="n">
        <v>1</v>
      </c>
      <c r="D1311" t="n">
        <v>0</v>
      </c>
      <c r="E1311" t="s">
        <v>1317</v>
      </c>
      <c r="F1311" t="s"/>
      <c r="G1311" t="s"/>
      <c r="H1311" t="s"/>
      <c r="I1311" t="s"/>
      <c r="J1311" t="n">
        <v>0.3382</v>
      </c>
      <c r="K1311" t="n">
        <v>0</v>
      </c>
      <c r="L1311" t="n">
        <v>0.79</v>
      </c>
      <c r="M1311" t="n">
        <v>0.21</v>
      </c>
    </row>
    <row r="1312" spans="1:13">
      <c r="A1312" s="1">
        <f>HYPERLINK("http://www.twitter.com/NathanBLawrence/status/984489094112862210", "984489094112862210")</f>
        <v/>
      </c>
      <c r="B1312" s="2" t="n">
        <v>43202.74380787037</v>
      </c>
      <c r="C1312" t="n">
        <v>0</v>
      </c>
      <c r="D1312" t="n">
        <v>7</v>
      </c>
      <c r="E1312" t="s">
        <v>1318</v>
      </c>
      <c r="F1312">
        <f>HYPERLINK("http://pbs.twimg.com/media/Dak7bHyX4AAHjJC.jpg", "http://pbs.twimg.com/media/Dak7bHyX4AAHjJC.jpg")</f>
        <v/>
      </c>
      <c r="G1312" t="s"/>
      <c r="H1312" t="s"/>
      <c r="I1312" t="s"/>
      <c r="J1312" t="n">
        <v>0</v>
      </c>
      <c r="K1312" t="n">
        <v>0</v>
      </c>
      <c r="L1312" t="n">
        <v>1</v>
      </c>
      <c r="M1312" t="n">
        <v>0</v>
      </c>
    </row>
    <row r="1313" spans="1:13">
      <c r="A1313" s="1">
        <f>HYPERLINK("http://www.twitter.com/NathanBLawrence/status/984489002676957184", "984489002676957184")</f>
        <v/>
      </c>
      <c r="B1313" s="2" t="n">
        <v>43202.74355324074</v>
      </c>
      <c r="C1313" t="n">
        <v>0</v>
      </c>
      <c r="D1313" t="n">
        <v>0</v>
      </c>
      <c r="E1313" t="s">
        <v>1319</v>
      </c>
      <c r="F1313" t="s"/>
      <c r="G1313" t="s"/>
      <c r="H1313" t="s"/>
      <c r="I1313" t="s"/>
      <c r="J1313" t="n">
        <v>-0.5837</v>
      </c>
      <c r="K1313" t="n">
        <v>0.486</v>
      </c>
      <c r="L1313" t="n">
        <v>0.514</v>
      </c>
      <c r="M1313" t="n">
        <v>0</v>
      </c>
    </row>
    <row r="1314" spans="1:13">
      <c r="A1314" s="1">
        <f>HYPERLINK("http://www.twitter.com/NathanBLawrence/status/984488856643866629", "984488856643866629")</f>
        <v/>
      </c>
      <c r="B1314" s="2" t="n">
        <v>43202.74314814815</v>
      </c>
      <c r="C1314" t="n">
        <v>0</v>
      </c>
      <c r="D1314" t="n">
        <v>6</v>
      </c>
      <c r="E1314" t="s">
        <v>1320</v>
      </c>
      <c r="F1314">
        <f>HYPERLINK("http://pbs.twimg.com/media/Dak69QzW0AEFnk9.jpg", "http://pbs.twimg.com/media/Dak69QzW0AEFnk9.jpg")</f>
        <v/>
      </c>
      <c r="G1314" t="s"/>
      <c r="H1314" t="s"/>
      <c r="I1314" t="s"/>
      <c r="J1314" t="n">
        <v>-0.4767</v>
      </c>
      <c r="K1314" t="n">
        <v>0.279</v>
      </c>
      <c r="L1314" t="n">
        <v>0.721</v>
      </c>
      <c r="M1314" t="n">
        <v>0</v>
      </c>
    </row>
    <row r="1315" spans="1:13">
      <c r="A1315" s="1">
        <f>HYPERLINK("http://www.twitter.com/NathanBLawrence/status/984488799882366984", "984488799882366984")</f>
        <v/>
      </c>
      <c r="B1315" s="2" t="n">
        <v>43202.74299768519</v>
      </c>
      <c r="C1315" t="n">
        <v>0</v>
      </c>
      <c r="D1315" t="n">
        <v>1</v>
      </c>
      <c r="E1315" t="s">
        <v>1321</v>
      </c>
      <c r="F1315" t="s"/>
      <c r="G1315" t="s"/>
      <c r="H1315" t="s"/>
      <c r="I1315" t="s"/>
      <c r="J1315" t="n">
        <v>0</v>
      </c>
      <c r="K1315" t="n">
        <v>0</v>
      </c>
      <c r="L1315" t="n">
        <v>1</v>
      </c>
      <c r="M1315" t="n">
        <v>0</v>
      </c>
    </row>
    <row r="1316" spans="1:13">
      <c r="A1316" s="1">
        <f>HYPERLINK("http://www.twitter.com/NathanBLawrence/status/984488760338538497", "984488760338538497")</f>
        <v/>
      </c>
      <c r="B1316" s="2" t="n">
        <v>43202.74289351852</v>
      </c>
      <c r="C1316" t="n">
        <v>1</v>
      </c>
      <c r="D1316" t="n">
        <v>0</v>
      </c>
      <c r="E1316" t="s">
        <v>1322</v>
      </c>
      <c r="F1316" t="s"/>
      <c r="G1316" t="s"/>
      <c r="H1316" t="s"/>
      <c r="I1316" t="s"/>
      <c r="J1316" t="n">
        <v>0</v>
      </c>
      <c r="K1316" t="n">
        <v>0</v>
      </c>
      <c r="L1316" t="n">
        <v>1</v>
      </c>
      <c r="M1316" t="n">
        <v>0</v>
      </c>
    </row>
    <row r="1317" spans="1:13">
      <c r="A1317" s="1">
        <f>HYPERLINK("http://www.twitter.com/NathanBLawrence/status/984488601491787778", "984488601491787778")</f>
        <v/>
      </c>
      <c r="B1317" s="2" t="n">
        <v>43202.7424537037</v>
      </c>
      <c r="C1317" t="n">
        <v>0</v>
      </c>
      <c r="D1317" t="n">
        <v>2</v>
      </c>
      <c r="E1317" t="s">
        <v>1323</v>
      </c>
      <c r="F1317" t="s"/>
      <c r="G1317" t="s"/>
      <c r="H1317" t="s"/>
      <c r="I1317" t="s"/>
      <c r="J1317" t="n">
        <v>0</v>
      </c>
      <c r="K1317" t="n">
        <v>0</v>
      </c>
      <c r="L1317" t="n">
        <v>1</v>
      </c>
      <c r="M1317" t="n">
        <v>0</v>
      </c>
    </row>
    <row r="1318" spans="1:13">
      <c r="A1318" s="1">
        <f>HYPERLINK("http://www.twitter.com/NathanBLawrence/status/984488425565970432", "984488425565970432")</f>
        <v/>
      </c>
      <c r="B1318" s="2" t="n">
        <v>43202.74196759259</v>
      </c>
      <c r="C1318" t="n">
        <v>0</v>
      </c>
      <c r="D1318" t="n">
        <v>4</v>
      </c>
      <c r="E1318" t="s">
        <v>1324</v>
      </c>
      <c r="F1318" t="s"/>
      <c r="G1318" t="s"/>
      <c r="H1318" t="s"/>
      <c r="I1318" t="s"/>
      <c r="J1318" t="n">
        <v>-0.4939</v>
      </c>
      <c r="K1318" t="n">
        <v>0.262</v>
      </c>
      <c r="L1318" t="n">
        <v>0.738</v>
      </c>
      <c r="M1318" t="n">
        <v>0</v>
      </c>
    </row>
    <row r="1319" spans="1:13">
      <c r="A1319" s="1">
        <f>HYPERLINK("http://www.twitter.com/NathanBLawrence/status/984488388404432898", "984488388404432898")</f>
        <v/>
      </c>
      <c r="B1319" s="2" t="n">
        <v>43202.74186342592</v>
      </c>
      <c r="C1319" t="n">
        <v>0</v>
      </c>
      <c r="D1319" t="n">
        <v>3</v>
      </c>
      <c r="E1319" t="s">
        <v>1325</v>
      </c>
      <c r="F1319" t="s"/>
      <c r="G1319" t="s"/>
      <c r="H1319" t="s"/>
      <c r="I1319" t="s"/>
      <c r="J1319" t="n">
        <v>0</v>
      </c>
      <c r="K1319" t="n">
        <v>0</v>
      </c>
      <c r="L1319" t="n">
        <v>1</v>
      </c>
      <c r="M1319" t="n">
        <v>0</v>
      </c>
    </row>
    <row r="1320" spans="1:13">
      <c r="A1320" s="1">
        <f>HYPERLINK("http://www.twitter.com/NathanBLawrence/status/984488340090220544", "984488340090220544")</f>
        <v/>
      </c>
      <c r="B1320" s="2" t="n">
        <v>43202.74172453704</v>
      </c>
      <c r="C1320" t="n">
        <v>0</v>
      </c>
      <c r="D1320" t="n">
        <v>9</v>
      </c>
      <c r="E1320" t="s">
        <v>1326</v>
      </c>
      <c r="F1320" t="s"/>
      <c r="G1320" t="s"/>
      <c r="H1320" t="s"/>
      <c r="I1320" t="s"/>
      <c r="J1320" t="n">
        <v>0.0772</v>
      </c>
      <c r="K1320" t="n">
        <v>0</v>
      </c>
      <c r="L1320" t="n">
        <v>0.9389999999999999</v>
      </c>
      <c r="M1320" t="n">
        <v>0.061</v>
      </c>
    </row>
    <row r="1321" spans="1:13">
      <c r="A1321" s="1">
        <f>HYPERLINK("http://www.twitter.com/NathanBLawrence/status/984488216567996416", "984488216567996416")</f>
        <v/>
      </c>
      <c r="B1321" s="2" t="n">
        <v>43202.74138888889</v>
      </c>
      <c r="C1321" t="n">
        <v>1</v>
      </c>
      <c r="D1321" t="n">
        <v>0</v>
      </c>
      <c r="E1321" t="s">
        <v>1327</v>
      </c>
      <c r="F1321" t="s"/>
      <c r="G1321" t="s"/>
      <c r="H1321" t="s"/>
      <c r="I1321" t="s"/>
      <c r="J1321" t="n">
        <v>0</v>
      </c>
      <c r="K1321" t="n">
        <v>0</v>
      </c>
      <c r="L1321" t="n">
        <v>1</v>
      </c>
      <c r="M1321" t="n">
        <v>0</v>
      </c>
    </row>
    <row r="1322" spans="1:13">
      <c r="A1322" s="1">
        <f>HYPERLINK("http://www.twitter.com/NathanBLawrence/status/984483608600743937", "984483608600743937")</f>
        <v/>
      </c>
      <c r="B1322" s="2" t="n">
        <v>43202.72866898148</v>
      </c>
      <c r="C1322" t="n">
        <v>0</v>
      </c>
      <c r="D1322" t="n">
        <v>0</v>
      </c>
      <c r="E1322" t="s">
        <v>1328</v>
      </c>
      <c r="F1322" t="s"/>
      <c r="G1322" t="s"/>
      <c r="H1322" t="s"/>
      <c r="I1322" t="s"/>
      <c r="J1322" t="n">
        <v>0</v>
      </c>
      <c r="K1322" t="n">
        <v>0</v>
      </c>
      <c r="L1322" t="n">
        <v>1</v>
      </c>
      <c r="M1322" t="n">
        <v>0</v>
      </c>
    </row>
    <row r="1323" spans="1:13">
      <c r="A1323" s="1">
        <f>HYPERLINK("http://www.twitter.com/NathanBLawrence/status/984483485531492352", "984483485531492352")</f>
        <v/>
      </c>
      <c r="B1323" s="2" t="n">
        <v>43202.72833333333</v>
      </c>
      <c r="C1323" t="n">
        <v>0</v>
      </c>
      <c r="D1323" t="n">
        <v>12</v>
      </c>
      <c r="E1323" t="s">
        <v>1329</v>
      </c>
      <c r="F1323">
        <f>HYPERLINK("http://pbs.twimg.com/media/DamT_h6VQAAz-Kj.jpg", "http://pbs.twimg.com/media/DamT_h6VQAAz-Kj.jpg")</f>
        <v/>
      </c>
      <c r="G1323" t="s"/>
      <c r="H1323" t="s"/>
      <c r="I1323" t="s"/>
      <c r="J1323" t="n">
        <v>-0.296</v>
      </c>
      <c r="K1323" t="n">
        <v>0.099</v>
      </c>
      <c r="L1323" t="n">
        <v>0.901</v>
      </c>
      <c r="M1323" t="n">
        <v>0</v>
      </c>
    </row>
    <row r="1324" spans="1:13">
      <c r="A1324" s="1">
        <f>HYPERLINK("http://www.twitter.com/NathanBLawrence/status/984468910547308544", "984468910547308544")</f>
        <v/>
      </c>
      <c r="B1324" s="2" t="n">
        <v>43202.68811342592</v>
      </c>
      <c r="C1324" t="n">
        <v>2</v>
      </c>
      <c r="D1324" t="n">
        <v>1</v>
      </c>
      <c r="E1324" t="s">
        <v>1330</v>
      </c>
      <c r="F1324" t="s"/>
      <c r="G1324" t="s"/>
      <c r="H1324" t="s"/>
      <c r="I1324" t="s"/>
      <c r="J1324" t="n">
        <v>0</v>
      </c>
      <c r="K1324" t="n">
        <v>0</v>
      </c>
      <c r="L1324" t="n">
        <v>1</v>
      </c>
      <c r="M1324" t="n">
        <v>0</v>
      </c>
    </row>
    <row r="1325" spans="1:13">
      <c r="A1325" s="1">
        <f>HYPERLINK("http://www.twitter.com/NathanBLawrence/status/984468598231044097", "984468598231044097")</f>
        <v/>
      </c>
      <c r="B1325" s="2" t="n">
        <v>43202.68725694445</v>
      </c>
      <c r="C1325" t="n">
        <v>0</v>
      </c>
      <c r="D1325" t="n">
        <v>0</v>
      </c>
      <c r="E1325" t="s">
        <v>1331</v>
      </c>
      <c r="F1325" t="s"/>
      <c r="G1325" t="s"/>
      <c r="H1325" t="s"/>
      <c r="I1325" t="s"/>
      <c r="J1325" t="n">
        <v>0</v>
      </c>
      <c r="K1325" t="n">
        <v>0</v>
      </c>
      <c r="L1325" t="n">
        <v>1</v>
      </c>
      <c r="M1325" t="n">
        <v>0</v>
      </c>
    </row>
    <row r="1326" spans="1:13">
      <c r="A1326" s="1">
        <f>HYPERLINK("http://www.twitter.com/NathanBLawrence/status/984467287846596609", "984467287846596609")</f>
        <v/>
      </c>
      <c r="B1326" s="2" t="n">
        <v>43202.68363425926</v>
      </c>
      <c r="C1326" t="n">
        <v>0</v>
      </c>
      <c r="D1326" t="n">
        <v>1</v>
      </c>
      <c r="E1326" t="s">
        <v>1332</v>
      </c>
      <c r="F1326">
        <f>HYPERLINK("http://pbs.twimg.com/media/DajbZK3VAAE_8UW.jpg", "http://pbs.twimg.com/media/DajbZK3VAAE_8UW.jpg")</f>
        <v/>
      </c>
      <c r="G1326" t="s"/>
      <c r="H1326" t="s"/>
      <c r="I1326" t="s"/>
      <c r="J1326" t="n">
        <v>0</v>
      </c>
      <c r="K1326" t="n">
        <v>0</v>
      </c>
      <c r="L1326" t="n">
        <v>1</v>
      </c>
      <c r="M1326" t="n">
        <v>0</v>
      </c>
    </row>
    <row r="1327" spans="1:13">
      <c r="A1327" s="1">
        <f>HYPERLINK("http://www.twitter.com/NathanBLawrence/status/984467091083407360", "984467091083407360")</f>
        <v/>
      </c>
      <c r="B1327" s="2" t="n">
        <v>43202.68309027778</v>
      </c>
      <c r="C1327" t="n">
        <v>0</v>
      </c>
      <c r="D1327" t="n">
        <v>0</v>
      </c>
      <c r="E1327" t="s">
        <v>1333</v>
      </c>
      <c r="F1327" t="s"/>
      <c r="G1327" t="s"/>
      <c r="H1327" t="s"/>
      <c r="I1327" t="s"/>
      <c r="J1327" t="n">
        <v>-0.4215</v>
      </c>
      <c r="K1327" t="n">
        <v>0.118</v>
      </c>
      <c r="L1327" t="n">
        <v>0.882</v>
      </c>
      <c r="M1327" t="n">
        <v>0</v>
      </c>
    </row>
    <row r="1328" spans="1:13">
      <c r="A1328" s="1">
        <f>HYPERLINK("http://www.twitter.com/NathanBLawrence/status/984466265845714949", "984466265845714949")</f>
        <v/>
      </c>
      <c r="B1328" s="2" t="n">
        <v>43202.68081018519</v>
      </c>
      <c r="C1328" t="n">
        <v>1</v>
      </c>
      <c r="D1328" t="n">
        <v>0</v>
      </c>
      <c r="E1328" t="s">
        <v>1334</v>
      </c>
      <c r="F1328" t="s"/>
      <c r="G1328" t="s"/>
      <c r="H1328" t="s"/>
      <c r="I1328" t="s"/>
      <c r="J1328" t="n">
        <v>0</v>
      </c>
      <c r="K1328" t="n">
        <v>0</v>
      </c>
      <c r="L1328" t="n">
        <v>1</v>
      </c>
      <c r="M1328" t="n">
        <v>0</v>
      </c>
    </row>
    <row r="1329" spans="1:13">
      <c r="A1329" s="1">
        <f>HYPERLINK("http://www.twitter.com/NathanBLawrence/status/984466149835460608", "984466149835460608")</f>
        <v/>
      </c>
      <c r="B1329" s="2" t="n">
        <v>43202.68049768519</v>
      </c>
      <c r="C1329" t="n">
        <v>0</v>
      </c>
      <c r="D1329" t="n">
        <v>4</v>
      </c>
      <c r="E1329" t="s">
        <v>1335</v>
      </c>
      <c r="F1329" t="s"/>
      <c r="G1329" t="s"/>
      <c r="H1329" t="s"/>
      <c r="I1329" t="s"/>
      <c r="J1329" t="n">
        <v>0.5423</v>
      </c>
      <c r="K1329" t="n">
        <v>0</v>
      </c>
      <c r="L1329" t="n">
        <v>0.842</v>
      </c>
      <c r="M1329" t="n">
        <v>0.158</v>
      </c>
    </row>
    <row r="1330" spans="1:13">
      <c r="A1330" s="1">
        <f>HYPERLINK("http://www.twitter.com/NathanBLawrence/status/984466065907486720", "984466065907486720")</f>
        <v/>
      </c>
      <c r="B1330" s="2" t="n">
        <v>43202.6802662037</v>
      </c>
      <c r="C1330" t="n">
        <v>0</v>
      </c>
      <c r="D1330" t="n">
        <v>0</v>
      </c>
      <c r="E1330" t="s">
        <v>1336</v>
      </c>
      <c r="F1330" t="s"/>
      <c r="G1330" t="s"/>
      <c r="H1330" t="s"/>
      <c r="I1330" t="s"/>
      <c r="J1330" t="n">
        <v>0.8126</v>
      </c>
      <c r="K1330" t="n">
        <v>0</v>
      </c>
      <c r="L1330" t="n">
        <v>0.517</v>
      </c>
      <c r="M1330" t="n">
        <v>0.483</v>
      </c>
    </row>
    <row r="1331" spans="1:13">
      <c r="A1331" s="1">
        <f>HYPERLINK("http://www.twitter.com/NathanBLawrence/status/984465881970479105", "984465881970479105")</f>
        <v/>
      </c>
      <c r="B1331" s="2" t="n">
        <v>43202.67975694445</v>
      </c>
      <c r="C1331" t="n">
        <v>0</v>
      </c>
      <c r="D1331" t="n">
        <v>2</v>
      </c>
      <c r="E1331" t="s">
        <v>1337</v>
      </c>
      <c r="F1331" t="s"/>
      <c r="G1331" t="s"/>
      <c r="H1331" t="s"/>
      <c r="I1331" t="s"/>
      <c r="J1331" t="n">
        <v>0.4019</v>
      </c>
      <c r="K1331" t="n">
        <v>0</v>
      </c>
      <c r="L1331" t="n">
        <v>0.876</v>
      </c>
      <c r="M1331" t="n">
        <v>0.124</v>
      </c>
    </row>
    <row r="1332" spans="1:13">
      <c r="A1332" s="1">
        <f>HYPERLINK("http://www.twitter.com/NathanBLawrence/status/984465823522836480", "984465823522836480")</f>
        <v/>
      </c>
      <c r="B1332" s="2" t="n">
        <v>43202.67959490741</v>
      </c>
      <c r="C1332" t="n">
        <v>0</v>
      </c>
      <c r="D1332" t="n">
        <v>5</v>
      </c>
      <c r="E1332" t="s">
        <v>1338</v>
      </c>
      <c r="F1332" t="s"/>
      <c r="G1332" t="s"/>
      <c r="H1332" t="s"/>
      <c r="I1332" t="s"/>
      <c r="J1332" t="n">
        <v>0.4588</v>
      </c>
      <c r="K1332" t="n">
        <v>0</v>
      </c>
      <c r="L1332" t="n">
        <v>0.846</v>
      </c>
      <c r="M1332" t="n">
        <v>0.154</v>
      </c>
    </row>
    <row r="1333" spans="1:13">
      <c r="A1333" s="1">
        <f>HYPERLINK("http://www.twitter.com/NathanBLawrence/status/984465603208581120", "984465603208581120")</f>
        <v/>
      </c>
      <c r="B1333" s="2" t="n">
        <v>43202.67898148148</v>
      </c>
      <c r="C1333" t="n">
        <v>0</v>
      </c>
      <c r="D1333" t="n">
        <v>4</v>
      </c>
      <c r="E1333" t="s">
        <v>1339</v>
      </c>
      <c r="F1333" t="s"/>
      <c r="G1333" t="s"/>
      <c r="H1333" t="s"/>
      <c r="I1333" t="s"/>
      <c r="J1333" t="n">
        <v>-0.7547</v>
      </c>
      <c r="K1333" t="n">
        <v>0.296</v>
      </c>
      <c r="L1333" t="n">
        <v>0.618</v>
      </c>
      <c r="M1333" t="n">
        <v>0.08599999999999999</v>
      </c>
    </row>
    <row r="1334" spans="1:13">
      <c r="A1334" s="1">
        <f>HYPERLINK("http://www.twitter.com/NathanBLawrence/status/984465516269096962", "984465516269096962")</f>
        <v/>
      </c>
      <c r="B1334" s="2" t="n">
        <v>43202.67875</v>
      </c>
      <c r="C1334" t="n">
        <v>0</v>
      </c>
      <c r="D1334" t="n">
        <v>0</v>
      </c>
      <c r="E1334" t="s">
        <v>1340</v>
      </c>
      <c r="F1334" t="s"/>
      <c r="G1334" t="s"/>
      <c r="H1334" t="s"/>
      <c r="I1334" t="s"/>
      <c r="J1334" t="n">
        <v>-0.3365</v>
      </c>
      <c r="K1334" t="n">
        <v>0.246</v>
      </c>
      <c r="L1334" t="n">
        <v>0.601</v>
      </c>
      <c r="M1334" t="n">
        <v>0.153</v>
      </c>
    </row>
    <row r="1335" spans="1:13">
      <c r="A1335" s="1">
        <f>HYPERLINK("http://www.twitter.com/NathanBLawrence/status/984464790172160000", "984464790172160000")</f>
        <v/>
      </c>
      <c r="B1335" s="2" t="n">
        <v>43202.67674768518</v>
      </c>
      <c r="C1335" t="n">
        <v>0</v>
      </c>
      <c r="D1335" t="n">
        <v>0</v>
      </c>
      <c r="E1335" t="s">
        <v>1341</v>
      </c>
      <c r="F1335" t="s"/>
      <c r="G1335" t="s"/>
      <c r="H1335" t="s"/>
      <c r="I1335" t="s"/>
      <c r="J1335" t="n">
        <v>0</v>
      </c>
      <c r="K1335" t="n">
        <v>0</v>
      </c>
      <c r="L1335" t="n">
        <v>1</v>
      </c>
      <c r="M1335" t="n">
        <v>0</v>
      </c>
    </row>
    <row r="1336" spans="1:13">
      <c r="A1336" s="1">
        <f>HYPERLINK("http://www.twitter.com/NathanBLawrence/status/984464202717941760", "984464202717941760")</f>
        <v/>
      </c>
      <c r="B1336" s="2" t="n">
        <v>43202.67512731482</v>
      </c>
      <c r="C1336" t="n">
        <v>0</v>
      </c>
      <c r="D1336" t="n">
        <v>0</v>
      </c>
      <c r="E1336" t="s">
        <v>1342</v>
      </c>
      <c r="F1336" t="s"/>
      <c r="G1336" t="s"/>
      <c r="H1336" t="s"/>
      <c r="I1336" t="s"/>
      <c r="J1336" t="n">
        <v>-0.5848</v>
      </c>
      <c r="K1336" t="n">
        <v>0.296</v>
      </c>
      <c r="L1336" t="n">
        <v>0.704</v>
      </c>
      <c r="M1336" t="n">
        <v>0</v>
      </c>
    </row>
    <row r="1337" spans="1:13">
      <c r="A1337" s="1">
        <f>HYPERLINK("http://www.twitter.com/NathanBLawrence/status/984463976833716224", "984463976833716224")</f>
        <v/>
      </c>
      <c r="B1337" s="2" t="n">
        <v>43202.67450231482</v>
      </c>
      <c r="C1337" t="n">
        <v>0</v>
      </c>
      <c r="D1337" t="n">
        <v>0</v>
      </c>
      <c r="E1337" t="s">
        <v>1343</v>
      </c>
      <c r="F1337" t="s"/>
      <c r="G1337" t="s"/>
      <c r="H1337" t="s"/>
      <c r="I1337" t="s"/>
      <c r="J1337" t="n">
        <v>0</v>
      </c>
      <c r="K1337" t="n">
        <v>0</v>
      </c>
      <c r="L1337" t="n">
        <v>1</v>
      </c>
      <c r="M1337" t="n">
        <v>0</v>
      </c>
    </row>
    <row r="1338" spans="1:13">
      <c r="A1338" s="1">
        <f>HYPERLINK("http://www.twitter.com/NathanBLawrence/status/984463263906914304", "984463263906914304")</f>
        <v/>
      </c>
      <c r="B1338" s="2" t="n">
        <v>43202.67253472222</v>
      </c>
      <c r="C1338" t="n">
        <v>0</v>
      </c>
      <c r="D1338" t="n">
        <v>0</v>
      </c>
      <c r="E1338" t="s">
        <v>1344</v>
      </c>
      <c r="F1338" t="s"/>
      <c r="G1338" t="s"/>
      <c r="H1338" t="s"/>
      <c r="I1338" t="s"/>
      <c r="J1338" t="n">
        <v>0</v>
      </c>
      <c r="K1338" t="n">
        <v>0</v>
      </c>
      <c r="L1338" t="n">
        <v>1</v>
      </c>
      <c r="M1338" t="n">
        <v>0</v>
      </c>
    </row>
    <row r="1339" spans="1:13">
      <c r="A1339" s="1">
        <f>HYPERLINK("http://www.twitter.com/NathanBLawrence/status/984462837669089280", "984462837669089280")</f>
        <v/>
      </c>
      <c r="B1339" s="2" t="n">
        <v>43202.67135416667</v>
      </c>
      <c r="C1339" t="n">
        <v>0</v>
      </c>
      <c r="D1339" t="n">
        <v>0</v>
      </c>
      <c r="E1339" t="s">
        <v>1345</v>
      </c>
      <c r="F1339" t="s"/>
      <c r="G1339" t="s"/>
      <c r="H1339" t="s"/>
      <c r="I1339" t="s"/>
      <c r="J1339" t="n">
        <v>0.5147</v>
      </c>
      <c r="K1339" t="n">
        <v>0</v>
      </c>
      <c r="L1339" t="n">
        <v>0.706</v>
      </c>
      <c r="M1339" t="n">
        <v>0.294</v>
      </c>
    </row>
    <row r="1340" spans="1:13">
      <c r="A1340" s="1">
        <f>HYPERLINK("http://www.twitter.com/NathanBLawrence/status/984461877492244480", "984461877492244480")</f>
        <v/>
      </c>
      <c r="B1340" s="2" t="n">
        <v>43202.6687037037</v>
      </c>
      <c r="C1340" t="n">
        <v>2</v>
      </c>
      <c r="D1340" t="n">
        <v>0</v>
      </c>
      <c r="E1340" t="s">
        <v>1346</v>
      </c>
      <c r="F1340" t="s"/>
      <c r="G1340" t="s"/>
      <c r="H1340" t="s"/>
      <c r="I1340" t="s"/>
      <c r="J1340" t="n">
        <v>0</v>
      </c>
      <c r="K1340" t="n">
        <v>0</v>
      </c>
      <c r="L1340" t="n">
        <v>1</v>
      </c>
      <c r="M1340" t="n">
        <v>0</v>
      </c>
    </row>
    <row r="1341" spans="1:13">
      <c r="A1341" s="1">
        <f>HYPERLINK("http://www.twitter.com/NathanBLawrence/status/984461763319083010", "984461763319083010")</f>
        <v/>
      </c>
      <c r="B1341" s="2" t="n">
        <v>43202.6683912037</v>
      </c>
      <c r="C1341" t="n">
        <v>0</v>
      </c>
      <c r="D1341" t="n">
        <v>1</v>
      </c>
      <c r="E1341" t="s">
        <v>1347</v>
      </c>
      <c r="F1341" t="s"/>
      <c r="G1341" t="s"/>
      <c r="H1341" t="s"/>
      <c r="I1341" t="s"/>
      <c r="J1341" t="n">
        <v>0.3182</v>
      </c>
      <c r="K1341" t="n">
        <v>0</v>
      </c>
      <c r="L1341" t="n">
        <v>0.887</v>
      </c>
      <c r="M1341" t="n">
        <v>0.113</v>
      </c>
    </row>
    <row r="1342" spans="1:13">
      <c r="A1342" s="1">
        <f>HYPERLINK("http://www.twitter.com/NathanBLawrence/status/984461357260124160", "984461357260124160")</f>
        <v/>
      </c>
      <c r="B1342" s="2" t="n">
        <v>43202.66726851852</v>
      </c>
      <c r="C1342" t="n">
        <v>3</v>
      </c>
      <c r="D1342" t="n">
        <v>1</v>
      </c>
      <c r="E1342" t="s">
        <v>1348</v>
      </c>
      <c r="F1342" t="s"/>
      <c r="G1342" t="s"/>
      <c r="H1342" t="s"/>
      <c r="I1342" t="s"/>
      <c r="J1342" t="n">
        <v>0</v>
      </c>
      <c r="K1342" t="n">
        <v>0.081</v>
      </c>
      <c r="L1342" t="n">
        <v>0.839</v>
      </c>
      <c r="M1342" t="n">
        <v>0.081</v>
      </c>
    </row>
    <row r="1343" spans="1:13">
      <c r="A1343" s="1">
        <f>HYPERLINK("http://www.twitter.com/NathanBLawrence/status/984459915732320256", "984459915732320256")</f>
        <v/>
      </c>
      <c r="B1343" s="2" t="n">
        <v>43202.66328703704</v>
      </c>
      <c r="C1343" t="n">
        <v>1</v>
      </c>
      <c r="D1343" t="n">
        <v>0</v>
      </c>
      <c r="E1343" t="s">
        <v>1349</v>
      </c>
      <c r="F1343" t="s"/>
      <c r="G1343" t="s"/>
      <c r="H1343" t="s"/>
      <c r="I1343" t="s"/>
      <c r="J1343" t="n">
        <v>-0.1391</v>
      </c>
      <c r="K1343" t="n">
        <v>0.092</v>
      </c>
      <c r="L1343" t="n">
        <v>0.83</v>
      </c>
      <c r="M1343" t="n">
        <v>0.078</v>
      </c>
    </row>
    <row r="1344" spans="1:13">
      <c r="A1344" s="1">
        <f>HYPERLINK("http://www.twitter.com/NathanBLawrence/status/984458333368315904", "984458333368315904")</f>
        <v/>
      </c>
      <c r="B1344" s="2" t="n">
        <v>43202.65892361111</v>
      </c>
      <c r="C1344" t="n">
        <v>4</v>
      </c>
      <c r="D1344" t="n">
        <v>2</v>
      </c>
      <c r="E1344" t="s">
        <v>1350</v>
      </c>
      <c r="F1344" t="s"/>
      <c r="G1344" t="s"/>
      <c r="H1344" t="s"/>
      <c r="I1344" t="s"/>
      <c r="J1344" t="n">
        <v>-0.9244</v>
      </c>
      <c r="K1344" t="n">
        <v>0.249</v>
      </c>
      <c r="L1344" t="n">
        <v>0.727</v>
      </c>
      <c r="M1344" t="n">
        <v>0.024</v>
      </c>
    </row>
    <row r="1345" spans="1:13">
      <c r="A1345" s="1">
        <f>HYPERLINK("http://www.twitter.com/NathanBLawrence/status/984455325918130177", "984455325918130177")</f>
        <v/>
      </c>
      <c r="B1345" s="2" t="n">
        <v>43202.650625</v>
      </c>
      <c r="C1345" t="n">
        <v>0</v>
      </c>
      <c r="D1345" t="n">
        <v>0</v>
      </c>
      <c r="E1345" t="s">
        <v>1351</v>
      </c>
      <c r="F1345" t="s"/>
      <c r="G1345" t="s"/>
      <c r="H1345" t="s"/>
      <c r="I1345" t="s"/>
      <c r="J1345" t="n">
        <v>0.128</v>
      </c>
      <c r="K1345" t="n">
        <v>0</v>
      </c>
      <c r="L1345" t="n">
        <v>0.9409999999999999</v>
      </c>
      <c r="M1345" t="n">
        <v>0.059</v>
      </c>
    </row>
    <row r="1346" spans="1:13">
      <c r="A1346" s="1">
        <f>HYPERLINK("http://www.twitter.com/NathanBLawrence/status/984384074524647424", "984384074524647424")</f>
        <v/>
      </c>
      <c r="B1346" s="2" t="n">
        <v>43202.45400462963</v>
      </c>
      <c r="C1346" t="n">
        <v>0</v>
      </c>
      <c r="D1346" t="n">
        <v>0</v>
      </c>
      <c r="E1346" t="s">
        <v>1352</v>
      </c>
      <c r="F1346" t="s"/>
      <c r="G1346" t="s"/>
      <c r="H1346" t="s"/>
      <c r="I1346" t="s"/>
      <c r="J1346" t="n">
        <v>-0.6369</v>
      </c>
      <c r="K1346" t="n">
        <v>0.302</v>
      </c>
      <c r="L1346" t="n">
        <v>0.698</v>
      </c>
      <c r="M1346" t="n">
        <v>0</v>
      </c>
    </row>
    <row r="1347" spans="1:13">
      <c r="A1347" s="1">
        <f>HYPERLINK("http://www.twitter.com/NathanBLawrence/status/984380606132965378", "984380606132965378")</f>
        <v/>
      </c>
      <c r="B1347" s="2" t="n">
        <v>43202.44444444445</v>
      </c>
      <c r="C1347" t="n">
        <v>0</v>
      </c>
      <c r="D1347" t="n">
        <v>10</v>
      </c>
      <c r="E1347" t="s">
        <v>1353</v>
      </c>
      <c r="F1347" t="s"/>
      <c r="G1347" t="s"/>
      <c r="H1347" t="s"/>
      <c r="I1347" t="s"/>
      <c r="J1347" t="n">
        <v>0.4404</v>
      </c>
      <c r="K1347" t="n">
        <v>0</v>
      </c>
      <c r="L1347" t="n">
        <v>0.888</v>
      </c>
      <c r="M1347" t="n">
        <v>0.112</v>
      </c>
    </row>
    <row r="1348" spans="1:13">
      <c r="A1348" s="1">
        <f>HYPERLINK("http://www.twitter.com/NathanBLawrence/status/984380325504659456", "984380325504659456")</f>
        <v/>
      </c>
      <c r="B1348" s="2" t="n">
        <v>43202.44366898148</v>
      </c>
      <c r="C1348" t="n">
        <v>0</v>
      </c>
      <c r="D1348" t="n">
        <v>8</v>
      </c>
      <c r="E1348" t="s">
        <v>1354</v>
      </c>
      <c r="F1348">
        <f>HYPERLINK("http://pbs.twimg.com/media/Dai_POpXUAAyh-3.jpg", "http://pbs.twimg.com/media/Dai_POpXUAAyh-3.jpg")</f>
        <v/>
      </c>
      <c r="G1348" t="s"/>
      <c r="H1348" t="s"/>
      <c r="I1348" t="s"/>
      <c r="J1348" t="n">
        <v>-0.836</v>
      </c>
      <c r="K1348" t="n">
        <v>0.305</v>
      </c>
      <c r="L1348" t="n">
        <v>0.695</v>
      </c>
      <c r="M1348" t="n">
        <v>0</v>
      </c>
    </row>
    <row r="1349" spans="1:13">
      <c r="A1349" s="1">
        <f>HYPERLINK("http://www.twitter.com/NathanBLawrence/status/984380168390275073", "984380168390275073")</f>
        <v/>
      </c>
      <c r="B1349" s="2" t="n">
        <v>43202.44322916667</v>
      </c>
      <c r="C1349" t="n">
        <v>0</v>
      </c>
      <c r="D1349" t="n">
        <v>17</v>
      </c>
      <c r="E1349" t="s">
        <v>1355</v>
      </c>
      <c r="F1349">
        <f>HYPERLINK("http://pbs.twimg.com/media/Dae-wnkWAAAipXV.jpg", "http://pbs.twimg.com/media/Dae-wnkWAAAipXV.jpg")</f>
        <v/>
      </c>
      <c r="G1349">
        <f>HYPERLINK("http://pbs.twimg.com/media/Dae-xx0X0AAZlsX.jpg", "http://pbs.twimg.com/media/Dae-xx0X0AAZlsX.jpg")</f>
        <v/>
      </c>
      <c r="H1349">
        <f>HYPERLINK("http://pbs.twimg.com/media/Dae-y37WsAA7qA4.jpg", "http://pbs.twimg.com/media/Dae-y37WsAA7qA4.jpg")</f>
        <v/>
      </c>
      <c r="I1349" t="s"/>
      <c r="J1349" t="n">
        <v>0.5308</v>
      </c>
      <c r="K1349" t="n">
        <v>0</v>
      </c>
      <c r="L1349" t="n">
        <v>0.803</v>
      </c>
      <c r="M1349" t="n">
        <v>0.197</v>
      </c>
    </row>
    <row r="1350" spans="1:13">
      <c r="A1350" s="1">
        <f>HYPERLINK("http://www.twitter.com/NathanBLawrence/status/984379620869931008", "984379620869931008")</f>
        <v/>
      </c>
      <c r="B1350" s="2" t="n">
        <v>43202.44172453704</v>
      </c>
      <c r="C1350" t="n">
        <v>0</v>
      </c>
      <c r="D1350" t="n">
        <v>50</v>
      </c>
      <c r="E1350" t="s">
        <v>1356</v>
      </c>
      <c r="F1350" t="s"/>
      <c r="G1350" t="s"/>
      <c r="H1350" t="s"/>
      <c r="I1350" t="s"/>
      <c r="J1350" t="n">
        <v>0.6494</v>
      </c>
      <c r="K1350" t="n">
        <v>0.161</v>
      </c>
      <c r="L1350" t="n">
        <v>0.5570000000000001</v>
      </c>
      <c r="M1350" t="n">
        <v>0.281</v>
      </c>
    </row>
    <row r="1351" spans="1:13">
      <c r="A1351" s="1">
        <f>HYPERLINK("http://www.twitter.com/NathanBLawrence/status/984379071177150464", "984379071177150464")</f>
        <v/>
      </c>
      <c r="B1351" s="2" t="n">
        <v>43202.44020833333</v>
      </c>
      <c r="C1351" t="n">
        <v>0</v>
      </c>
      <c r="D1351" t="n">
        <v>5</v>
      </c>
      <c r="E1351" t="s">
        <v>1357</v>
      </c>
      <c r="F1351" t="s"/>
      <c r="G1351" t="s"/>
      <c r="H1351" t="s"/>
      <c r="I1351" t="s"/>
      <c r="J1351" t="n">
        <v>-0.25</v>
      </c>
      <c r="K1351" t="n">
        <v>0.117</v>
      </c>
      <c r="L1351" t="n">
        <v>0.8159999999999999</v>
      </c>
      <c r="M1351" t="n">
        <v>0.066</v>
      </c>
    </row>
    <row r="1352" spans="1:13">
      <c r="A1352" s="1">
        <f>HYPERLINK("http://www.twitter.com/NathanBLawrence/status/984378523514228736", "984378523514228736")</f>
        <v/>
      </c>
      <c r="B1352" s="2" t="n">
        <v>43202.43869212963</v>
      </c>
      <c r="C1352" t="n">
        <v>0</v>
      </c>
      <c r="D1352" t="n">
        <v>8</v>
      </c>
      <c r="E1352" t="s">
        <v>1358</v>
      </c>
      <c r="F1352" t="s"/>
      <c r="G1352" t="s"/>
      <c r="H1352" t="s"/>
      <c r="I1352" t="s"/>
      <c r="J1352" t="n">
        <v>-0.5719</v>
      </c>
      <c r="K1352" t="n">
        <v>0.144</v>
      </c>
      <c r="L1352" t="n">
        <v>0.856</v>
      </c>
      <c r="M1352" t="n">
        <v>0</v>
      </c>
    </row>
    <row r="1353" spans="1:13">
      <c r="A1353" s="1">
        <f>HYPERLINK("http://www.twitter.com/NathanBLawrence/status/984237086407643136", "984237086407643136")</f>
        <v/>
      </c>
      <c r="B1353" s="2" t="n">
        <v>43202.04840277778</v>
      </c>
      <c r="C1353" t="n">
        <v>2</v>
      </c>
      <c r="D1353" t="n">
        <v>0</v>
      </c>
      <c r="E1353" t="s">
        <v>1359</v>
      </c>
      <c r="F1353" t="s"/>
      <c r="G1353" t="s"/>
      <c r="H1353" t="s"/>
      <c r="I1353" t="s"/>
      <c r="J1353" t="n">
        <v>-0.3818</v>
      </c>
      <c r="K1353" t="n">
        <v>0.199</v>
      </c>
      <c r="L1353" t="n">
        <v>0.699</v>
      </c>
      <c r="M1353" t="n">
        <v>0.103</v>
      </c>
    </row>
    <row r="1354" spans="1:13">
      <c r="A1354" s="1">
        <f>HYPERLINK("http://www.twitter.com/NathanBLawrence/status/984236647029067777", "984236647029067777")</f>
        <v/>
      </c>
      <c r="B1354" s="2" t="n">
        <v>43202.0471875</v>
      </c>
      <c r="C1354" t="n">
        <v>3</v>
      </c>
      <c r="D1354" t="n">
        <v>0</v>
      </c>
      <c r="E1354" t="s">
        <v>1360</v>
      </c>
      <c r="F1354" t="s"/>
      <c r="G1354" t="s"/>
      <c r="H1354" t="s"/>
      <c r="I1354" t="s"/>
      <c r="J1354" t="n">
        <v>0.128</v>
      </c>
      <c r="K1354" t="n">
        <v>0.08699999999999999</v>
      </c>
      <c r="L1354" t="n">
        <v>0.787</v>
      </c>
      <c r="M1354" t="n">
        <v>0.126</v>
      </c>
    </row>
    <row r="1355" spans="1:13">
      <c r="A1355" s="1">
        <f>HYPERLINK("http://www.twitter.com/NathanBLawrence/status/984236026251173888", "984236026251173888")</f>
        <v/>
      </c>
      <c r="B1355" s="2" t="n">
        <v>43202.04547453704</v>
      </c>
      <c r="C1355" t="n">
        <v>2</v>
      </c>
      <c r="D1355" t="n">
        <v>0</v>
      </c>
      <c r="E1355" t="s">
        <v>1361</v>
      </c>
      <c r="F1355" t="s"/>
      <c r="G1355" t="s"/>
      <c r="H1355" t="s"/>
      <c r="I1355" t="s"/>
      <c r="J1355" t="n">
        <v>0</v>
      </c>
      <c r="K1355" t="n">
        <v>0</v>
      </c>
      <c r="L1355" t="n">
        <v>1</v>
      </c>
      <c r="M1355" t="n">
        <v>0</v>
      </c>
    </row>
    <row r="1356" spans="1:13">
      <c r="A1356" s="1">
        <f>HYPERLINK("http://www.twitter.com/NathanBLawrence/status/984235626546556930", "984235626546556930")</f>
        <v/>
      </c>
      <c r="B1356" s="2" t="n">
        <v>43202.044375</v>
      </c>
      <c r="C1356" t="n">
        <v>0</v>
      </c>
      <c r="D1356" t="n">
        <v>2</v>
      </c>
      <c r="E1356" t="s">
        <v>1362</v>
      </c>
      <c r="F1356" t="s"/>
      <c r="G1356" t="s"/>
      <c r="H1356" t="s"/>
      <c r="I1356" t="s"/>
      <c r="J1356" t="n">
        <v>-0.3182</v>
      </c>
      <c r="K1356" t="n">
        <v>0.113</v>
      </c>
      <c r="L1356" t="n">
        <v>0.887</v>
      </c>
      <c r="M1356" t="n">
        <v>0</v>
      </c>
    </row>
    <row r="1357" spans="1:13">
      <c r="A1357" s="1">
        <f>HYPERLINK("http://www.twitter.com/NathanBLawrence/status/984235567402700801", "984235567402700801")</f>
        <v/>
      </c>
      <c r="B1357" s="2" t="n">
        <v>43202.04421296297</v>
      </c>
      <c r="C1357" t="n">
        <v>1</v>
      </c>
      <c r="D1357" t="n">
        <v>0</v>
      </c>
      <c r="E1357" t="s">
        <v>1363</v>
      </c>
      <c r="F1357" t="s"/>
      <c r="G1357" t="s"/>
      <c r="H1357" t="s"/>
      <c r="I1357" t="s"/>
      <c r="J1357" t="n">
        <v>-0.3869</v>
      </c>
      <c r="K1357" t="n">
        <v>0.129</v>
      </c>
      <c r="L1357" t="n">
        <v>0.773</v>
      </c>
      <c r="M1357" t="n">
        <v>0.098</v>
      </c>
    </row>
    <row r="1358" spans="1:13">
      <c r="A1358" s="1">
        <f>HYPERLINK("http://www.twitter.com/NathanBLawrence/status/984234242816335872", "984234242816335872")</f>
        <v/>
      </c>
      <c r="B1358" s="2" t="n">
        <v>43202.04055555556</v>
      </c>
      <c r="C1358" t="n">
        <v>0</v>
      </c>
      <c r="D1358" t="n">
        <v>1</v>
      </c>
      <c r="E1358" t="s">
        <v>1364</v>
      </c>
      <c r="F1358" t="s"/>
      <c r="G1358" t="s"/>
      <c r="H1358" t="s"/>
      <c r="I1358" t="s"/>
      <c r="J1358" t="n">
        <v>-0.3182</v>
      </c>
      <c r="K1358" t="n">
        <v>0.108</v>
      </c>
      <c r="L1358" t="n">
        <v>0.892</v>
      </c>
      <c r="M1358" t="n">
        <v>0</v>
      </c>
    </row>
    <row r="1359" spans="1:13">
      <c r="A1359" s="1">
        <f>HYPERLINK("http://www.twitter.com/NathanBLawrence/status/984234207147945984", "984234207147945984")</f>
        <v/>
      </c>
      <c r="B1359" s="2" t="n">
        <v>43202.04045138889</v>
      </c>
      <c r="C1359" t="n">
        <v>0</v>
      </c>
      <c r="D1359" t="n">
        <v>0</v>
      </c>
      <c r="E1359" t="s">
        <v>1365</v>
      </c>
      <c r="F1359" t="s"/>
      <c r="G1359" t="s"/>
      <c r="H1359" t="s"/>
      <c r="I1359" t="s"/>
      <c r="J1359" t="n">
        <v>0.7615</v>
      </c>
      <c r="K1359" t="n">
        <v>0</v>
      </c>
      <c r="L1359" t="n">
        <v>0.772</v>
      </c>
      <c r="M1359" t="n">
        <v>0.228</v>
      </c>
    </row>
    <row r="1360" spans="1:13">
      <c r="A1360" s="1">
        <f>HYPERLINK("http://www.twitter.com/NathanBLawrence/status/984233255909064704", "984233255909064704")</f>
        <v/>
      </c>
      <c r="B1360" s="2" t="n">
        <v>43202.03783564815</v>
      </c>
      <c r="C1360" t="n">
        <v>1</v>
      </c>
      <c r="D1360" t="n">
        <v>1</v>
      </c>
      <c r="E1360" t="s">
        <v>1366</v>
      </c>
      <c r="F1360" t="s"/>
      <c r="G1360" t="s"/>
      <c r="H1360" t="s"/>
      <c r="I1360" t="s"/>
      <c r="J1360" t="n">
        <v>-0.3612</v>
      </c>
      <c r="K1360" t="n">
        <v>0.08799999999999999</v>
      </c>
      <c r="L1360" t="n">
        <v>0.912</v>
      </c>
      <c r="M1360" t="n">
        <v>0</v>
      </c>
    </row>
    <row r="1361" spans="1:13">
      <c r="A1361" s="1">
        <f>HYPERLINK("http://www.twitter.com/NathanBLawrence/status/984232050025750534", "984232050025750534")</f>
        <v/>
      </c>
      <c r="B1361" s="2" t="n">
        <v>43202.03450231482</v>
      </c>
      <c r="C1361" t="n">
        <v>0</v>
      </c>
      <c r="D1361" t="n">
        <v>0</v>
      </c>
      <c r="E1361" t="s">
        <v>1367</v>
      </c>
      <c r="F1361" t="s"/>
      <c r="G1361" t="s"/>
      <c r="H1361" t="s"/>
      <c r="I1361" t="s"/>
      <c r="J1361" t="n">
        <v>-0.34</v>
      </c>
      <c r="K1361" t="n">
        <v>0.211</v>
      </c>
      <c r="L1361" t="n">
        <v>0.789</v>
      </c>
      <c r="M1361" t="n">
        <v>0</v>
      </c>
    </row>
    <row r="1362" spans="1:13">
      <c r="A1362" s="1">
        <f>HYPERLINK("http://www.twitter.com/NathanBLawrence/status/983974005047775232", "983974005047775232")</f>
        <v/>
      </c>
      <c r="B1362" s="2" t="n">
        <v>43201.32243055556</v>
      </c>
      <c r="C1362" t="n">
        <v>0</v>
      </c>
      <c r="D1362" t="n">
        <v>0</v>
      </c>
      <c r="E1362" t="s">
        <v>1368</v>
      </c>
      <c r="F1362" t="s"/>
      <c r="G1362" t="s"/>
      <c r="H1362" t="s"/>
      <c r="I1362" t="s"/>
      <c r="J1362" t="n">
        <v>0</v>
      </c>
      <c r="K1362" t="n">
        <v>0</v>
      </c>
      <c r="L1362" t="n">
        <v>1</v>
      </c>
      <c r="M1362" t="n">
        <v>0</v>
      </c>
    </row>
    <row r="1363" spans="1:13">
      <c r="A1363" s="1">
        <f>HYPERLINK("http://www.twitter.com/NathanBLawrence/status/983973078442102784", "983973078442102784")</f>
        <v/>
      </c>
      <c r="B1363" s="2" t="n">
        <v>43201.31987268518</v>
      </c>
      <c r="C1363" t="n">
        <v>0</v>
      </c>
      <c r="D1363" t="n">
        <v>8</v>
      </c>
      <c r="E1363" t="s">
        <v>1369</v>
      </c>
      <c r="F1363" t="s"/>
      <c r="G1363" t="s"/>
      <c r="H1363" t="s"/>
      <c r="I1363" t="s"/>
      <c r="J1363" t="n">
        <v>0.0772</v>
      </c>
      <c r="K1363" t="n">
        <v>0</v>
      </c>
      <c r="L1363" t="n">
        <v>0.9360000000000001</v>
      </c>
      <c r="M1363" t="n">
        <v>0.064</v>
      </c>
    </row>
    <row r="1364" spans="1:13">
      <c r="A1364" s="1">
        <f>HYPERLINK("http://www.twitter.com/NathanBLawrence/status/983972655303942144", "983972655303942144")</f>
        <v/>
      </c>
      <c r="B1364" s="2" t="n">
        <v>43201.31871527778</v>
      </c>
      <c r="C1364" t="n">
        <v>0</v>
      </c>
      <c r="D1364" t="n">
        <v>0</v>
      </c>
      <c r="E1364" t="s">
        <v>1370</v>
      </c>
      <c r="F1364" t="s"/>
      <c r="G1364" t="s"/>
      <c r="H1364" t="s"/>
      <c r="I1364" t="s"/>
      <c r="J1364" t="n">
        <v>-0.5399</v>
      </c>
      <c r="K1364" t="n">
        <v>0.367</v>
      </c>
      <c r="L1364" t="n">
        <v>0.633</v>
      </c>
      <c r="M1364" t="n">
        <v>0</v>
      </c>
    </row>
    <row r="1365" spans="1:13">
      <c r="A1365" s="1">
        <f>HYPERLINK("http://www.twitter.com/NathanBLawrence/status/983971994612924417", "983971994612924417")</f>
        <v/>
      </c>
      <c r="B1365" s="2" t="n">
        <v>43201.31688657407</v>
      </c>
      <c r="C1365" t="n">
        <v>0</v>
      </c>
      <c r="D1365" t="n">
        <v>1</v>
      </c>
      <c r="E1365" t="s">
        <v>1371</v>
      </c>
      <c r="F1365" t="s"/>
      <c r="G1365" t="s"/>
      <c r="H1365" t="s"/>
      <c r="I1365" t="s"/>
      <c r="J1365" t="n">
        <v>-0.743</v>
      </c>
      <c r="K1365" t="n">
        <v>0.285</v>
      </c>
      <c r="L1365" t="n">
        <v>0.61</v>
      </c>
      <c r="M1365" t="n">
        <v>0.105</v>
      </c>
    </row>
    <row r="1366" spans="1:13">
      <c r="A1366" s="1">
        <f>HYPERLINK("http://www.twitter.com/NathanBLawrence/status/983971880255262721", "983971880255262721")</f>
        <v/>
      </c>
      <c r="B1366" s="2" t="n">
        <v>43201.31657407407</v>
      </c>
      <c r="C1366" t="n">
        <v>0</v>
      </c>
      <c r="D1366" t="n">
        <v>1</v>
      </c>
      <c r="E1366" t="s">
        <v>1372</v>
      </c>
      <c r="F1366" t="s"/>
      <c r="G1366" t="s"/>
      <c r="H1366" t="s"/>
      <c r="I1366" t="s"/>
      <c r="J1366" t="n">
        <v>-0.2732</v>
      </c>
      <c r="K1366" t="n">
        <v>0.095</v>
      </c>
      <c r="L1366" t="n">
        <v>0.905</v>
      </c>
      <c r="M1366" t="n">
        <v>0</v>
      </c>
    </row>
    <row r="1367" spans="1:13">
      <c r="A1367" s="1">
        <f>HYPERLINK("http://www.twitter.com/NathanBLawrence/status/983971788731441153", "983971788731441153")</f>
        <v/>
      </c>
      <c r="B1367" s="2" t="n">
        <v>43201.31631944444</v>
      </c>
      <c r="C1367" t="n">
        <v>0</v>
      </c>
      <c r="D1367" t="n">
        <v>0</v>
      </c>
      <c r="E1367" t="s">
        <v>1373</v>
      </c>
      <c r="F1367" t="s"/>
      <c r="G1367" t="s"/>
      <c r="H1367" t="s"/>
      <c r="I1367" t="s"/>
      <c r="J1367" t="n">
        <v>0</v>
      </c>
      <c r="K1367" t="n">
        <v>0</v>
      </c>
      <c r="L1367" t="n">
        <v>1</v>
      </c>
      <c r="M1367" t="n">
        <v>0</v>
      </c>
    </row>
    <row r="1368" spans="1:13">
      <c r="A1368" s="1">
        <f>HYPERLINK("http://www.twitter.com/NathanBLawrence/status/983970276605079552", "983970276605079552")</f>
        <v/>
      </c>
      <c r="B1368" s="2" t="n">
        <v>43201.31214120371</v>
      </c>
      <c r="C1368" t="n">
        <v>2</v>
      </c>
      <c r="D1368" t="n">
        <v>0</v>
      </c>
      <c r="E1368" t="s">
        <v>1374</v>
      </c>
      <c r="F1368" t="s"/>
      <c r="G1368" t="s"/>
      <c r="H1368" t="s"/>
      <c r="I1368" t="s"/>
      <c r="J1368" t="n">
        <v>0</v>
      </c>
      <c r="K1368" t="n">
        <v>0</v>
      </c>
      <c r="L1368" t="n">
        <v>1</v>
      </c>
      <c r="M1368" t="n">
        <v>0</v>
      </c>
    </row>
    <row r="1369" spans="1:13">
      <c r="A1369" s="1">
        <f>HYPERLINK("http://www.twitter.com/NathanBLawrence/status/983969932730880000", "983969932730880000")</f>
        <v/>
      </c>
      <c r="B1369" s="2" t="n">
        <v>43201.31119212963</v>
      </c>
      <c r="C1369" t="n">
        <v>0</v>
      </c>
      <c r="D1369" t="n">
        <v>1</v>
      </c>
      <c r="E1369" t="s">
        <v>1375</v>
      </c>
      <c r="F1369" t="s"/>
      <c r="G1369" t="s"/>
      <c r="H1369" t="s"/>
      <c r="I1369" t="s"/>
      <c r="J1369" t="n">
        <v>0</v>
      </c>
      <c r="K1369" t="n">
        <v>0</v>
      </c>
      <c r="L1369" t="n">
        <v>1</v>
      </c>
      <c r="M1369" t="n">
        <v>0</v>
      </c>
    </row>
    <row r="1370" spans="1:13">
      <c r="A1370" s="1">
        <f>HYPERLINK("http://www.twitter.com/NathanBLawrence/status/983969792154636288", "983969792154636288")</f>
        <v/>
      </c>
      <c r="B1370" s="2" t="n">
        <v>43201.31081018518</v>
      </c>
      <c r="C1370" t="n">
        <v>1</v>
      </c>
      <c r="D1370" t="n">
        <v>0</v>
      </c>
      <c r="E1370" t="s">
        <v>1376</v>
      </c>
      <c r="F1370" t="s"/>
      <c r="G1370" t="s"/>
      <c r="H1370" t="s"/>
      <c r="I1370" t="s"/>
      <c r="J1370" t="n">
        <v>0</v>
      </c>
      <c r="K1370" t="n">
        <v>0</v>
      </c>
      <c r="L1370" t="n">
        <v>1</v>
      </c>
      <c r="M1370" t="n">
        <v>0</v>
      </c>
    </row>
    <row r="1371" spans="1:13">
      <c r="A1371" s="1">
        <f>HYPERLINK("http://www.twitter.com/NathanBLawrence/status/983969544866852864", "983969544866852864")</f>
        <v/>
      </c>
      <c r="B1371" s="2" t="n">
        <v>43201.31012731481</v>
      </c>
      <c r="C1371" t="n">
        <v>0</v>
      </c>
      <c r="D1371" t="n">
        <v>0</v>
      </c>
      <c r="E1371" t="s">
        <v>1377</v>
      </c>
      <c r="F1371" t="s"/>
      <c r="G1371" t="s"/>
      <c r="H1371" t="s"/>
      <c r="I1371" t="s"/>
      <c r="J1371" t="n">
        <v>0</v>
      </c>
      <c r="K1371" t="n">
        <v>0</v>
      </c>
      <c r="L1371" t="n">
        <v>1</v>
      </c>
      <c r="M1371" t="n">
        <v>0</v>
      </c>
    </row>
    <row r="1372" spans="1:13">
      <c r="A1372" s="1">
        <f>HYPERLINK("http://www.twitter.com/NathanBLawrence/status/983969395444723712", "983969395444723712")</f>
        <v/>
      </c>
      <c r="B1372" s="2" t="n">
        <v>43201.30971064815</v>
      </c>
      <c r="C1372" t="n">
        <v>0</v>
      </c>
      <c r="D1372" t="n">
        <v>0</v>
      </c>
      <c r="E1372" t="s">
        <v>1378</v>
      </c>
      <c r="F1372" t="s"/>
      <c r="G1372" t="s"/>
      <c r="H1372" t="s"/>
      <c r="I1372" t="s"/>
      <c r="J1372" t="n">
        <v>0</v>
      </c>
      <c r="K1372" t="n">
        <v>0</v>
      </c>
      <c r="L1372" t="n">
        <v>1</v>
      </c>
      <c r="M1372" t="n">
        <v>0</v>
      </c>
    </row>
    <row r="1373" spans="1:13">
      <c r="A1373" s="1">
        <f>HYPERLINK("http://www.twitter.com/NathanBLawrence/status/983969010508357633", "983969010508357633")</f>
        <v/>
      </c>
      <c r="B1373" s="2" t="n">
        <v>43201.3086574074</v>
      </c>
      <c r="C1373" t="n">
        <v>2</v>
      </c>
      <c r="D1373" t="n">
        <v>0</v>
      </c>
      <c r="E1373" t="s">
        <v>1379</v>
      </c>
      <c r="F1373" t="s"/>
      <c r="G1373" t="s"/>
      <c r="H1373" t="s"/>
      <c r="I1373" t="s"/>
      <c r="J1373" t="n">
        <v>-0.8118</v>
      </c>
      <c r="K1373" t="n">
        <v>0.485</v>
      </c>
      <c r="L1373" t="n">
        <v>0.334</v>
      </c>
      <c r="M1373" t="n">
        <v>0.181</v>
      </c>
    </row>
    <row r="1374" spans="1:13">
      <c r="A1374" s="1">
        <f>HYPERLINK("http://www.twitter.com/NathanBLawrence/status/983966221531078656", "983966221531078656")</f>
        <v/>
      </c>
      <c r="B1374" s="2" t="n">
        <v>43201.30096064815</v>
      </c>
      <c r="C1374" t="n">
        <v>0</v>
      </c>
      <c r="D1374" t="n">
        <v>0</v>
      </c>
      <c r="E1374" t="s">
        <v>1380</v>
      </c>
      <c r="F1374" t="s"/>
      <c r="G1374" t="s"/>
      <c r="H1374" t="s"/>
      <c r="I1374" t="s"/>
      <c r="J1374" t="n">
        <v>0</v>
      </c>
      <c r="K1374" t="n">
        <v>0</v>
      </c>
      <c r="L1374" t="n">
        <v>1</v>
      </c>
      <c r="M1374" t="n">
        <v>0</v>
      </c>
    </row>
    <row r="1375" spans="1:13">
      <c r="A1375" s="1">
        <f>HYPERLINK("http://www.twitter.com/NathanBLawrence/status/983965201857949696", "983965201857949696")</f>
        <v/>
      </c>
      <c r="B1375" s="2" t="n">
        <v>43201.29813657407</v>
      </c>
      <c r="C1375" t="n">
        <v>1</v>
      </c>
      <c r="D1375" t="n">
        <v>0</v>
      </c>
      <c r="E1375" t="s">
        <v>1381</v>
      </c>
      <c r="F1375" t="s"/>
      <c r="G1375" t="s"/>
      <c r="H1375" t="s"/>
      <c r="I1375" t="s"/>
      <c r="J1375" t="n">
        <v>0</v>
      </c>
      <c r="K1375" t="n">
        <v>0</v>
      </c>
      <c r="L1375" t="n">
        <v>1</v>
      </c>
      <c r="M1375" t="n">
        <v>0</v>
      </c>
    </row>
    <row r="1376" spans="1:13">
      <c r="A1376" s="1">
        <f>HYPERLINK("http://www.twitter.com/NathanBLawrence/status/983965044424757249", "983965044424757249")</f>
        <v/>
      </c>
      <c r="B1376" s="2" t="n">
        <v>43201.29770833333</v>
      </c>
      <c r="C1376" t="n">
        <v>0</v>
      </c>
      <c r="D1376" t="n">
        <v>1</v>
      </c>
      <c r="E1376" t="s">
        <v>1382</v>
      </c>
      <c r="F1376" t="s"/>
      <c r="G1376" t="s"/>
      <c r="H1376" t="s"/>
      <c r="I1376" t="s"/>
      <c r="J1376" t="n">
        <v>0</v>
      </c>
      <c r="K1376" t="n">
        <v>0</v>
      </c>
      <c r="L1376" t="n">
        <v>1</v>
      </c>
      <c r="M1376" t="n">
        <v>0</v>
      </c>
    </row>
    <row r="1377" spans="1:13">
      <c r="A1377" s="1">
        <f>HYPERLINK("http://www.twitter.com/NathanBLawrence/status/983964904955707392", "983964904955707392")</f>
        <v/>
      </c>
      <c r="B1377" s="2" t="n">
        <v>43201.29732638889</v>
      </c>
      <c r="C1377" t="n">
        <v>0</v>
      </c>
      <c r="D1377" t="n">
        <v>0</v>
      </c>
      <c r="E1377" t="s">
        <v>1383</v>
      </c>
      <c r="F1377" t="s"/>
      <c r="G1377" t="s"/>
      <c r="H1377" t="s"/>
      <c r="I1377" t="s"/>
      <c r="J1377" t="n">
        <v>-0.3551</v>
      </c>
      <c r="K1377" t="n">
        <v>0.138</v>
      </c>
      <c r="L1377" t="n">
        <v>0.796</v>
      </c>
      <c r="M1377" t="n">
        <v>0.066</v>
      </c>
    </row>
    <row r="1378" spans="1:13">
      <c r="A1378" s="1">
        <f>HYPERLINK("http://www.twitter.com/NathanBLawrence/status/983963456943648768", "983963456943648768")</f>
        <v/>
      </c>
      <c r="B1378" s="2" t="n">
        <v>43201.29332175926</v>
      </c>
      <c r="C1378" t="n">
        <v>0</v>
      </c>
      <c r="D1378" t="n">
        <v>0</v>
      </c>
      <c r="E1378" t="s">
        <v>1384</v>
      </c>
      <c r="F1378" t="s"/>
      <c r="G1378" t="s"/>
      <c r="H1378" t="s"/>
      <c r="I1378" t="s"/>
      <c r="J1378" t="n">
        <v>0.802</v>
      </c>
      <c r="K1378" t="n">
        <v>0</v>
      </c>
      <c r="L1378" t="n">
        <v>0.719</v>
      </c>
      <c r="M1378" t="n">
        <v>0.281</v>
      </c>
    </row>
    <row r="1379" spans="1:13">
      <c r="A1379" s="1">
        <f>HYPERLINK("http://www.twitter.com/NathanBLawrence/status/983960295617024000", "983960295617024000")</f>
        <v/>
      </c>
      <c r="B1379" s="2" t="n">
        <v>43201.28460648148</v>
      </c>
      <c r="C1379" t="n">
        <v>0</v>
      </c>
      <c r="D1379" t="n">
        <v>1</v>
      </c>
      <c r="E1379" t="s">
        <v>1385</v>
      </c>
      <c r="F1379" t="s"/>
      <c r="G1379" t="s"/>
      <c r="H1379" t="s"/>
      <c r="I1379" t="s"/>
      <c r="J1379" t="n">
        <v>0.3612</v>
      </c>
      <c r="K1379" t="n">
        <v>0</v>
      </c>
      <c r="L1379" t="n">
        <v>0.889</v>
      </c>
      <c r="M1379" t="n">
        <v>0.111</v>
      </c>
    </row>
    <row r="1380" spans="1:13">
      <c r="A1380" s="1">
        <f>HYPERLINK("http://www.twitter.com/NathanBLawrence/status/983960192219049984", "983960192219049984")</f>
        <v/>
      </c>
      <c r="B1380" s="2" t="n">
        <v>43201.28431712963</v>
      </c>
      <c r="C1380" t="n">
        <v>0</v>
      </c>
      <c r="D1380" t="n">
        <v>9</v>
      </c>
      <c r="E1380" t="s">
        <v>1386</v>
      </c>
      <c r="F1380" t="s"/>
      <c r="G1380" t="s"/>
      <c r="H1380" t="s"/>
      <c r="I1380" t="s"/>
      <c r="J1380" t="n">
        <v>-0.5106000000000001</v>
      </c>
      <c r="K1380" t="n">
        <v>0.113</v>
      </c>
      <c r="L1380" t="n">
        <v>0.887</v>
      </c>
      <c r="M1380" t="n">
        <v>0</v>
      </c>
    </row>
    <row r="1381" spans="1:13">
      <c r="A1381" s="1">
        <f>HYPERLINK("http://www.twitter.com/NathanBLawrence/status/983959884424196096", "983959884424196096")</f>
        <v/>
      </c>
      <c r="B1381" s="2" t="n">
        <v>43201.28347222223</v>
      </c>
      <c r="C1381" t="n">
        <v>0</v>
      </c>
      <c r="D1381" t="n">
        <v>7</v>
      </c>
      <c r="E1381" t="s">
        <v>1387</v>
      </c>
      <c r="F1381" t="s"/>
      <c r="G1381" t="s"/>
      <c r="H1381" t="s"/>
      <c r="I1381" t="s"/>
      <c r="J1381" t="n">
        <v>-0.6798</v>
      </c>
      <c r="K1381" t="n">
        <v>0.285</v>
      </c>
      <c r="L1381" t="n">
        <v>0.715</v>
      </c>
      <c r="M1381" t="n">
        <v>0</v>
      </c>
    </row>
    <row r="1382" spans="1:13">
      <c r="A1382" s="1">
        <f>HYPERLINK("http://www.twitter.com/NathanBLawrence/status/983959841378062336", "983959841378062336")</f>
        <v/>
      </c>
      <c r="B1382" s="2" t="n">
        <v>43201.28334490741</v>
      </c>
      <c r="C1382" t="n">
        <v>0</v>
      </c>
      <c r="D1382" t="n">
        <v>0</v>
      </c>
      <c r="E1382" t="s">
        <v>1388</v>
      </c>
      <c r="F1382" t="s"/>
      <c r="G1382" t="s"/>
      <c r="H1382" t="s"/>
      <c r="I1382" t="s"/>
      <c r="J1382" t="n">
        <v>0</v>
      </c>
      <c r="K1382" t="n">
        <v>0</v>
      </c>
      <c r="L1382" t="n">
        <v>1</v>
      </c>
      <c r="M1382" t="n">
        <v>0</v>
      </c>
    </row>
    <row r="1383" spans="1:13">
      <c r="A1383" s="1">
        <f>HYPERLINK("http://www.twitter.com/NathanBLawrence/status/983959629397970944", "983959629397970944")</f>
        <v/>
      </c>
      <c r="B1383" s="2" t="n">
        <v>43201.2827662037</v>
      </c>
      <c r="C1383" t="n">
        <v>0</v>
      </c>
      <c r="D1383" t="n">
        <v>25</v>
      </c>
      <c r="E1383" t="s">
        <v>1389</v>
      </c>
      <c r="F1383" t="s"/>
      <c r="G1383" t="s"/>
      <c r="H1383" t="s"/>
      <c r="I1383" t="s"/>
      <c r="J1383" t="n">
        <v>-0.5574</v>
      </c>
      <c r="K1383" t="n">
        <v>0.141</v>
      </c>
      <c r="L1383" t="n">
        <v>0.859</v>
      </c>
      <c r="M1383" t="n">
        <v>0</v>
      </c>
    </row>
    <row r="1384" spans="1:13">
      <c r="A1384" s="1">
        <f>HYPERLINK("http://www.twitter.com/NathanBLawrence/status/983959454436810753", "983959454436810753")</f>
        <v/>
      </c>
      <c r="B1384" s="2" t="n">
        <v>43201.28228009259</v>
      </c>
      <c r="C1384" t="n">
        <v>0</v>
      </c>
      <c r="D1384" t="n">
        <v>0</v>
      </c>
      <c r="E1384" t="s">
        <v>1390</v>
      </c>
      <c r="F1384" t="s"/>
      <c r="G1384" t="s"/>
      <c r="H1384" t="s"/>
      <c r="I1384" t="s"/>
      <c r="J1384" t="n">
        <v>0</v>
      </c>
      <c r="K1384" t="n">
        <v>0.05</v>
      </c>
      <c r="L1384" t="n">
        <v>0.899</v>
      </c>
      <c r="M1384" t="n">
        <v>0.05</v>
      </c>
    </row>
    <row r="1385" spans="1:13">
      <c r="A1385" s="1">
        <f>HYPERLINK("http://www.twitter.com/NathanBLawrence/status/983956383098900480", "983956383098900480")</f>
        <v/>
      </c>
      <c r="B1385" s="2" t="n">
        <v>43201.27380787037</v>
      </c>
      <c r="C1385" t="n">
        <v>0</v>
      </c>
      <c r="D1385" t="n">
        <v>9</v>
      </c>
      <c r="E1385" t="s">
        <v>1391</v>
      </c>
      <c r="F1385" t="s"/>
      <c r="G1385" t="s"/>
      <c r="H1385" t="s"/>
      <c r="I1385" t="s"/>
      <c r="J1385" t="n">
        <v>-0.5994</v>
      </c>
      <c r="K1385" t="n">
        <v>0.218</v>
      </c>
      <c r="L1385" t="n">
        <v>0.782</v>
      </c>
      <c r="M1385" t="n">
        <v>0</v>
      </c>
    </row>
    <row r="1386" spans="1:13">
      <c r="A1386" s="1">
        <f>HYPERLINK("http://www.twitter.com/NathanBLawrence/status/983956188277739520", "983956188277739520")</f>
        <v/>
      </c>
      <c r="B1386" s="2" t="n">
        <v>43201.27326388889</v>
      </c>
      <c r="C1386" t="n">
        <v>0</v>
      </c>
      <c r="D1386" t="n">
        <v>3</v>
      </c>
      <c r="E1386" t="s">
        <v>1392</v>
      </c>
      <c r="F1386" t="s"/>
      <c r="G1386" t="s"/>
      <c r="H1386" t="s"/>
      <c r="I1386" t="s"/>
      <c r="J1386" t="n">
        <v>0</v>
      </c>
      <c r="K1386" t="n">
        <v>0</v>
      </c>
      <c r="L1386" t="n">
        <v>1</v>
      </c>
      <c r="M1386" t="n">
        <v>0</v>
      </c>
    </row>
    <row r="1387" spans="1:13">
      <c r="A1387" s="1">
        <f>HYPERLINK("http://www.twitter.com/NathanBLawrence/status/983956148154982400", "983956148154982400")</f>
        <v/>
      </c>
      <c r="B1387" s="2" t="n">
        <v>43201.27315972222</v>
      </c>
      <c r="C1387" t="n">
        <v>0</v>
      </c>
      <c r="D1387" t="n">
        <v>362</v>
      </c>
      <c r="E1387" t="s">
        <v>1393</v>
      </c>
      <c r="F1387">
        <f>HYPERLINK("https://video.twimg.com/amplify_video/983922554581803008/vid/1280x720/UPv8ChgKCp9rk8HI.mp4?tag=2", "https://video.twimg.com/amplify_video/983922554581803008/vid/1280x720/UPv8ChgKCp9rk8HI.mp4?tag=2")</f>
        <v/>
      </c>
      <c r="G1387" t="s"/>
      <c r="H1387" t="s"/>
      <c r="I1387" t="s"/>
      <c r="J1387" t="n">
        <v>0.6239</v>
      </c>
      <c r="K1387" t="n">
        <v>0</v>
      </c>
      <c r="L1387" t="n">
        <v>0.746</v>
      </c>
      <c r="M1387" t="n">
        <v>0.254</v>
      </c>
    </row>
    <row r="1388" spans="1:13">
      <c r="A1388" s="1">
        <f>HYPERLINK("http://www.twitter.com/NathanBLawrence/status/983956129628737536", "983956129628737536")</f>
        <v/>
      </c>
      <c r="B1388" s="2" t="n">
        <v>43201.27310185185</v>
      </c>
      <c r="C1388" t="n">
        <v>0</v>
      </c>
      <c r="D1388" t="n">
        <v>13</v>
      </c>
      <c r="E1388" t="s">
        <v>1394</v>
      </c>
      <c r="F1388" t="s"/>
      <c r="G1388" t="s"/>
      <c r="H1388" t="s"/>
      <c r="I1388" t="s"/>
      <c r="J1388" t="n">
        <v>0.6597</v>
      </c>
      <c r="K1388" t="n">
        <v>0</v>
      </c>
      <c r="L1388" t="n">
        <v>0.787</v>
      </c>
      <c r="M1388" t="n">
        <v>0.213</v>
      </c>
    </row>
    <row r="1389" spans="1:13">
      <c r="A1389" s="1">
        <f>HYPERLINK("http://www.twitter.com/NathanBLawrence/status/983954441769537536", "983954441769537536")</f>
        <v/>
      </c>
      <c r="B1389" s="2" t="n">
        <v>43201.26844907407</v>
      </c>
      <c r="C1389" t="n">
        <v>0</v>
      </c>
      <c r="D1389" t="n">
        <v>9</v>
      </c>
      <c r="E1389" t="s">
        <v>1395</v>
      </c>
      <c r="F1389">
        <f>HYPERLINK("http://pbs.twimg.com/media/Dadnqr6UwAIJdIq.jpg", "http://pbs.twimg.com/media/Dadnqr6UwAIJdIq.jpg")</f>
        <v/>
      </c>
      <c r="G1389" t="s"/>
      <c r="H1389" t="s"/>
      <c r="I1389" t="s"/>
      <c r="J1389" t="n">
        <v>0.7506</v>
      </c>
      <c r="K1389" t="n">
        <v>0</v>
      </c>
      <c r="L1389" t="n">
        <v>0.632</v>
      </c>
      <c r="M1389" t="n">
        <v>0.368</v>
      </c>
    </row>
    <row r="1390" spans="1:13">
      <c r="A1390" s="1">
        <f>HYPERLINK("http://www.twitter.com/NathanBLawrence/status/983953661159182336", "983953661159182336")</f>
        <v/>
      </c>
      <c r="B1390" s="2" t="n">
        <v>43201.26629629629</v>
      </c>
      <c r="C1390" t="n">
        <v>1</v>
      </c>
      <c r="D1390" t="n">
        <v>0</v>
      </c>
      <c r="E1390" t="s">
        <v>1396</v>
      </c>
      <c r="F1390" t="s"/>
      <c r="G1390" t="s"/>
      <c r="H1390" t="s"/>
      <c r="I1390" t="s"/>
      <c r="J1390" t="n">
        <v>-0.4767</v>
      </c>
      <c r="K1390" t="n">
        <v>0.256</v>
      </c>
      <c r="L1390" t="n">
        <v>0.744</v>
      </c>
      <c r="M1390" t="n">
        <v>0</v>
      </c>
    </row>
    <row r="1391" spans="1:13">
      <c r="A1391" s="1">
        <f>HYPERLINK("http://www.twitter.com/NathanBLawrence/status/983953287341854720", "983953287341854720")</f>
        <v/>
      </c>
      <c r="B1391" s="2" t="n">
        <v>43201.26526620371</v>
      </c>
      <c r="C1391" t="n">
        <v>2</v>
      </c>
      <c r="D1391" t="n">
        <v>0</v>
      </c>
      <c r="E1391" t="s">
        <v>1397</v>
      </c>
      <c r="F1391" t="s"/>
      <c r="G1391" t="s"/>
      <c r="H1391" t="s"/>
      <c r="I1391" t="s"/>
      <c r="J1391" t="n">
        <v>0.2023</v>
      </c>
      <c r="K1391" t="n">
        <v>0</v>
      </c>
      <c r="L1391" t="n">
        <v>0.9419999999999999</v>
      </c>
      <c r="M1391" t="n">
        <v>0.058</v>
      </c>
    </row>
    <row r="1392" spans="1:13">
      <c r="A1392" s="1">
        <f>HYPERLINK("http://www.twitter.com/NathanBLawrence/status/983951156845178880", "983951156845178880")</f>
        <v/>
      </c>
      <c r="B1392" s="2" t="n">
        <v>43201.25938657407</v>
      </c>
      <c r="C1392" t="n">
        <v>0</v>
      </c>
      <c r="D1392" t="n">
        <v>31</v>
      </c>
      <c r="E1392" t="s">
        <v>1398</v>
      </c>
      <c r="F1392" t="s"/>
      <c r="G1392" t="s"/>
      <c r="H1392" t="s"/>
      <c r="I1392" t="s"/>
      <c r="J1392" t="n">
        <v>-0.2421</v>
      </c>
      <c r="K1392" t="n">
        <v>0.186</v>
      </c>
      <c r="L1392" t="n">
        <v>0.674</v>
      </c>
      <c r="M1392" t="n">
        <v>0.14</v>
      </c>
    </row>
    <row r="1393" spans="1:13">
      <c r="A1393" s="1">
        <f>HYPERLINK("http://www.twitter.com/NathanBLawrence/status/983951041845751808", "983951041845751808")</f>
        <v/>
      </c>
      <c r="B1393" s="2" t="n">
        <v>43201.2590625</v>
      </c>
      <c r="C1393" t="n">
        <v>0</v>
      </c>
      <c r="D1393" t="n">
        <v>20</v>
      </c>
      <c r="E1393" t="s">
        <v>1399</v>
      </c>
      <c r="F1393" t="s"/>
      <c r="G1393" t="s"/>
      <c r="H1393" t="s"/>
      <c r="I1393" t="s"/>
      <c r="J1393" t="n">
        <v>-0.5423</v>
      </c>
      <c r="K1393" t="n">
        <v>0.127</v>
      </c>
      <c r="L1393" t="n">
        <v>0.873</v>
      </c>
      <c r="M1393" t="n">
        <v>0</v>
      </c>
    </row>
    <row r="1394" spans="1:13">
      <c r="A1394" s="1">
        <f>HYPERLINK("http://www.twitter.com/NathanBLawrence/status/983950985080000512", "983950985080000512")</f>
        <v/>
      </c>
      <c r="B1394" s="2" t="n">
        <v>43201.25891203704</v>
      </c>
      <c r="C1394" t="n">
        <v>9</v>
      </c>
      <c r="D1394" t="n">
        <v>0</v>
      </c>
      <c r="E1394" t="s">
        <v>1400</v>
      </c>
      <c r="F1394" t="s"/>
      <c r="G1394" t="s"/>
      <c r="H1394" t="s"/>
      <c r="I1394" t="s"/>
      <c r="J1394" t="n">
        <v>0.6745</v>
      </c>
      <c r="K1394" t="n">
        <v>0.039</v>
      </c>
      <c r="L1394" t="n">
        <v>0.8120000000000001</v>
      </c>
      <c r="M1394" t="n">
        <v>0.149</v>
      </c>
    </row>
    <row r="1395" spans="1:13">
      <c r="A1395" s="1">
        <f>HYPERLINK("http://www.twitter.com/NathanBLawrence/status/983948341678665730", "983948341678665730")</f>
        <v/>
      </c>
      <c r="B1395" s="2" t="n">
        <v>43201.25162037037</v>
      </c>
      <c r="C1395" t="n">
        <v>0</v>
      </c>
      <c r="D1395" t="n">
        <v>0</v>
      </c>
      <c r="E1395" t="s">
        <v>1401</v>
      </c>
      <c r="F1395" t="s"/>
      <c r="G1395" t="s"/>
      <c r="H1395" t="s"/>
      <c r="I1395" t="s"/>
      <c r="J1395" t="n">
        <v>-0.7756999999999999</v>
      </c>
      <c r="K1395" t="n">
        <v>0.24</v>
      </c>
      <c r="L1395" t="n">
        <v>0.618</v>
      </c>
      <c r="M1395" t="n">
        <v>0.142</v>
      </c>
    </row>
    <row r="1396" spans="1:13">
      <c r="A1396" s="1">
        <f>HYPERLINK("http://www.twitter.com/NathanBLawrence/status/983943168910602240", "983943168910602240")</f>
        <v/>
      </c>
      <c r="B1396" s="2" t="n">
        <v>43201.23733796296</v>
      </c>
      <c r="C1396" t="n">
        <v>0</v>
      </c>
      <c r="D1396" t="n">
        <v>10</v>
      </c>
      <c r="E1396" t="s">
        <v>1402</v>
      </c>
      <c r="F1396" t="s"/>
      <c r="G1396" t="s"/>
      <c r="H1396" t="s"/>
      <c r="I1396" t="s"/>
      <c r="J1396" t="n">
        <v>-0.3612</v>
      </c>
      <c r="K1396" t="n">
        <v>0.2</v>
      </c>
      <c r="L1396" t="n">
        <v>0.6909999999999999</v>
      </c>
      <c r="M1396" t="n">
        <v>0.109</v>
      </c>
    </row>
    <row r="1397" spans="1:13">
      <c r="A1397" s="1">
        <f>HYPERLINK("http://www.twitter.com/NathanBLawrence/status/983324032278941696", "983324032278941696")</f>
        <v/>
      </c>
      <c r="B1397" s="2" t="n">
        <v>43199.52885416667</v>
      </c>
      <c r="C1397" t="n">
        <v>0</v>
      </c>
      <c r="D1397" t="n">
        <v>0</v>
      </c>
      <c r="E1397" t="s">
        <v>1403</v>
      </c>
      <c r="F1397" t="s"/>
      <c r="G1397" t="s"/>
      <c r="H1397" t="s"/>
      <c r="I1397" t="s"/>
      <c r="J1397" t="n">
        <v>-0.296</v>
      </c>
      <c r="K1397" t="n">
        <v>0.145</v>
      </c>
      <c r="L1397" t="n">
        <v>0.855</v>
      </c>
      <c r="M1397" t="n">
        <v>0</v>
      </c>
    </row>
    <row r="1398" spans="1:13">
      <c r="A1398" s="1">
        <f>HYPERLINK("http://www.twitter.com/NathanBLawrence/status/983125942334783489", "983125942334783489")</f>
        <v/>
      </c>
      <c r="B1398" s="2" t="n">
        <v>43198.98222222222</v>
      </c>
      <c r="C1398" t="n">
        <v>0</v>
      </c>
      <c r="D1398" t="n">
        <v>9</v>
      </c>
      <c r="E1398" t="s">
        <v>1404</v>
      </c>
      <c r="F1398">
        <f>HYPERLINK("http://pbs.twimg.com/media/DaTCc23W4AA5fMy.jpg", "http://pbs.twimg.com/media/DaTCc23W4AA5fMy.jpg")</f>
        <v/>
      </c>
      <c r="G1398" t="s"/>
      <c r="H1398" t="s"/>
      <c r="I1398" t="s"/>
      <c r="J1398" t="n">
        <v>-0.6486</v>
      </c>
      <c r="K1398" t="n">
        <v>0.209</v>
      </c>
      <c r="L1398" t="n">
        <v>0.791</v>
      </c>
      <c r="M1398" t="n">
        <v>0</v>
      </c>
    </row>
    <row r="1399" spans="1:13">
      <c r="A1399" s="1">
        <f>HYPERLINK("http://www.twitter.com/NathanBLawrence/status/983125881991434241", "983125881991434241")</f>
        <v/>
      </c>
      <c r="B1399" s="2" t="n">
        <v>43198.98206018518</v>
      </c>
      <c r="C1399" t="n">
        <v>0</v>
      </c>
      <c r="D1399" t="n">
        <v>9</v>
      </c>
      <c r="E1399" t="s">
        <v>1405</v>
      </c>
      <c r="F1399">
        <f>HYPERLINK("http://pbs.twimg.com/media/DaS-3-TV4AAG0_7.jpg", "http://pbs.twimg.com/media/DaS-3-TV4AAG0_7.jpg")</f>
        <v/>
      </c>
      <c r="G1399" t="s"/>
      <c r="H1399" t="s"/>
      <c r="I1399" t="s"/>
      <c r="J1399" t="n">
        <v>-0.25</v>
      </c>
      <c r="K1399" t="n">
        <v>0.106</v>
      </c>
      <c r="L1399" t="n">
        <v>0.833</v>
      </c>
      <c r="M1399" t="n">
        <v>0.06</v>
      </c>
    </row>
    <row r="1400" spans="1:13">
      <c r="A1400" s="1">
        <f>HYPERLINK("http://www.twitter.com/NathanBLawrence/status/983125837980618752", "983125837980618752")</f>
        <v/>
      </c>
      <c r="B1400" s="2" t="n">
        <v>43198.98194444444</v>
      </c>
      <c r="C1400" t="n">
        <v>2</v>
      </c>
      <c r="D1400" t="n">
        <v>0</v>
      </c>
      <c r="E1400" t="s">
        <v>1406</v>
      </c>
      <c r="F1400" t="s"/>
      <c r="G1400" t="s"/>
      <c r="H1400" t="s"/>
      <c r="I1400" t="s"/>
      <c r="J1400" t="n">
        <v>0.5837</v>
      </c>
      <c r="K1400" t="n">
        <v>0</v>
      </c>
      <c r="L1400" t="n">
        <v>0.514</v>
      </c>
      <c r="M1400" t="n">
        <v>0.486</v>
      </c>
    </row>
    <row r="1401" spans="1:13">
      <c r="A1401" s="1">
        <f>HYPERLINK("http://www.twitter.com/NathanBLawrence/status/983125683663785986", "983125683663785986")</f>
        <v/>
      </c>
      <c r="B1401" s="2" t="n">
        <v>43198.9815162037</v>
      </c>
      <c r="C1401" t="n">
        <v>0</v>
      </c>
      <c r="D1401" t="n">
        <v>9</v>
      </c>
      <c r="E1401" t="s">
        <v>1407</v>
      </c>
      <c r="F1401">
        <f>HYPERLINK("http://pbs.twimg.com/media/DaS92StUwAEnMNw.jpg", "http://pbs.twimg.com/media/DaS92StUwAEnMNw.jpg")</f>
        <v/>
      </c>
      <c r="G1401" t="s"/>
      <c r="H1401" t="s"/>
      <c r="I1401" t="s"/>
      <c r="J1401" t="n">
        <v>0.5574</v>
      </c>
      <c r="K1401" t="n">
        <v>0</v>
      </c>
      <c r="L1401" t="n">
        <v>0.82</v>
      </c>
      <c r="M1401" t="n">
        <v>0.18</v>
      </c>
    </row>
    <row r="1402" spans="1:13">
      <c r="A1402" s="1">
        <f>HYPERLINK("http://www.twitter.com/NathanBLawrence/status/983125597122637824", "983125597122637824")</f>
        <v/>
      </c>
      <c r="B1402" s="2" t="n">
        <v>43198.98127314815</v>
      </c>
      <c r="C1402" t="n">
        <v>0</v>
      </c>
      <c r="D1402" t="n">
        <v>4</v>
      </c>
      <c r="E1402" t="s">
        <v>1408</v>
      </c>
      <c r="F1402">
        <f>HYPERLINK("http://pbs.twimg.com/media/DaS82aGX0AI23Dr.jpg", "http://pbs.twimg.com/media/DaS82aGX0AI23Dr.jpg")</f>
        <v/>
      </c>
      <c r="G1402">
        <f>HYPERLINK("http://pbs.twimg.com/media/DaS82aCXcAAnLYe.jpg", "http://pbs.twimg.com/media/DaS82aCXcAAnLYe.jpg")</f>
        <v/>
      </c>
      <c r="H1402" t="s"/>
      <c r="I1402" t="s"/>
      <c r="J1402" t="n">
        <v>-0.765</v>
      </c>
      <c r="K1402" t="n">
        <v>0.239</v>
      </c>
      <c r="L1402" t="n">
        <v>0.761</v>
      </c>
      <c r="M1402" t="n">
        <v>0</v>
      </c>
    </row>
    <row r="1403" spans="1:13">
      <c r="A1403" s="1">
        <f>HYPERLINK("http://www.twitter.com/NathanBLawrence/status/983125560518938624", "983125560518938624")</f>
        <v/>
      </c>
      <c r="B1403" s="2" t="n">
        <v>43198.98116898148</v>
      </c>
      <c r="C1403" t="n">
        <v>0</v>
      </c>
      <c r="D1403" t="n">
        <v>7</v>
      </c>
      <c r="E1403" t="s">
        <v>1409</v>
      </c>
      <c r="F1403">
        <f>HYPERLINK("http://pbs.twimg.com/media/DaS6tcMWsAEhnKV.jpg", "http://pbs.twimg.com/media/DaS6tcMWsAEhnKV.jpg")</f>
        <v/>
      </c>
      <c r="G1403" t="s"/>
      <c r="H1403" t="s"/>
      <c r="I1403" t="s"/>
      <c r="J1403" t="n">
        <v>0</v>
      </c>
      <c r="K1403" t="n">
        <v>0</v>
      </c>
      <c r="L1403" t="n">
        <v>1</v>
      </c>
      <c r="M1403" t="n">
        <v>0</v>
      </c>
    </row>
    <row r="1404" spans="1:13">
      <c r="A1404" s="1">
        <f>HYPERLINK("http://www.twitter.com/NathanBLawrence/status/983125524829622272", "983125524829622272")</f>
        <v/>
      </c>
      <c r="B1404" s="2" t="n">
        <v>43198.98107638889</v>
      </c>
      <c r="C1404" t="n">
        <v>0</v>
      </c>
      <c r="D1404" t="n">
        <v>3</v>
      </c>
      <c r="E1404" t="s">
        <v>1410</v>
      </c>
      <c r="F1404" t="s"/>
      <c r="G1404" t="s"/>
      <c r="H1404" t="s"/>
      <c r="I1404" t="s"/>
      <c r="J1404" t="n">
        <v>0.5859</v>
      </c>
      <c r="K1404" t="n">
        <v>0</v>
      </c>
      <c r="L1404" t="n">
        <v>0.798</v>
      </c>
      <c r="M1404" t="n">
        <v>0.202</v>
      </c>
    </row>
    <row r="1405" spans="1:13">
      <c r="A1405" s="1">
        <f>HYPERLINK("http://www.twitter.com/NathanBLawrence/status/983125506353745920", "983125506353745920")</f>
        <v/>
      </c>
      <c r="B1405" s="2" t="n">
        <v>43198.98101851852</v>
      </c>
      <c r="C1405" t="n">
        <v>0</v>
      </c>
      <c r="D1405" t="n">
        <v>6</v>
      </c>
      <c r="E1405" t="s">
        <v>1411</v>
      </c>
      <c r="F1405" t="s"/>
      <c r="G1405" t="s"/>
      <c r="H1405" t="s"/>
      <c r="I1405" t="s"/>
      <c r="J1405" t="n">
        <v>-0.4019</v>
      </c>
      <c r="K1405" t="n">
        <v>0.119</v>
      </c>
      <c r="L1405" t="n">
        <v>0.881</v>
      </c>
      <c r="M1405" t="n">
        <v>0</v>
      </c>
    </row>
    <row r="1406" spans="1:13">
      <c r="A1406" s="1">
        <f>HYPERLINK("http://www.twitter.com/NathanBLawrence/status/983125488074977282", "983125488074977282")</f>
        <v/>
      </c>
      <c r="B1406" s="2" t="n">
        <v>43198.98097222222</v>
      </c>
      <c r="C1406" t="n">
        <v>0</v>
      </c>
      <c r="D1406" t="n">
        <v>8</v>
      </c>
      <c r="E1406" t="s">
        <v>1412</v>
      </c>
      <c r="F1406">
        <f>HYPERLINK("https://video.twimg.com/ext_tw_video/983114017827942402/pu/vid/320x180/GC84kSFAV4QH-hwF.mp4?tag=2", "https://video.twimg.com/ext_tw_video/983114017827942402/pu/vid/320x180/GC84kSFAV4QH-hwF.mp4?tag=2")</f>
        <v/>
      </c>
      <c r="G1406" t="s"/>
      <c r="H1406" t="s"/>
      <c r="I1406" t="s"/>
      <c r="J1406" t="n">
        <v>-0.2023</v>
      </c>
      <c r="K1406" t="n">
        <v>0.139</v>
      </c>
      <c r="L1406" t="n">
        <v>0.754</v>
      </c>
      <c r="M1406" t="n">
        <v>0.107</v>
      </c>
    </row>
    <row r="1407" spans="1:13">
      <c r="A1407" s="1">
        <f>HYPERLINK("http://www.twitter.com/NathanBLawrence/status/983125426343219200", "983125426343219200")</f>
        <v/>
      </c>
      <c r="B1407" s="2" t="n">
        <v>43198.98079861111</v>
      </c>
      <c r="C1407" t="n">
        <v>0</v>
      </c>
      <c r="D1407" t="n">
        <v>8</v>
      </c>
      <c r="E1407" t="s">
        <v>1413</v>
      </c>
      <c r="F1407">
        <f>HYPERLINK("http://pbs.twimg.com/media/DaS3hDZWAAAG2o4.jpg", "http://pbs.twimg.com/media/DaS3hDZWAAAG2o4.jpg")</f>
        <v/>
      </c>
      <c r="G1407">
        <f>HYPERLINK("http://pbs.twimg.com/media/DaS3hDZX0AA7pOb.jpg", "http://pbs.twimg.com/media/DaS3hDZX0AA7pOb.jpg")</f>
        <v/>
      </c>
      <c r="H1407" t="s"/>
      <c r="I1407" t="s"/>
      <c r="J1407" t="n">
        <v>-0.5266999999999999</v>
      </c>
      <c r="K1407" t="n">
        <v>0.134</v>
      </c>
      <c r="L1407" t="n">
        <v>0.866</v>
      </c>
      <c r="M1407" t="n">
        <v>0</v>
      </c>
    </row>
    <row r="1408" spans="1:13">
      <c r="A1408" s="1">
        <f>HYPERLINK("http://www.twitter.com/NathanBLawrence/status/983125401202577409", "983125401202577409")</f>
        <v/>
      </c>
      <c r="B1408" s="2" t="n">
        <v>43198.98072916667</v>
      </c>
      <c r="C1408" t="n">
        <v>0</v>
      </c>
      <c r="D1408" t="n">
        <v>3</v>
      </c>
      <c r="E1408" t="s">
        <v>1414</v>
      </c>
      <c r="F1408">
        <f>HYPERLINK("http://pbs.twimg.com/media/DaSxTL2WAAAK-ai.jpg", "http://pbs.twimg.com/media/DaSxTL2WAAAK-ai.jpg")</f>
        <v/>
      </c>
      <c r="G1408" t="s"/>
      <c r="H1408" t="s"/>
      <c r="I1408" t="s"/>
      <c r="J1408" t="n">
        <v>0.4588</v>
      </c>
      <c r="K1408" t="n">
        <v>0</v>
      </c>
      <c r="L1408" t="n">
        <v>0.87</v>
      </c>
      <c r="M1408" t="n">
        <v>0.13</v>
      </c>
    </row>
    <row r="1409" spans="1:13">
      <c r="A1409" s="1">
        <f>HYPERLINK("http://www.twitter.com/NathanBLawrence/status/983125381556457472", "983125381556457472")</f>
        <v/>
      </c>
      <c r="B1409" s="2" t="n">
        <v>43198.98068287037</v>
      </c>
      <c r="C1409" t="n">
        <v>0</v>
      </c>
      <c r="D1409" t="n">
        <v>8</v>
      </c>
      <c r="E1409" t="s">
        <v>1415</v>
      </c>
      <c r="F1409">
        <f>HYPERLINK("http://pbs.twimg.com/media/DaSwfhuWAAAi1hl.jpg", "http://pbs.twimg.com/media/DaSwfhuWAAAi1hl.jpg")</f>
        <v/>
      </c>
      <c r="G1409" t="s"/>
      <c r="H1409" t="s"/>
      <c r="I1409" t="s"/>
      <c r="J1409" t="n">
        <v>0.4588</v>
      </c>
      <c r="K1409" t="n">
        <v>0</v>
      </c>
      <c r="L1409" t="n">
        <v>0.875</v>
      </c>
      <c r="M1409" t="n">
        <v>0.125</v>
      </c>
    </row>
    <row r="1410" spans="1:13">
      <c r="A1410" s="1">
        <f>HYPERLINK("http://www.twitter.com/NathanBLawrence/status/983125358466789376", "983125358466789376")</f>
        <v/>
      </c>
      <c r="B1410" s="2" t="n">
        <v>43198.98061342593</v>
      </c>
      <c r="C1410" t="n">
        <v>0</v>
      </c>
      <c r="D1410" t="n">
        <v>5</v>
      </c>
      <c r="E1410" t="s">
        <v>1416</v>
      </c>
      <c r="F1410">
        <f>HYPERLINK("http://pbs.twimg.com/media/DaSu-WvVQAEiXDG.jpg", "http://pbs.twimg.com/media/DaSu-WvVQAEiXDG.jpg")</f>
        <v/>
      </c>
      <c r="G1410" t="s"/>
      <c r="H1410" t="s"/>
      <c r="I1410" t="s"/>
      <c r="J1410" t="n">
        <v>0</v>
      </c>
      <c r="K1410" t="n">
        <v>0</v>
      </c>
      <c r="L1410" t="n">
        <v>1</v>
      </c>
      <c r="M1410" t="n">
        <v>0</v>
      </c>
    </row>
    <row r="1411" spans="1:13">
      <c r="A1411" s="1">
        <f>HYPERLINK("http://www.twitter.com/NathanBLawrence/status/983125290854572032", "983125290854572032")</f>
        <v/>
      </c>
      <c r="B1411" s="2" t="n">
        <v>43198.98042824074</v>
      </c>
      <c r="C1411" t="n">
        <v>0</v>
      </c>
      <c r="D1411" t="n">
        <v>4</v>
      </c>
      <c r="E1411" t="s">
        <v>1417</v>
      </c>
      <c r="F1411" t="s"/>
      <c r="G1411" t="s"/>
      <c r="H1411" t="s"/>
      <c r="I1411" t="s"/>
      <c r="J1411" t="n">
        <v>-0.5719</v>
      </c>
      <c r="K1411" t="n">
        <v>0.183</v>
      </c>
      <c r="L1411" t="n">
        <v>0.8169999999999999</v>
      </c>
      <c r="M1411" t="n">
        <v>0</v>
      </c>
    </row>
    <row r="1412" spans="1:13">
      <c r="A1412" s="1">
        <f>HYPERLINK("http://www.twitter.com/NathanBLawrence/status/983125255706333185", "983125255706333185")</f>
        <v/>
      </c>
      <c r="B1412" s="2" t="n">
        <v>43198.98033564815</v>
      </c>
      <c r="C1412" t="n">
        <v>0</v>
      </c>
      <c r="D1412" t="n">
        <v>9</v>
      </c>
      <c r="E1412" t="s">
        <v>1418</v>
      </c>
      <c r="F1412">
        <f>HYPERLINK("http://pbs.twimg.com/media/DaSr1FcUQAAXyP0.jpg", "http://pbs.twimg.com/media/DaSr1FcUQAAXyP0.jpg")</f>
        <v/>
      </c>
      <c r="G1412" t="s"/>
      <c r="H1412" t="s"/>
      <c r="I1412" t="s"/>
      <c r="J1412" t="n">
        <v>-0.6249</v>
      </c>
      <c r="K1412" t="n">
        <v>0.195</v>
      </c>
      <c r="L1412" t="n">
        <v>0.805</v>
      </c>
      <c r="M1412" t="n">
        <v>0</v>
      </c>
    </row>
    <row r="1413" spans="1:13">
      <c r="A1413" s="1">
        <f>HYPERLINK("http://www.twitter.com/NathanBLawrence/status/983125229299011584", "983125229299011584")</f>
        <v/>
      </c>
      <c r="B1413" s="2" t="n">
        <v>43198.98025462963</v>
      </c>
      <c r="C1413" t="n">
        <v>0</v>
      </c>
      <c r="D1413" t="n">
        <v>7</v>
      </c>
      <c r="E1413" t="s">
        <v>1419</v>
      </c>
      <c r="F1413" t="s"/>
      <c r="G1413" t="s"/>
      <c r="H1413" t="s"/>
      <c r="I1413" t="s"/>
      <c r="J1413" t="n">
        <v>0.6486</v>
      </c>
      <c r="K1413" t="n">
        <v>0</v>
      </c>
      <c r="L1413" t="n">
        <v>0.791</v>
      </c>
      <c r="M1413" t="n">
        <v>0.209</v>
      </c>
    </row>
    <row r="1414" spans="1:13">
      <c r="A1414" s="1">
        <f>HYPERLINK("http://www.twitter.com/NathanBLawrence/status/983125179332284417", "983125179332284417")</f>
        <v/>
      </c>
      <c r="B1414" s="2" t="n">
        <v>43198.98011574074</v>
      </c>
      <c r="C1414" t="n">
        <v>0</v>
      </c>
      <c r="D1414" t="n">
        <v>11</v>
      </c>
      <c r="E1414" t="s">
        <v>1420</v>
      </c>
      <c r="F1414">
        <f>HYPERLINK("http://pbs.twimg.com/media/DaSp5BsVQAA3lY_.jpg", "http://pbs.twimg.com/media/DaSp5BsVQAA3lY_.jpg")</f>
        <v/>
      </c>
      <c r="G1414" t="s"/>
      <c r="H1414" t="s"/>
      <c r="I1414" t="s"/>
      <c r="J1414" t="n">
        <v>0</v>
      </c>
      <c r="K1414" t="n">
        <v>0</v>
      </c>
      <c r="L1414" t="n">
        <v>1</v>
      </c>
      <c r="M1414" t="n">
        <v>0</v>
      </c>
    </row>
    <row r="1415" spans="1:13">
      <c r="A1415" s="1">
        <f>HYPERLINK("http://www.twitter.com/NathanBLawrence/status/983125138077085696", "983125138077085696")</f>
        <v/>
      </c>
      <c r="B1415" s="2" t="n">
        <v>43198.98001157407</v>
      </c>
      <c r="C1415" t="n">
        <v>0</v>
      </c>
      <c r="D1415" t="n">
        <v>7</v>
      </c>
      <c r="E1415" t="s">
        <v>1421</v>
      </c>
      <c r="F1415">
        <f>HYPERLINK("http://pbs.twimg.com/media/DaSopfnVMAAvBdc.jpg", "http://pbs.twimg.com/media/DaSopfnVMAAvBdc.jpg")</f>
        <v/>
      </c>
      <c r="G1415" t="s"/>
      <c r="H1415" t="s"/>
      <c r="I1415" t="s"/>
      <c r="J1415" t="n">
        <v>0</v>
      </c>
      <c r="K1415" t="n">
        <v>0</v>
      </c>
      <c r="L1415" t="n">
        <v>1</v>
      </c>
      <c r="M1415" t="n">
        <v>0</v>
      </c>
    </row>
    <row r="1416" spans="1:13">
      <c r="A1416" s="1">
        <f>HYPERLINK("http://www.twitter.com/NathanBLawrence/status/983125064941031424", "983125064941031424")</f>
        <v/>
      </c>
      <c r="B1416" s="2" t="n">
        <v>43198.97980324074</v>
      </c>
      <c r="C1416" t="n">
        <v>0</v>
      </c>
      <c r="D1416" t="n">
        <v>10</v>
      </c>
      <c r="E1416" t="s">
        <v>1422</v>
      </c>
      <c r="F1416">
        <f>HYPERLINK("http://pbs.twimg.com/media/DaSoCi3UMAApIc9.jpg", "http://pbs.twimg.com/media/DaSoCi3UMAApIc9.jpg")</f>
        <v/>
      </c>
      <c r="G1416" t="s"/>
      <c r="H1416" t="s"/>
      <c r="I1416" t="s"/>
      <c r="J1416" t="n">
        <v>0</v>
      </c>
      <c r="K1416" t="n">
        <v>0</v>
      </c>
      <c r="L1416" t="n">
        <v>1</v>
      </c>
      <c r="M1416" t="n">
        <v>0</v>
      </c>
    </row>
    <row r="1417" spans="1:13">
      <c r="A1417" s="1">
        <f>HYPERLINK("http://www.twitter.com/NathanBLawrence/status/983125027141947393", "983125027141947393")</f>
        <v/>
      </c>
      <c r="B1417" s="2" t="n">
        <v>43198.97969907407</v>
      </c>
      <c r="C1417" t="n">
        <v>0</v>
      </c>
      <c r="D1417" t="n">
        <v>18</v>
      </c>
      <c r="E1417" t="s">
        <v>1423</v>
      </c>
      <c r="F1417">
        <f>HYPERLINK("http://pbs.twimg.com/media/DaSnBSnXkAA97Uq.jpg", "http://pbs.twimg.com/media/DaSnBSnXkAA97Uq.jpg")</f>
        <v/>
      </c>
      <c r="G1417" t="s"/>
      <c r="H1417" t="s"/>
      <c r="I1417" t="s"/>
      <c r="J1417" t="n">
        <v>0</v>
      </c>
      <c r="K1417" t="n">
        <v>0</v>
      </c>
      <c r="L1417" t="n">
        <v>1</v>
      </c>
      <c r="M1417" t="n">
        <v>0</v>
      </c>
    </row>
    <row r="1418" spans="1:13">
      <c r="A1418" s="1">
        <f>HYPERLINK("http://www.twitter.com/NathanBLawrence/status/983123570539851776", "983123570539851776")</f>
        <v/>
      </c>
      <c r="B1418" s="2" t="n">
        <v>43198.97568287037</v>
      </c>
      <c r="C1418" t="n">
        <v>0</v>
      </c>
      <c r="D1418" t="n">
        <v>12</v>
      </c>
      <c r="E1418" t="s">
        <v>1424</v>
      </c>
      <c r="F1418">
        <f>HYPERLINK("http://pbs.twimg.com/media/DaSYWSrVAAAV0m8.jpg", "http://pbs.twimg.com/media/DaSYWSrVAAAV0m8.jpg")</f>
        <v/>
      </c>
      <c r="G1418">
        <f>HYPERLINK("http://pbs.twimg.com/media/DaSYW_kVAAAEkuC.jpg", "http://pbs.twimg.com/media/DaSYW_kVAAAEkuC.jpg")</f>
        <v/>
      </c>
      <c r="H1418">
        <f>HYPERLINK("http://pbs.twimg.com/media/DaSYXp0UwAA5bUu.jpg", "http://pbs.twimg.com/media/DaSYXp0UwAA5bUu.jpg")</f>
        <v/>
      </c>
      <c r="I1418">
        <f>HYPERLINK("http://pbs.twimg.com/media/DaSYYFmVAAAfbFq.jpg", "http://pbs.twimg.com/media/DaSYYFmVAAAfbFq.jpg")</f>
        <v/>
      </c>
      <c r="J1418" t="n">
        <v>-0.5266999999999999</v>
      </c>
      <c r="K1418" t="n">
        <v>0.227</v>
      </c>
      <c r="L1418" t="n">
        <v>0.773</v>
      </c>
      <c r="M1418" t="n">
        <v>0</v>
      </c>
    </row>
    <row r="1419" spans="1:13">
      <c r="A1419" s="1">
        <f>HYPERLINK("http://www.twitter.com/NathanBLawrence/status/983122799899365377", "983122799899365377")</f>
        <v/>
      </c>
      <c r="B1419" s="2" t="n">
        <v>43198.97355324074</v>
      </c>
      <c r="C1419" t="n">
        <v>0</v>
      </c>
      <c r="D1419" t="n">
        <v>1</v>
      </c>
      <c r="E1419" t="s">
        <v>1425</v>
      </c>
      <c r="F1419" t="s"/>
      <c r="G1419" t="s"/>
      <c r="H1419" t="s"/>
      <c r="I1419" t="s"/>
      <c r="J1419" t="n">
        <v>0.3182</v>
      </c>
      <c r="K1419" t="n">
        <v>0</v>
      </c>
      <c r="L1419" t="n">
        <v>0.85</v>
      </c>
      <c r="M1419" t="n">
        <v>0.15</v>
      </c>
    </row>
    <row r="1420" spans="1:13">
      <c r="A1420" s="1">
        <f>HYPERLINK("http://www.twitter.com/NathanBLawrence/status/983122519560478720", "983122519560478720")</f>
        <v/>
      </c>
      <c r="B1420" s="2" t="n">
        <v>43198.97277777778</v>
      </c>
      <c r="C1420" t="n">
        <v>0</v>
      </c>
      <c r="D1420" t="n">
        <v>0</v>
      </c>
      <c r="E1420" t="s">
        <v>1426</v>
      </c>
      <c r="F1420" t="s"/>
      <c r="G1420" t="s"/>
      <c r="H1420" t="s"/>
      <c r="I1420" t="s"/>
      <c r="J1420" t="n">
        <v>-0.3612</v>
      </c>
      <c r="K1420" t="n">
        <v>0.2</v>
      </c>
      <c r="L1420" t="n">
        <v>0.8</v>
      </c>
      <c r="M1420" t="n">
        <v>0</v>
      </c>
    </row>
    <row r="1421" spans="1:13">
      <c r="A1421" s="1">
        <f>HYPERLINK("http://www.twitter.com/NathanBLawrence/status/983122304027779072", "983122304027779072")</f>
        <v/>
      </c>
      <c r="B1421" s="2" t="n">
        <v>43198.9721875</v>
      </c>
      <c r="C1421" t="n">
        <v>0</v>
      </c>
      <c r="D1421" t="n">
        <v>19</v>
      </c>
      <c r="E1421" t="s">
        <v>1427</v>
      </c>
      <c r="F1421" t="s"/>
      <c r="G1421" t="s"/>
      <c r="H1421" t="s"/>
      <c r="I1421" t="s"/>
      <c r="J1421" t="n">
        <v>-0.6642</v>
      </c>
      <c r="K1421" t="n">
        <v>0.232</v>
      </c>
      <c r="L1421" t="n">
        <v>0.768</v>
      </c>
      <c r="M1421" t="n">
        <v>0</v>
      </c>
    </row>
    <row r="1422" spans="1:13">
      <c r="A1422" s="1">
        <f>HYPERLINK("http://www.twitter.com/NathanBLawrence/status/983122260885229568", "983122260885229568")</f>
        <v/>
      </c>
      <c r="B1422" s="2" t="n">
        <v>43198.97207175926</v>
      </c>
      <c r="C1422" t="n">
        <v>3</v>
      </c>
      <c r="D1422" t="n">
        <v>0</v>
      </c>
      <c r="E1422" t="s">
        <v>1428</v>
      </c>
      <c r="F1422" t="s"/>
      <c r="G1422" t="s"/>
      <c r="H1422" t="s"/>
      <c r="I1422" t="s"/>
      <c r="J1422" t="n">
        <v>0.5719</v>
      </c>
      <c r="K1422" t="n">
        <v>0</v>
      </c>
      <c r="L1422" t="n">
        <v>0.657</v>
      </c>
      <c r="M1422" t="n">
        <v>0.343</v>
      </c>
    </row>
    <row r="1423" spans="1:13">
      <c r="A1423" s="1">
        <f>HYPERLINK("http://www.twitter.com/NathanBLawrence/status/983121161088315392", "983121161088315392")</f>
        <v/>
      </c>
      <c r="B1423" s="2" t="n">
        <v>43198.96902777778</v>
      </c>
      <c r="C1423" t="n">
        <v>4</v>
      </c>
      <c r="D1423" t="n">
        <v>0</v>
      </c>
      <c r="E1423" t="s">
        <v>1429</v>
      </c>
      <c r="F1423" t="s"/>
      <c r="G1423" t="s"/>
      <c r="H1423" t="s"/>
      <c r="I1423" t="s"/>
      <c r="J1423" t="n">
        <v>-0.2023</v>
      </c>
      <c r="K1423" t="n">
        <v>0.153</v>
      </c>
      <c r="L1423" t="n">
        <v>0.847</v>
      </c>
      <c r="M1423" t="n">
        <v>0</v>
      </c>
    </row>
    <row r="1424" spans="1:13">
      <c r="A1424" s="1">
        <f>HYPERLINK("http://www.twitter.com/NathanBLawrence/status/983120940568588288", "983120940568588288")</f>
        <v/>
      </c>
      <c r="B1424" s="2" t="n">
        <v>43198.96842592592</v>
      </c>
      <c r="C1424" t="n">
        <v>0</v>
      </c>
      <c r="D1424" t="n">
        <v>39</v>
      </c>
      <c r="E1424" t="s">
        <v>1430</v>
      </c>
      <c r="F1424" t="s"/>
      <c r="G1424" t="s"/>
      <c r="H1424" t="s"/>
      <c r="I1424" t="s"/>
      <c r="J1424" t="n">
        <v>0.5719</v>
      </c>
      <c r="K1424" t="n">
        <v>0</v>
      </c>
      <c r="L1424" t="n">
        <v>0.802</v>
      </c>
      <c r="M1424" t="n">
        <v>0.198</v>
      </c>
    </row>
    <row r="1425" spans="1:13">
      <c r="A1425" s="1">
        <f>HYPERLINK("http://www.twitter.com/NathanBLawrence/status/983120718492815360", "983120718492815360")</f>
        <v/>
      </c>
      <c r="B1425" s="2" t="n">
        <v>43198.9678125</v>
      </c>
      <c r="C1425" t="n">
        <v>0</v>
      </c>
      <c r="D1425" t="n">
        <v>0</v>
      </c>
      <c r="E1425" t="s">
        <v>1431</v>
      </c>
      <c r="F1425" t="s"/>
      <c r="G1425" t="s"/>
      <c r="H1425" t="s"/>
      <c r="I1425" t="s"/>
      <c r="J1425" t="n">
        <v>-0.8270999999999999</v>
      </c>
      <c r="K1425" t="n">
        <v>0.283</v>
      </c>
      <c r="L1425" t="n">
        <v>0.717</v>
      </c>
      <c r="M1425" t="n">
        <v>0</v>
      </c>
    </row>
    <row r="1426" spans="1:13">
      <c r="A1426" s="1">
        <f>HYPERLINK("http://www.twitter.com/NathanBLawrence/status/983119332451454976", "983119332451454976")</f>
        <v/>
      </c>
      <c r="B1426" s="2" t="n">
        <v>43198.96398148148</v>
      </c>
      <c r="C1426" t="n">
        <v>1</v>
      </c>
      <c r="D1426" t="n">
        <v>0</v>
      </c>
      <c r="E1426" t="s">
        <v>1432</v>
      </c>
      <c r="F1426" t="s"/>
      <c r="G1426" t="s"/>
      <c r="H1426" t="s"/>
      <c r="I1426" t="s"/>
      <c r="J1426" t="n">
        <v>0.3987</v>
      </c>
      <c r="K1426" t="n">
        <v>0</v>
      </c>
      <c r="L1426" t="n">
        <v>0.598</v>
      </c>
      <c r="M1426" t="n">
        <v>0.402</v>
      </c>
    </row>
    <row r="1427" spans="1:13">
      <c r="A1427" s="1">
        <f>HYPERLINK("http://www.twitter.com/NathanBLawrence/status/983119134664921088", "983119134664921088")</f>
        <v/>
      </c>
      <c r="B1427" s="2" t="n">
        <v>43198.9634375</v>
      </c>
      <c r="C1427" t="n">
        <v>0</v>
      </c>
      <c r="D1427" t="n">
        <v>13</v>
      </c>
      <c r="E1427" t="s">
        <v>1433</v>
      </c>
      <c r="F1427" t="s"/>
      <c r="G1427" t="s"/>
      <c r="H1427" t="s"/>
      <c r="I1427" t="s"/>
      <c r="J1427" t="n">
        <v>0.4588</v>
      </c>
      <c r="K1427" t="n">
        <v>0</v>
      </c>
      <c r="L1427" t="n">
        <v>0.857</v>
      </c>
      <c r="M1427" t="n">
        <v>0.143</v>
      </c>
    </row>
    <row r="1428" spans="1:13">
      <c r="A1428" s="1">
        <f>HYPERLINK("http://www.twitter.com/NathanBLawrence/status/983119105288036352", "983119105288036352")</f>
        <v/>
      </c>
      <c r="B1428" s="2" t="n">
        <v>43198.96335648148</v>
      </c>
      <c r="C1428" t="n">
        <v>0</v>
      </c>
      <c r="D1428" t="n">
        <v>6</v>
      </c>
      <c r="E1428" t="s">
        <v>1434</v>
      </c>
      <c r="F1428" t="s"/>
      <c r="G1428" t="s"/>
      <c r="H1428" t="s"/>
      <c r="I1428" t="s"/>
      <c r="J1428" t="n">
        <v>0.8401999999999999</v>
      </c>
      <c r="K1428" t="n">
        <v>0</v>
      </c>
      <c r="L1428" t="n">
        <v>0.704</v>
      </c>
      <c r="M1428" t="n">
        <v>0.296</v>
      </c>
    </row>
    <row r="1429" spans="1:13">
      <c r="A1429" s="1">
        <f>HYPERLINK("http://www.twitter.com/NathanBLawrence/status/983119007313203201", "983119007313203201")</f>
        <v/>
      </c>
      <c r="B1429" s="2" t="n">
        <v>43198.96309027778</v>
      </c>
      <c r="C1429" t="n">
        <v>0</v>
      </c>
      <c r="D1429" t="n">
        <v>6</v>
      </c>
      <c r="E1429" t="s">
        <v>1435</v>
      </c>
      <c r="F1429" t="s"/>
      <c r="G1429" t="s"/>
      <c r="H1429" t="s"/>
      <c r="I1429" t="s"/>
      <c r="J1429" t="n">
        <v>-0.6796</v>
      </c>
      <c r="K1429" t="n">
        <v>0.268</v>
      </c>
      <c r="L1429" t="n">
        <v>0.732</v>
      </c>
      <c r="M1429" t="n">
        <v>0</v>
      </c>
    </row>
    <row r="1430" spans="1:13">
      <c r="A1430" s="1">
        <f>HYPERLINK("http://www.twitter.com/NathanBLawrence/status/983118936504971265", "983118936504971265")</f>
        <v/>
      </c>
      <c r="B1430" s="2" t="n">
        <v>43198.96289351852</v>
      </c>
      <c r="C1430" t="n">
        <v>0</v>
      </c>
      <c r="D1430" t="n">
        <v>8</v>
      </c>
      <c r="E1430" t="s">
        <v>1436</v>
      </c>
      <c r="F1430" t="s"/>
      <c r="G1430" t="s"/>
      <c r="H1430" t="s"/>
      <c r="I1430" t="s"/>
      <c r="J1430" t="n">
        <v>0</v>
      </c>
      <c r="K1430" t="n">
        <v>0</v>
      </c>
      <c r="L1430" t="n">
        <v>1</v>
      </c>
      <c r="M1430" t="n">
        <v>0</v>
      </c>
    </row>
    <row r="1431" spans="1:13">
      <c r="A1431" s="1">
        <f>HYPERLINK("http://www.twitter.com/NathanBLawrence/status/983118882436206593", "983118882436206593")</f>
        <v/>
      </c>
      <c r="B1431" s="2" t="n">
        <v>43198.96274305556</v>
      </c>
      <c r="C1431" t="n">
        <v>0</v>
      </c>
      <c r="D1431" t="n">
        <v>7</v>
      </c>
      <c r="E1431" t="s">
        <v>1437</v>
      </c>
      <c r="F1431" t="s"/>
      <c r="G1431" t="s"/>
      <c r="H1431" t="s"/>
      <c r="I1431" t="s"/>
      <c r="J1431" t="n">
        <v>0.3182</v>
      </c>
      <c r="K1431" t="n">
        <v>0</v>
      </c>
      <c r="L1431" t="n">
        <v>0.859</v>
      </c>
      <c r="M1431" t="n">
        <v>0.141</v>
      </c>
    </row>
    <row r="1432" spans="1:13">
      <c r="A1432" s="1">
        <f>HYPERLINK("http://www.twitter.com/NathanBLawrence/status/983118846734237698", "983118846734237698")</f>
        <v/>
      </c>
      <c r="B1432" s="2" t="n">
        <v>43198.96265046296</v>
      </c>
      <c r="C1432" t="n">
        <v>0</v>
      </c>
      <c r="D1432" t="n">
        <v>0</v>
      </c>
      <c r="E1432" t="s">
        <v>1438</v>
      </c>
      <c r="F1432" t="s"/>
      <c r="G1432" t="s"/>
      <c r="H1432" t="s"/>
      <c r="I1432" t="s"/>
      <c r="J1432" t="n">
        <v>0.296</v>
      </c>
      <c r="K1432" t="n">
        <v>0</v>
      </c>
      <c r="L1432" t="n">
        <v>0.312</v>
      </c>
      <c r="M1432" t="n">
        <v>0.6879999999999999</v>
      </c>
    </row>
    <row r="1433" spans="1:13">
      <c r="A1433" s="1">
        <f>HYPERLINK("http://www.twitter.com/NathanBLawrence/status/983118827465662465", "983118827465662465")</f>
        <v/>
      </c>
      <c r="B1433" s="2" t="n">
        <v>43198.96259259259</v>
      </c>
      <c r="C1433" t="n">
        <v>0</v>
      </c>
      <c r="D1433" t="n">
        <v>16</v>
      </c>
      <c r="E1433" t="s">
        <v>1439</v>
      </c>
      <c r="F1433" t="s"/>
      <c r="G1433" t="s"/>
      <c r="H1433" t="s"/>
      <c r="I1433" t="s"/>
      <c r="J1433" t="n">
        <v>0.25</v>
      </c>
      <c r="K1433" t="n">
        <v>0</v>
      </c>
      <c r="L1433" t="n">
        <v>0.895</v>
      </c>
      <c r="M1433" t="n">
        <v>0.105</v>
      </c>
    </row>
    <row r="1434" spans="1:13">
      <c r="A1434" s="1">
        <f>HYPERLINK("http://www.twitter.com/NathanBLawrence/status/983118765448728578", "983118765448728578")</f>
        <v/>
      </c>
      <c r="B1434" s="2" t="n">
        <v>43198.96241898148</v>
      </c>
      <c r="C1434" t="n">
        <v>1</v>
      </c>
      <c r="D1434" t="n">
        <v>0</v>
      </c>
      <c r="E1434" t="s">
        <v>1440</v>
      </c>
      <c r="F1434" t="s"/>
      <c r="G1434" t="s"/>
      <c r="H1434" t="s"/>
      <c r="I1434" t="s"/>
      <c r="J1434" t="n">
        <v>0</v>
      </c>
      <c r="K1434" t="n">
        <v>0</v>
      </c>
      <c r="L1434" t="n">
        <v>1</v>
      </c>
      <c r="M1434" t="n">
        <v>0</v>
      </c>
    </row>
    <row r="1435" spans="1:13">
      <c r="A1435" s="1">
        <f>HYPERLINK("http://www.twitter.com/NathanBLawrence/status/983118518697807872", "983118518697807872")</f>
        <v/>
      </c>
      <c r="B1435" s="2" t="n">
        <v>43198.96173611111</v>
      </c>
      <c r="C1435" t="n">
        <v>0</v>
      </c>
      <c r="D1435" t="n">
        <v>10</v>
      </c>
      <c r="E1435" t="s">
        <v>1441</v>
      </c>
      <c r="F1435" t="s"/>
      <c r="G1435" t="s"/>
      <c r="H1435" t="s"/>
      <c r="I1435" t="s"/>
      <c r="J1435" t="n">
        <v>-0.628</v>
      </c>
      <c r="K1435" t="n">
        <v>0.205</v>
      </c>
      <c r="L1435" t="n">
        <v>0.795</v>
      </c>
      <c r="M1435" t="n">
        <v>0</v>
      </c>
    </row>
    <row r="1436" spans="1:13">
      <c r="A1436" s="1">
        <f>HYPERLINK("http://www.twitter.com/NathanBLawrence/status/983118103671459840", "983118103671459840")</f>
        <v/>
      </c>
      <c r="B1436" s="2" t="n">
        <v>43198.96060185185</v>
      </c>
      <c r="C1436" t="n">
        <v>0</v>
      </c>
      <c r="D1436" t="n">
        <v>8</v>
      </c>
      <c r="E1436" t="s">
        <v>1442</v>
      </c>
      <c r="F1436" t="s"/>
      <c r="G1436" t="s"/>
      <c r="H1436" t="s"/>
      <c r="I1436" t="s"/>
      <c r="J1436" t="n">
        <v>0</v>
      </c>
      <c r="K1436" t="n">
        <v>0</v>
      </c>
      <c r="L1436" t="n">
        <v>1</v>
      </c>
      <c r="M1436" t="n">
        <v>0</v>
      </c>
    </row>
    <row r="1437" spans="1:13">
      <c r="A1437" s="1">
        <f>HYPERLINK("http://www.twitter.com/NathanBLawrence/status/983117985534697474", "983117985534697474")</f>
        <v/>
      </c>
      <c r="B1437" s="2" t="n">
        <v>43198.96026620371</v>
      </c>
      <c r="C1437" t="n">
        <v>0</v>
      </c>
      <c r="D1437" t="n">
        <v>1</v>
      </c>
      <c r="E1437" t="s">
        <v>1443</v>
      </c>
      <c r="F1437" t="s"/>
      <c r="G1437" t="s"/>
      <c r="H1437" t="s"/>
      <c r="I1437" t="s"/>
      <c r="J1437" t="n">
        <v>-0.5994</v>
      </c>
      <c r="K1437" t="n">
        <v>0.197</v>
      </c>
      <c r="L1437" t="n">
        <v>0.803</v>
      </c>
      <c r="M1437" t="n">
        <v>0</v>
      </c>
    </row>
    <row r="1438" spans="1:13">
      <c r="A1438" s="1">
        <f>HYPERLINK("http://www.twitter.com/NathanBLawrence/status/983116519478648832", "983116519478648832")</f>
        <v/>
      </c>
      <c r="B1438" s="2" t="n">
        <v>43198.95622685185</v>
      </c>
      <c r="C1438" t="n">
        <v>1</v>
      </c>
      <c r="D1438" t="n">
        <v>0</v>
      </c>
      <c r="E1438" t="s">
        <v>1444</v>
      </c>
      <c r="F1438" t="s"/>
      <c r="G1438" t="s"/>
      <c r="H1438" t="s"/>
      <c r="I1438" t="s"/>
      <c r="J1438" t="n">
        <v>-0.296</v>
      </c>
      <c r="K1438" t="n">
        <v>0.167</v>
      </c>
      <c r="L1438" t="n">
        <v>0.833</v>
      </c>
      <c r="M1438" t="n">
        <v>0</v>
      </c>
    </row>
    <row r="1439" spans="1:13">
      <c r="A1439" s="1">
        <f>HYPERLINK("http://www.twitter.com/NathanBLawrence/status/983116267463823360", "983116267463823360")</f>
        <v/>
      </c>
      <c r="B1439" s="2" t="n">
        <v>43198.95553240741</v>
      </c>
      <c r="C1439" t="n">
        <v>2</v>
      </c>
      <c r="D1439" t="n">
        <v>0</v>
      </c>
      <c r="E1439" t="s">
        <v>1445</v>
      </c>
      <c r="F1439" t="s"/>
      <c r="G1439" t="s"/>
      <c r="H1439" t="s"/>
      <c r="I1439" t="s"/>
      <c r="J1439" t="n">
        <v>-0.4939</v>
      </c>
      <c r="K1439" t="n">
        <v>0.314</v>
      </c>
      <c r="L1439" t="n">
        <v>0.6860000000000001</v>
      </c>
      <c r="M1439" t="n">
        <v>0</v>
      </c>
    </row>
    <row r="1440" spans="1:13">
      <c r="A1440" s="1">
        <f>HYPERLINK("http://www.twitter.com/NathanBLawrence/status/983116017533640705", "983116017533640705")</f>
        <v/>
      </c>
      <c r="B1440" s="2" t="n">
        <v>43198.95483796296</v>
      </c>
      <c r="C1440" t="n">
        <v>0</v>
      </c>
      <c r="D1440" t="n">
        <v>0</v>
      </c>
      <c r="E1440" t="s">
        <v>1446</v>
      </c>
      <c r="F1440" t="s"/>
      <c r="G1440" t="s"/>
      <c r="H1440" t="s"/>
      <c r="I1440" t="s"/>
      <c r="J1440" t="n">
        <v>0</v>
      </c>
      <c r="K1440" t="n">
        <v>0</v>
      </c>
      <c r="L1440" t="n">
        <v>1</v>
      </c>
      <c r="M1440" t="n">
        <v>0</v>
      </c>
    </row>
    <row r="1441" spans="1:13">
      <c r="A1441" s="1">
        <f>HYPERLINK("http://www.twitter.com/NathanBLawrence/status/983115990174257152", "983115990174257152")</f>
        <v/>
      </c>
      <c r="B1441" s="2" t="n">
        <v>43198.95476851852</v>
      </c>
      <c r="C1441" t="n">
        <v>0</v>
      </c>
      <c r="D1441" t="n">
        <v>1</v>
      </c>
      <c r="E1441" t="s">
        <v>1447</v>
      </c>
      <c r="F1441" t="s"/>
      <c r="G1441" t="s"/>
      <c r="H1441" t="s"/>
      <c r="I1441" t="s"/>
      <c r="J1441" t="n">
        <v>0.6483</v>
      </c>
      <c r="K1441" t="n">
        <v>0</v>
      </c>
      <c r="L1441" t="n">
        <v>0.799</v>
      </c>
      <c r="M1441" t="n">
        <v>0.201</v>
      </c>
    </row>
    <row r="1442" spans="1:13">
      <c r="A1442" s="1">
        <f>HYPERLINK("http://www.twitter.com/NathanBLawrence/status/983115901871550465", "983115901871550465")</f>
        <v/>
      </c>
      <c r="B1442" s="2" t="n">
        <v>43198.95452546296</v>
      </c>
      <c r="C1442" t="n">
        <v>0</v>
      </c>
      <c r="D1442" t="n">
        <v>15</v>
      </c>
      <c r="E1442" t="s">
        <v>1448</v>
      </c>
      <c r="F1442" t="s"/>
      <c r="G1442" t="s"/>
      <c r="H1442" t="s"/>
      <c r="I1442" t="s"/>
      <c r="J1442" t="n">
        <v>0.9628</v>
      </c>
      <c r="K1442" t="n">
        <v>0</v>
      </c>
      <c r="L1442" t="n">
        <v>0.503</v>
      </c>
      <c r="M1442" t="n">
        <v>0.497</v>
      </c>
    </row>
    <row r="1443" spans="1:13">
      <c r="A1443" s="1">
        <f>HYPERLINK("http://www.twitter.com/NathanBLawrence/status/983115361317990400", "983115361317990400")</f>
        <v/>
      </c>
      <c r="B1443" s="2" t="n">
        <v>43198.95303240741</v>
      </c>
      <c r="C1443" t="n">
        <v>8</v>
      </c>
      <c r="D1443" t="n">
        <v>0</v>
      </c>
      <c r="E1443" t="s">
        <v>1449</v>
      </c>
      <c r="F1443" t="s"/>
      <c r="G1443" t="s"/>
      <c r="H1443" t="s"/>
      <c r="I1443" t="s"/>
      <c r="J1443" t="n">
        <v>0.8779</v>
      </c>
      <c r="K1443" t="n">
        <v>0</v>
      </c>
      <c r="L1443" t="n">
        <v>0.643</v>
      </c>
      <c r="M1443" t="n">
        <v>0.357</v>
      </c>
    </row>
    <row r="1444" spans="1:13">
      <c r="A1444" s="1">
        <f>HYPERLINK("http://www.twitter.com/NathanBLawrence/status/983114908018626561", "983114908018626561")</f>
        <v/>
      </c>
      <c r="B1444" s="2" t="n">
        <v>43198.95178240741</v>
      </c>
      <c r="C1444" t="n">
        <v>0</v>
      </c>
      <c r="D1444" t="n">
        <v>5</v>
      </c>
      <c r="E1444" t="s">
        <v>1450</v>
      </c>
      <c r="F1444">
        <f>HYPERLINK("http://pbs.twimg.com/media/DaS2k-SW0AEjckU.jpg", "http://pbs.twimg.com/media/DaS2k-SW0AEjckU.jpg")</f>
        <v/>
      </c>
      <c r="G1444" t="s"/>
      <c r="H1444" t="s"/>
      <c r="I1444" t="s"/>
      <c r="J1444" t="n">
        <v>0.8591</v>
      </c>
      <c r="K1444" t="n">
        <v>0</v>
      </c>
      <c r="L1444" t="n">
        <v>0.655</v>
      </c>
      <c r="M1444" t="n">
        <v>0.345</v>
      </c>
    </row>
    <row r="1445" spans="1:13">
      <c r="A1445" s="1">
        <f>HYPERLINK("http://www.twitter.com/NathanBLawrence/status/983110684446740480", "983110684446740480")</f>
        <v/>
      </c>
      <c r="B1445" s="2" t="n">
        <v>43198.94012731482</v>
      </c>
      <c r="C1445" t="n">
        <v>1</v>
      </c>
      <c r="D1445" t="n">
        <v>0</v>
      </c>
      <c r="E1445" t="s">
        <v>1451</v>
      </c>
      <c r="F1445" t="s"/>
      <c r="G1445" t="s"/>
      <c r="H1445" t="s"/>
      <c r="I1445" t="s"/>
      <c r="J1445" t="n">
        <v>0.7269</v>
      </c>
      <c r="K1445" t="n">
        <v>0.091</v>
      </c>
      <c r="L1445" t="n">
        <v>0.619</v>
      </c>
      <c r="M1445" t="n">
        <v>0.29</v>
      </c>
    </row>
    <row r="1446" spans="1:13">
      <c r="A1446" s="1">
        <f>HYPERLINK("http://www.twitter.com/NathanBLawrence/status/983109789122211840", "983109789122211840")</f>
        <v/>
      </c>
      <c r="B1446" s="2" t="n">
        <v>43198.93765046296</v>
      </c>
      <c r="C1446" t="n">
        <v>0</v>
      </c>
      <c r="D1446" t="n">
        <v>5</v>
      </c>
      <c r="E1446" t="s">
        <v>1452</v>
      </c>
      <c r="F1446" t="s"/>
      <c r="G1446" t="s"/>
      <c r="H1446" t="s"/>
      <c r="I1446" t="s"/>
      <c r="J1446" t="n">
        <v>-0.8044</v>
      </c>
      <c r="K1446" t="n">
        <v>0.276</v>
      </c>
      <c r="L1446" t="n">
        <v>0.724</v>
      </c>
      <c r="M1446" t="n">
        <v>0</v>
      </c>
    </row>
    <row r="1447" spans="1:13">
      <c r="A1447" s="1">
        <f>HYPERLINK("http://www.twitter.com/NathanBLawrence/status/983109745707020288", "983109745707020288")</f>
        <v/>
      </c>
      <c r="B1447" s="2" t="n">
        <v>43198.93753472222</v>
      </c>
      <c r="C1447" t="n">
        <v>0</v>
      </c>
      <c r="D1447" t="n">
        <v>0</v>
      </c>
      <c r="E1447" t="s">
        <v>1453</v>
      </c>
      <c r="F1447" t="s"/>
      <c r="G1447" t="s"/>
      <c r="H1447" t="s"/>
      <c r="I1447" t="s"/>
      <c r="J1447" t="n">
        <v>-0.6808</v>
      </c>
      <c r="K1447" t="n">
        <v>0.337</v>
      </c>
      <c r="L1447" t="n">
        <v>0.663</v>
      </c>
      <c r="M1447" t="n">
        <v>0</v>
      </c>
    </row>
    <row r="1448" spans="1:13">
      <c r="A1448" s="1">
        <f>HYPERLINK("http://www.twitter.com/NathanBLawrence/status/983109556954943488", "983109556954943488")</f>
        <v/>
      </c>
      <c r="B1448" s="2" t="n">
        <v>43198.93701388889</v>
      </c>
      <c r="C1448" t="n">
        <v>0</v>
      </c>
      <c r="D1448" t="n">
        <v>18</v>
      </c>
      <c r="E1448" t="s">
        <v>1454</v>
      </c>
      <c r="F1448" t="s"/>
      <c r="G1448" t="s"/>
      <c r="H1448" t="s"/>
      <c r="I1448" t="s"/>
      <c r="J1448" t="n">
        <v>0</v>
      </c>
      <c r="K1448" t="n">
        <v>0</v>
      </c>
      <c r="L1448" t="n">
        <v>1</v>
      </c>
      <c r="M1448" t="n">
        <v>0</v>
      </c>
    </row>
    <row r="1449" spans="1:13">
      <c r="A1449" s="1">
        <f>HYPERLINK("http://www.twitter.com/NathanBLawrence/status/983109498268241920", "983109498268241920")</f>
        <v/>
      </c>
      <c r="B1449" s="2" t="n">
        <v>43198.93685185185</v>
      </c>
      <c r="C1449" t="n">
        <v>1</v>
      </c>
      <c r="D1449" t="n">
        <v>0</v>
      </c>
      <c r="E1449" t="s">
        <v>1455</v>
      </c>
      <c r="F1449" t="s"/>
      <c r="G1449" t="s"/>
      <c r="H1449" t="s"/>
      <c r="I1449" t="s"/>
      <c r="J1449" t="n">
        <v>-0.5994</v>
      </c>
      <c r="K1449" t="n">
        <v>0.328</v>
      </c>
      <c r="L1449" t="n">
        <v>0.672</v>
      </c>
      <c r="M1449" t="n">
        <v>0</v>
      </c>
    </row>
    <row r="1450" spans="1:13">
      <c r="A1450" s="1">
        <f>HYPERLINK("http://www.twitter.com/NathanBLawrence/status/983108937586282496", "983108937586282496")</f>
        <v/>
      </c>
      <c r="B1450" s="2" t="n">
        <v>43198.93530092593</v>
      </c>
      <c r="C1450" t="n">
        <v>0</v>
      </c>
      <c r="D1450" t="n">
        <v>12</v>
      </c>
      <c r="E1450" t="s">
        <v>1456</v>
      </c>
      <c r="F1450" t="s"/>
      <c r="G1450" t="s"/>
      <c r="H1450" t="s"/>
      <c r="I1450" t="s"/>
      <c r="J1450" t="n">
        <v>0</v>
      </c>
      <c r="K1450" t="n">
        <v>0</v>
      </c>
      <c r="L1450" t="n">
        <v>1</v>
      </c>
      <c r="M1450" t="n">
        <v>0</v>
      </c>
    </row>
    <row r="1451" spans="1:13">
      <c r="A1451" s="1">
        <f>HYPERLINK("http://www.twitter.com/NathanBLawrence/status/983108893172740096", "983108893172740096")</f>
        <v/>
      </c>
      <c r="B1451" s="2" t="n">
        <v>43198.93518518518</v>
      </c>
      <c r="C1451" t="n">
        <v>1</v>
      </c>
      <c r="D1451" t="n">
        <v>0</v>
      </c>
      <c r="E1451" t="s">
        <v>1457</v>
      </c>
      <c r="F1451" t="s"/>
      <c r="G1451" t="s"/>
      <c r="H1451" t="s"/>
      <c r="I1451" t="s"/>
      <c r="J1451" t="n">
        <v>0</v>
      </c>
      <c r="K1451" t="n">
        <v>0</v>
      </c>
      <c r="L1451" t="n">
        <v>1</v>
      </c>
      <c r="M1451" t="n">
        <v>0</v>
      </c>
    </row>
    <row r="1452" spans="1:13">
      <c r="A1452" s="1">
        <f>HYPERLINK("http://www.twitter.com/NathanBLawrence/status/983108835165507585", "983108835165507585")</f>
        <v/>
      </c>
      <c r="B1452" s="2" t="n">
        <v>43198.93502314815</v>
      </c>
      <c r="C1452" t="n">
        <v>0</v>
      </c>
      <c r="D1452" t="n">
        <v>10</v>
      </c>
      <c r="E1452" t="s">
        <v>1458</v>
      </c>
      <c r="F1452" t="s"/>
      <c r="G1452" t="s"/>
      <c r="H1452" t="s"/>
      <c r="I1452" t="s"/>
      <c r="J1452" t="n">
        <v>-0.4466</v>
      </c>
      <c r="K1452" t="n">
        <v>0.123</v>
      </c>
      <c r="L1452" t="n">
        <v>0.877</v>
      </c>
      <c r="M1452" t="n">
        <v>0</v>
      </c>
    </row>
    <row r="1453" spans="1:13">
      <c r="A1453" s="1">
        <f>HYPERLINK("http://www.twitter.com/NathanBLawrence/status/983108788441047040", "983108788441047040")</f>
        <v/>
      </c>
      <c r="B1453" s="2" t="n">
        <v>43198.93489583334</v>
      </c>
      <c r="C1453" t="n">
        <v>1</v>
      </c>
      <c r="D1453" t="n">
        <v>0</v>
      </c>
      <c r="E1453" t="s">
        <v>1459</v>
      </c>
      <c r="F1453" t="s"/>
      <c r="G1453" t="s"/>
      <c r="H1453" t="s"/>
      <c r="I1453" t="s"/>
      <c r="J1453" t="n">
        <v>0.4019</v>
      </c>
      <c r="K1453" t="n">
        <v>0</v>
      </c>
      <c r="L1453" t="n">
        <v>0.803</v>
      </c>
      <c r="M1453" t="n">
        <v>0.197</v>
      </c>
    </row>
    <row r="1454" spans="1:13">
      <c r="A1454" s="1">
        <f>HYPERLINK("http://www.twitter.com/NathanBLawrence/status/983107903455485953", "983107903455485953")</f>
        <v/>
      </c>
      <c r="B1454" s="2" t="n">
        <v>43198.9324537037</v>
      </c>
      <c r="C1454" t="n">
        <v>3</v>
      </c>
      <c r="D1454" t="n">
        <v>0</v>
      </c>
      <c r="E1454" t="s">
        <v>1460</v>
      </c>
      <c r="F1454" t="s"/>
      <c r="G1454" t="s"/>
      <c r="H1454" t="s"/>
      <c r="I1454" t="s"/>
      <c r="J1454" t="n">
        <v>-0.4939</v>
      </c>
      <c r="K1454" t="n">
        <v>0.262</v>
      </c>
      <c r="L1454" t="n">
        <v>0.738</v>
      </c>
      <c r="M1454" t="n">
        <v>0</v>
      </c>
    </row>
    <row r="1455" spans="1:13">
      <c r="A1455" s="1">
        <f>HYPERLINK("http://www.twitter.com/NathanBLawrence/status/982830981588635648", "982830981588635648")</f>
        <v/>
      </c>
      <c r="B1455" s="2" t="n">
        <v>43198.16828703704</v>
      </c>
      <c r="C1455" t="n">
        <v>1</v>
      </c>
      <c r="D1455" t="n">
        <v>0</v>
      </c>
      <c r="E1455" t="s">
        <v>1461</v>
      </c>
      <c r="F1455" t="s"/>
      <c r="G1455" t="s"/>
      <c r="H1455" t="s"/>
      <c r="I1455" t="s"/>
      <c r="J1455" t="n">
        <v>0</v>
      </c>
      <c r="K1455" t="n">
        <v>0</v>
      </c>
      <c r="L1455" t="n">
        <v>1</v>
      </c>
      <c r="M1455" t="n">
        <v>0</v>
      </c>
    </row>
    <row r="1456" spans="1:13">
      <c r="A1456" s="1">
        <f>HYPERLINK("http://www.twitter.com/NathanBLawrence/status/982829902146801665", "982829902146801665")</f>
        <v/>
      </c>
      <c r="B1456" s="2" t="n">
        <v>43198.1653125</v>
      </c>
      <c r="C1456" t="n">
        <v>1</v>
      </c>
      <c r="D1456" t="n">
        <v>0</v>
      </c>
      <c r="E1456" t="s">
        <v>1462</v>
      </c>
      <c r="F1456" t="s"/>
      <c r="G1456" t="s"/>
      <c r="H1456" t="s"/>
      <c r="I1456" t="s"/>
      <c r="J1456" t="n">
        <v>-0.8316</v>
      </c>
      <c r="K1456" t="n">
        <v>0.225</v>
      </c>
      <c r="L1456" t="n">
        <v>0.709</v>
      </c>
      <c r="M1456" t="n">
        <v>0.067</v>
      </c>
    </row>
    <row r="1457" spans="1:13">
      <c r="A1457" s="1">
        <f>HYPERLINK("http://www.twitter.com/NathanBLawrence/status/982828738034503680", "982828738034503680")</f>
        <v/>
      </c>
      <c r="B1457" s="2" t="n">
        <v>43198.16209490741</v>
      </c>
      <c r="C1457" t="n">
        <v>0</v>
      </c>
      <c r="D1457" t="n">
        <v>10</v>
      </c>
      <c r="E1457" t="s">
        <v>1463</v>
      </c>
      <c r="F1457" t="s"/>
      <c r="G1457" t="s"/>
      <c r="H1457" t="s"/>
      <c r="I1457" t="s"/>
      <c r="J1457" t="n">
        <v>0</v>
      </c>
      <c r="K1457" t="n">
        <v>0</v>
      </c>
      <c r="L1457" t="n">
        <v>1</v>
      </c>
      <c r="M1457" t="n">
        <v>0</v>
      </c>
    </row>
    <row r="1458" spans="1:13">
      <c r="A1458" s="1">
        <f>HYPERLINK("http://www.twitter.com/NathanBLawrence/status/982828600331251712", "982828600331251712")</f>
        <v/>
      </c>
      <c r="B1458" s="2" t="n">
        <v>43198.16172453704</v>
      </c>
      <c r="C1458" t="n">
        <v>0</v>
      </c>
      <c r="D1458" t="n">
        <v>20</v>
      </c>
      <c r="E1458" t="s">
        <v>1464</v>
      </c>
      <c r="F1458">
        <f>HYPERLINK("http://pbs.twimg.com/media/DaJ4EDIXkAA1Vk-.jpg", "http://pbs.twimg.com/media/DaJ4EDIXkAA1Vk-.jpg")</f>
        <v/>
      </c>
      <c r="G1458" t="s"/>
      <c r="H1458" t="s"/>
      <c r="I1458" t="s"/>
      <c r="J1458" t="n">
        <v>-0.5106000000000001</v>
      </c>
      <c r="K1458" t="n">
        <v>0.163</v>
      </c>
      <c r="L1458" t="n">
        <v>0.837</v>
      </c>
      <c r="M1458" t="n">
        <v>0</v>
      </c>
    </row>
    <row r="1459" spans="1:13">
      <c r="A1459" s="1">
        <f>HYPERLINK("http://www.twitter.com/NathanBLawrence/status/982828288342155265", "982828288342155265")</f>
        <v/>
      </c>
      <c r="B1459" s="2" t="n">
        <v>43198.16085648148</v>
      </c>
      <c r="C1459" t="n">
        <v>0</v>
      </c>
      <c r="D1459" t="n">
        <v>11</v>
      </c>
      <c r="E1459" t="s">
        <v>1465</v>
      </c>
      <c r="F1459" t="s"/>
      <c r="G1459" t="s"/>
      <c r="H1459" t="s"/>
      <c r="I1459" t="s"/>
      <c r="J1459" t="n">
        <v>0.1531</v>
      </c>
      <c r="K1459" t="n">
        <v>0</v>
      </c>
      <c r="L1459" t="n">
        <v>0.918</v>
      </c>
      <c r="M1459" t="n">
        <v>0.082</v>
      </c>
    </row>
    <row r="1460" spans="1:13">
      <c r="A1460" s="1">
        <f>HYPERLINK("http://www.twitter.com/NathanBLawrence/status/982828132309880832", "982828132309880832")</f>
        <v/>
      </c>
      <c r="B1460" s="2" t="n">
        <v>43198.16042824074</v>
      </c>
      <c r="C1460" t="n">
        <v>0</v>
      </c>
      <c r="D1460" t="n">
        <v>11</v>
      </c>
      <c r="E1460" t="s">
        <v>1466</v>
      </c>
      <c r="F1460" t="s"/>
      <c r="G1460" t="s"/>
      <c r="H1460" t="s"/>
      <c r="I1460" t="s"/>
      <c r="J1460" t="n">
        <v>0.2732</v>
      </c>
      <c r="K1460" t="n">
        <v>0</v>
      </c>
      <c r="L1460" t="n">
        <v>0.905</v>
      </c>
      <c r="M1460" t="n">
        <v>0.095</v>
      </c>
    </row>
    <row r="1461" spans="1:13">
      <c r="A1461" s="1">
        <f>HYPERLINK("http://www.twitter.com/NathanBLawrence/status/982827524160966656", "982827524160966656")</f>
        <v/>
      </c>
      <c r="B1461" s="2" t="n">
        <v>43198.15875</v>
      </c>
      <c r="C1461" t="n">
        <v>3</v>
      </c>
      <c r="D1461" t="n">
        <v>1</v>
      </c>
      <c r="E1461" t="s">
        <v>1467</v>
      </c>
      <c r="F1461" t="s"/>
      <c r="G1461" t="s"/>
      <c r="H1461" t="s"/>
      <c r="I1461" t="s"/>
      <c r="J1461" t="n">
        <v>0.4019</v>
      </c>
      <c r="K1461" t="n">
        <v>0</v>
      </c>
      <c r="L1461" t="n">
        <v>0.92</v>
      </c>
      <c r="M1461" t="n">
        <v>0.08</v>
      </c>
    </row>
    <row r="1462" spans="1:13">
      <c r="A1462" s="1">
        <f>HYPERLINK("http://www.twitter.com/NathanBLawrence/status/982826116753907712", "982826116753907712")</f>
        <v/>
      </c>
      <c r="B1462" s="2" t="n">
        <v>43198.15486111111</v>
      </c>
      <c r="C1462" t="n">
        <v>0</v>
      </c>
      <c r="D1462" t="n">
        <v>14</v>
      </c>
      <c r="E1462" t="s">
        <v>1468</v>
      </c>
      <c r="F1462" t="s"/>
      <c r="G1462" t="s"/>
      <c r="H1462" t="s"/>
      <c r="I1462" t="s"/>
      <c r="J1462" t="n">
        <v>-0.6505</v>
      </c>
      <c r="K1462" t="n">
        <v>0.178</v>
      </c>
      <c r="L1462" t="n">
        <v>0.822</v>
      </c>
      <c r="M1462" t="n">
        <v>0</v>
      </c>
    </row>
    <row r="1463" spans="1:13">
      <c r="A1463" s="1">
        <f>HYPERLINK("http://www.twitter.com/NathanBLawrence/status/982824564802707456", "982824564802707456")</f>
        <v/>
      </c>
      <c r="B1463" s="2" t="n">
        <v>43198.1505787037</v>
      </c>
      <c r="C1463" t="n">
        <v>0</v>
      </c>
      <c r="D1463" t="n">
        <v>0</v>
      </c>
      <c r="E1463" t="s">
        <v>1469</v>
      </c>
      <c r="F1463" t="s"/>
      <c r="G1463" t="s"/>
      <c r="H1463" t="s"/>
      <c r="I1463" t="s"/>
      <c r="J1463" t="n">
        <v>0</v>
      </c>
      <c r="K1463" t="n">
        <v>0</v>
      </c>
      <c r="L1463" t="n">
        <v>1</v>
      </c>
      <c r="M1463" t="n">
        <v>0</v>
      </c>
    </row>
    <row r="1464" spans="1:13">
      <c r="A1464" s="1">
        <f>HYPERLINK("http://www.twitter.com/NathanBLawrence/status/982820037470846976", "982820037470846976")</f>
        <v/>
      </c>
      <c r="B1464" s="2" t="n">
        <v>43198.13809027777</v>
      </c>
      <c r="C1464" t="n">
        <v>2</v>
      </c>
      <c r="D1464" t="n">
        <v>0</v>
      </c>
      <c r="E1464" t="s">
        <v>1470</v>
      </c>
      <c r="F1464" t="s"/>
      <c r="G1464" t="s"/>
      <c r="H1464" t="s"/>
      <c r="I1464" t="s"/>
      <c r="J1464" t="n">
        <v>0</v>
      </c>
      <c r="K1464" t="n">
        <v>0</v>
      </c>
      <c r="L1464" t="n">
        <v>1</v>
      </c>
      <c r="M1464" t="n">
        <v>0</v>
      </c>
    </row>
    <row r="1465" spans="1:13">
      <c r="A1465" s="1">
        <f>HYPERLINK("http://www.twitter.com/NathanBLawrence/status/982817949131124736", "982817949131124736")</f>
        <v/>
      </c>
      <c r="B1465" s="2" t="n">
        <v>43198.13232638889</v>
      </c>
      <c r="C1465" t="n">
        <v>11</v>
      </c>
      <c r="D1465" t="n">
        <v>9</v>
      </c>
      <c r="E1465" t="s">
        <v>1471</v>
      </c>
      <c r="F1465" t="s"/>
      <c r="G1465" t="s"/>
      <c r="H1465" t="s"/>
      <c r="I1465" t="s"/>
      <c r="J1465" t="n">
        <v>0.7845</v>
      </c>
      <c r="K1465" t="n">
        <v>0</v>
      </c>
      <c r="L1465" t="n">
        <v>0.752</v>
      </c>
      <c r="M1465" t="n">
        <v>0.248</v>
      </c>
    </row>
    <row r="1466" spans="1:13">
      <c r="A1466" s="1">
        <f>HYPERLINK("http://www.twitter.com/NathanBLawrence/status/982815897042800640", "982815897042800640")</f>
        <v/>
      </c>
      <c r="B1466" s="2" t="n">
        <v>43198.12666666666</v>
      </c>
      <c r="C1466" t="n">
        <v>0</v>
      </c>
      <c r="D1466" t="n">
        <v>21</v>
      </c>
      <c r="E1466" t="s">
        <v>1472</v>
      </c>
      <c r="F1466" t="s"/>
      <c r="G1466" t="s"/>
      <c r="H1466" t="s"/>
      <c r="I1466" t="s"/>
      <c r="J1466" t="n">
        <v>-0.4588</v>
      </c>
      <c r="K1466" t="n">
        <v>0.15</v>
      </c>
      <c r="L1466" t="n">
        <v>0.85</v>
      </c>
      <c r="M1466" t="n">
        <v>0</v>
      </c>
    </row>
    <row r="1467" spans="1:13">
      <c r="A1467" s="1">
        <f>HYPERLINK("http://www.twitter.com/NathanBLawrence/status/982750318801948672", "982750318801948672")</f>
        <v/>
      </c>
      <c r="B1467" s="2" t="n">
        <v>43197.94570601852</v>
      </c>
      <c r="C1467" t="n">
        <v>0</v>
      </c>
      <c r="D1467" t="n">
        <v>1</v>
      </c>
      <c r="E1467" t="s">
        <v>1473</v>
      </c>
      <c r="F1467" t="s"/>
      <c r="G1467" t="s"/>
      <c r="H1467" t="s"/>
      <c r="I1467" t="s"/>
      <c r="J1467" t="n">
        <v>0.3818</v>
      </c>
      <c r="K1467" t="n">
        <v>0</v>
      </c>
      <c r="L1467" t="n">
        <v>0.852</v>
      </c>
      <c r="M1467" t="n">
        <v>0.148</v>
      </c>
    </row>
    <row r="1468" spans="1:13">
      <c r="A1468" s="1">
        <f>HYPERLINK("http://www.twitter.com/NathanBLawrence/status/982749537008840704", "982749537008840704")</f>
        <v/>
      </c>
      <c r="B1468" s="2" t="n">
        <v>43197.94354166667</v>
      </c>
      <c r="C1468" t="n">
        <v>0</v>
      </c>
      <c r="D1468" t="n">
        <v>7</v>
      </c>
      <c r="E1468" t="s">
        <v>1474</v>
      </c>
      <c r="F1468" t="s"/>
      <c r="G1468" t="s"/>
      <c r="H1468" t="s"/>
      <c r="I1468" t="s"/>
      <c r="J1468" t="n">
        <v>0</v>
      </c>
      <c r="K1468" t="n">
        <v>0</v>
      </c>
      <c r="L1468" t="n">
        <v>1</v>
      </c>
      <c r="M1468" t="n">
        <v>0</v>
      </c>
    </row>
    <row r="1469" spans="1:13">
      <c r="A1469" s="1">
        <f>HYPERLINK("http://www.twitter.com/NathanBLawrence/status/982749428703522821", "982749428703522821")</f>
        <v/>
      </c>
      <c r="B1469" s="2" t="n">
        <v>43197.94325231481</v>
      </c>
      <c r="C1469" t="n">
        <v>0</v>
      </c>
      <c r="D1469" t="n">
        <v>16</v>
      </c>
      <c r="E1469" t="s">
        <v>1475</v>
      </c>
      <c r="F1469" t="s"/>
      <c r="G1469" t="s"/>
      <c r="H1469" t="s"/>
      <c r="I1469" t="s"/>
      <c r="J1469" t="n">
        <v>-0.0387</v>
      </c>
      <c r="K1469" t="n">
        <v>0.052</v>
      </c>
      <c r="L1469" t="n">
        <v>0.948</v>
      </c>
      <c r="M1469" t="n">
        <v>0</v>
      </c>
    </row>
    <row r="1470" spans="1:13">
      <c r="A1470" s="1">
        <f>HYPERLINK("http://www.twitter.com/NathanBLawrence/status/982749372948582401", "982749372948582401")</f>
        <v/>
      </c>
      <c r="B1470" s="2" t="n">
        <v>43197.94309027777</v>
      </c>
      <c r="C1470" t="n">
        <v>0</v>
      </c>
      <c r="D1470" t="n">
        <v>1</v>
      </c>
      <c r="E1470" t="s">
        <v>1476</v>
      </c>
      <c r="F1470" t="s"/>
      <c r="G1470" t="s"/>
      <c r="H1470" t="s"/>
      <c r="I1470" t="s"/>
      <c r="J1470" t="n">
        <v>-0.6249</v>
      </c>
      <c r="K1470" t="n">
        <v>0.215</v>
      </c>
      <c r="L1470" t="n">
        <v>0.785</v>
      </c>
      <c r="M1470" t="n">
        <v>0</v>
      </c>
    </row>
    <row r="1471" spans="1:13">
      <c r="A1471" s="1">
        <f>HYPERLINK("http://www.twitter.com/NathanBLawrence/status/982747466004156422", "982747466004156422")</f>
        <v/>
      </c>
      <c r="B1471" s="2" t="n">
        <v>43197.93783564815</v>
      </c>
      <c r="C1471" t="n">
        <v>0</v>
      </c>
      <c r="D1471" t="n">
        <v>113</v>
      </c>
      <c r="E1471" t="s">
        <v>1477</v>
      </c>
      <c r="F1471">
        <f>HYPERLINK("http://pbs.twimg.com/media/DZ9ptc-XUAAx6fF.jpg", "http://pbs.twimg.com/media/DZ9ptc-XUAAx6fF.jpg")</f>
        <v/>
      </c>
      <c r="G1471" t="s"/>
      <c r="H1471" t="s"/>
      <c r="I1471" t="s"/>
      <c r="J1471" t="n">
        <v>0</v>
      </c>
      <c r="K1471" t="n">
        <v>0</v>
      </c>
      <c r="L1471" t="n">
        <v>1</v>
      </c>
      <c r="M1471" t="n">
        <v>0</v>
      </c>
    </row>
    <row r="1472" spans="1:13">
      <c r="A1472" s="1">
        <f>HYPERLINK("http://www.twitter.com/NathanBLawrence/status/982743620238348289", "982743620238348289")</f>
        <v/>
      </c>
      <c r="B1472" s="2" t="n">
        <v>43197.92722222222</v>
      </c>
      <c r="C1472" t="n">
        <v>2</v>
      </c>
      <c r="D1472" t="n">
        <v>0</v>
      </c>
      <c r="E1472" t="s">
        <v>1478</v>
      </c>
      <c r="F1472" t="s"/>
      <c r="G1472" t="s"/>
      <c r="H1472" t="s"/>
      <c r="I1472" t="s"/>
      <c r="J1472" t="n">
        <v>0.6369</v>
      </c>
      <c r="K1472" t="n">
        <v>0</v>
      </c>
      <c r="L1472" t="n">
        <v>0.488</v>
      </c>
      <c r="M1472" t="n">
        <v>0.512</v>
      </c>
    </row>
    <row r="1473" spans="1:13">
      <c r="A1473" s="1">
        <f>HYPERLINK("http://www.twitter.com/NathanBLawrence/status/982743505742245888", "982743505742245888")</f>
        <v/>
      </c>
      <c r="B1473" s="2" t="n">
        <v>43197.92689814815</v>
      </c>
      <c r="C1473" t="n">
        <v>0</v>
      </c>
      <c r="D1473" t="n">
        <v>1</v>
      </c>
      <c r="E1473" t="s">
        <v>1479</v>
      </c>
      <c r="F1473" t="s"/>
      <c r="G1473" t="s"/>
      <c r="H1473" t="s"/>
      <c r="I1473" t="s"/>
      <c r="J1473" t="n">
        <v>0</v>
      </c>
      <c r="K1473" t="n">
        <v>0</v>
      </c>
      <c r="L1473" t="n">
        <v>1</v>
      </c>
      <c r="M1473" t="n">
        <v>0</v>
      </c>
    </row>
    <row r="1474" spans="1:13">
      <c r="A1474" s="1">
        <f>HYPERLINK("http://www.twitter.com/NathanBLawrence/status/982741819661438977", "982741819661438977")</f>
        <v/>
      </c>
      <c r="B1474" s="2" t="n">
        <v>43197.92224537037</v>
      </c>
      <c r="C1474" t="n">
        <v>0</v>
      </c>
      <c r="D1474" t="n">
        <v>429</v>
      </c>
      <c r="E1474" t="s">
        <v>1480</v>
      </c>
      <c r="F1474" t="s"/>
      <c r="G1474" t="s"/>
      <c r="H1474" t="s"/>
      <c r="I1474" t="s"/>
      <c r="J1474" t="n">
        <v>0.8748</v>
      </c>
      <c r="K1474" t="n">
        <v>0</v>
      </c>
      <c r="L1474" t="n">
        <v>0.6</v>
      </c>
      <c r="M1474" t="n">
        <v>0.4</v>
      </c>
    </row>
    <row r="1475" spans="1:13">
      <c r="A1475" s="1">
        <f>HYPERLINK("http://www.twitter.com/NathanBLawrence/status/982741414927896576", "982741414927896576")</f>
        <v/>
      </c>
      <c r="B1475" s="2" t="n">
        <v>43197.92113425926</v>
      </c>
      <c r="C1475" t="n">
        <v>5</v>
      </c>
      <c r="D1475" t="n">
        <v>2</v>
      </c>
      <c r="E1475" t="s">
        <v>1481</v>
      </c>
      <c r="F1475" t="s"/>
      <c r="G1475" t="s"/>
      <c r="H1475" t="s"/>
      <c r="I1475" t="s"/>
      <c r="J1475" t="n">
        <v>0</v>
      </c>
      <c r="K1475" t="n">
        <v>0</v>
      </c>
      <c r="L1475" t="n">
        <v>1</v>
      </c>
      <c r="M1475" t="n">
        <v>0</v>
      </c>
    </row>
    <row r="1476" spans="1:13">
      <c r="A1476" s="1">
        <f>HYPERLINK("http://www.twitter.com/NathanBLawrence/status/982740764202618880", "982740764202618880")</f>
        <v/>
      </c>
      <c r="B1476" s="2" t="n">
        <v>43197.91934027777</v>
      </c>
      <c r="C1476" t="n">
        <v>0</v>
      </c>
      <c r="D1476" t="n">
        <v>2966</v>
      </c>
      <c r="E1476" t="s">
        <v>1482</v>
      </c>
      <c r="F1476">
        <f>HYPERLINK("http://pbs.twimg.com/media/DaNbmgdUMAA95Lr.jpg", "http://pbs.twimg.com/media/DaNbmgdUMAA95Lr.jpg")</f>
        <v/>
      </c>
      <c r="G1476" t="s"/>
      <c r="H1476" t="s"/>
      <c r="I1476" t="s"/>
      <c r="J1476" t="n">
        <v>0.6705</v>
      </c>
      <c r="K1476" t="n">
        <v>0</v>
      </c>
      <c r="L1476" t="n">
        <v>0.792</v>
      </c>
      <c r="M1476" t="n">
        <v>0.208</v>
      </c>
    </row>
    <row r="1477" spans="1:13">
      <c r="A1477" s="1">
        <f>HYPERLINK("http://www.twitter.com/NathanBLawrence/status/982740608006737920", "982740608006737920")</f>
        <v/>
      </c>
      <c r="B1477" s="2" t="n">
        <v>43197.91891203704</v>
      </c>
      <c r="C1477" t="n">
        <v>0</v>
      </c>
      <c r="D1477" t="n">
        <v>14</v>
      </c>
      <c r="E1477" t="s">
        <v>1483</v>
      </c>
      <c r="F1477">
        <f>HYPERLINK("http://pbs.twimg.com/media/DaNjmGTWsAATUHE.jpg", "http://pbs.twimg.com/media/DaNjmGTWsAATUHE.jpg")</f>
        <v/>
      </c>
      <c r="G1477" t="s"/>
      <c r="H1477" t="s"/>
      <c r="I1477" t="s"/>
      <c r="J1477" t="n">
        <v>0</v>
      </c>
      <c r="K1477" t="n">
        <v>0</v>
      </c>
      <c r="L1477" t="n">
        <v>1</v>
      </c>
      <c r="M1477" t="n">
        <v>0</v>
      </c>
    </row>
    <row r="1478" spans="1:13">
      <c r="A1478" s="1">
        <f>HYPERLINK("http://www.twitter.com/NathanBLawrence/status/982740454683889671", "982740454683889671")</f>
        <v/>
      </c>
      <c r="B1478" s="2" t="n">
        <v>43197.9184837963</v>
      </c>
      <c r="C1478" t="n">
        <v>1</v>
      </c>
      <c r="D1478" t="n">
        <v>0</v>
      </c>
      <c r="E1478" t="s">
        <v>1484</v>
      </c>
      <c r="F1478" t="s"/>
      <c r="G1478" t="s"/>
      <c r="H1478" t="s"/>
      <c r="I1478" t="s"/>
      <c r="J1478" t="n">
        <v>0.3612</v>
      </c>
      <c r="K1478" t="n">
        <v>0</v>
      </c>
      <c r="L1478" t="n">
        <v>0.286</v>
      </c>
      <c r="M1478" t="n">
        <v>0.714</v>
      </c>
    </row>
    <row r="1479" spans="1:13">
      <c r="A1479" s="1">
        <f>HYPERLINK("http://www.twitter.com/NathanBLawrence/status/982740267362111488", "982740267362111488")</f>
        <v/>
      </c>
      <c r="B1479" s="2" t="n">
        <v>43197.91796296297</v>
      </c>
      <c r="C1479" t="n">
        <v>0</v>
      </c>
      <c r="D1479" t="n">
        <v>1</v>
      </c>
      <c r="E1479" t="s">
        <v>1485</v>
      </c>
      <c r="F1479" t="s"/>
      <c r="G1479" t="s"/>
      <c r="H1479" t="s"/>
      <c r="I1479" t="s"/>
      <c r="J1479" t="n">
        <v>-0.8381</v>
      </c>
      <c r="K1479" t="n">
        <v>0.257</v>
      </c>
      <c r="L1479" t="n">
        <v>0.743</v>
      </c>
      <c r="M1479" t="n">
        <v>0</v>
      </c>
    </row>
    <row r="1480" spans="1:13">
      <c r="A1480" s="1">
        <f>HYPERLINK("http://www.twitter.com/NathanBLawrence/status/982739541286117376", "982739541286117376")</f>
        <v/>
      </c>
      <c r="B1480" s="2" t="n">
        <v>43197.91596064815</v>
      </c>
      <c r="C1480" t="n">
        <v>0</v>
      </c>
      <c r="D1480" t="n">
        <v>1</v>
      </c>
      <c r="E1480" t="s">
        <v>1486</v>
      </c>
      <c r="F1480" t="s"/>
      <c r="G1480" t="s"/>
      <c r="H1480" t="s"/>
      <c r="I1480" t="s"/>
      <c r="J1480" t="n">
        <v>0.5859</v>
      </c>
      <c r="K1480" t="n">
        <v>0</v>
      </c>
      <c r="L1480" t="n">
        <v>0.787</v>
      </c>
      <c r="M1480" t="n">
        <v>0.213</v>
      </c>
    </row>
    <row r="1481" spans="1:13">
      <c r="A1481" s="1">
        <f>HYPERLINK("http://www.twitter.com/NathanBLawrence/status/982739533178515462", "982739533178515462")</f>
        <v/>
      </c>
      <c r="B1481" s="2" t="n">
        <v>43197.9159375</v>
      </c>
      <c r="C1481" t="n">
        <v>0</v>
      </c>
      <c r="D1481" t="n">
        <v>2</v>
      </c>
      <c r="E1481" t="s">
        <v>1487</v>
      </c>
      <c r="F1481" t="s"/>
      <c r="G1481" t="s"/>
      <c r="H1481" t="s"/>
      <c r="I1481" t="s"/>
      <c r="J1481" t="n">
        <v>0.8658</v>
      </c>
      <c r="K1481" t="n">
        <v>0</v>
      </c>
      <c r="L1481" t="n">
        <v>0.553</v>
      </c>
      <c r="M1481" t="n">
        <v>0.447</v>
      </c>
    </row>
    <row r="1482" spans="1:13">
      <c r="A1482" s="1">
        <f>HYPERLINK("http://www.twitter.com/NathanBLawrence/status/982739486797942784", "982739486797942784")</f>
        <v/>
      </c>
      <c r="B1482" s="2" t="n">
        <v>43197.91581018519</v>
      </c>
      <c r="C1482" t="n">
        <v>0</v>
      </c>
      <c r="D1482" t="n">
        <v>1</v>
      </c>
      <c r="E1482" t="s">
        <v>1488</v>
      </c>
      <c r="F1482" t="s"/>
      <c r="G1482" t="s"/>
      <c r="H1482" t="s"/>
      <c r="I1482" t="s"/>
      <c r="J1482" t="n">
        <v>0.5994</v>
      </c>
      <c r="K1482" t="n">
        <v>0</v>
      </c>
      <c r="L1482" t="n">
        <v>0.726</v>
      </c>
      <c r="M1482" t="n">
        <v>0.274</v>
      </c>
    </row>
    <row r="1483" spans="1:13">
      <c r="A1483" s="1">
        <f>HYPERLINK("http://www.twitter.com/NathanBLawrence/status/982738358320418817", "982738358320418817")</f>
        <v/>
      </c>
      <c r="B1483" s="2" t="n">
        <v>43197.91269675926</v>
      </c>
      <c r="C1483" t="n">
        <v>1</v>
      </c>
      <c r="D1483" t="n">
        <v>0</v>
      </c>
      <c r="E1483" t="s">
        <v>1489</v>
      </c>
      <c r="F1483" t="s"/>
      <c r="G1483" t="s"/>
      <c r="H1483" t="s"/>
      <c r="I1483" t="s"/>
      <c r="J1483" t="n">
        <v>0.8934</v>
      </c>
      <c r="K1483" t="n">
        <v>0</v>
      </c>
      <c r="L1483" t="n">
        <v>0.545</v>
      </c>
      <c r="M1483" t="n">
        <v>0.455</v>
      </c>
    </row>
    <row r="1484" spans="1:13">
      <c r="A1484" s="1">
        <f>HYPERLINK("http://www.twitter.com/NathanBLawrence/status/982737877409959937", "982737877409959937")</f>
        <v/>
      </c>
      <c r="B1484" s="2" t="n">
        <v>43197.91137731481</v>
      </c>
      <c r="C1484" t="n">
        <v>0</v>
      </c>
      <c r="D1484" t="n">
        <v>3</v>
      </c>
      <c r="E1484" t="s">
        <v>1490</v>
      </c>
      <c r="F1484" t="s"/>
      <c r="G1484" t="s"/>
      <c r="H1484" t="s"/>
      <c r="I1484" t="s"/>
      <c r="J1484" t="n">
        <v>0.5266999999999999</v>
      </c>
      <c r="K1484" t="n">
        <v>0.099</v>
      </c>
      <c r="L1484" t="n">
        <v>0.6909999999999999</v>
      </c>
      <c r="M1484" t="n">
        <v>0.211</v>
      </c>
    </row>
    <row r="1485" spans="1:13">
      <c r="A1485" s="1">
        <f>HYPERLINK("http://www.twitter.com/NathanBLawrence/status/982737727241236480", "982737727241236480")</f>
        <v/>
      </c>
      <c r="B1485" s="2" t="n">
        <v>43197.91096064815</v>
      </c>
      <c r="C1485" t="n">
        <v>2</v>
      </c>
      <c r="D1485" t="n">
        <v>1</v>
      </c>
      <c r="E1485" t="s">
        <v>1491</v>
      </c>
      <c r="F1485" t="s"/>
      <c r="G1485" t="s"/>
      <c r="H1485" t="s"/>
      <c r="I1485" t="s"/>
      <c r="J1485" t="n">
        <v>-0.7702</v>
      </c>
      <c r="K1485" t="n">
        <v>0.218</v>
      </c>
      <c r="L1485" t="n">
        <v>0.782</v>
      </c>
      <c r="M1485" t="n">
        <v>0</v>
      </c>
    </row>
    <row r="1486" spans="1:13">
      <c r="A1486" s="1">
        <f>HYPERLINK("http://www.twitter.com/NathanBLawrence/status/982737270829699072", "982737270829699072")</f>
        <v/>
      </c>
      <c r="B1486" s="2" t="n">
        <v>43197.90969907407</v>
      </c>
      <c r="C1486" t="n">
        <v>0</v>
      </c>
      <c r="D1486" t="n">
        <v>5</v>
      </c>
      <c r="E1486" t="s">
        <v>1492</v>
      </c>
      <c r="F1486" t="s"/>
      <c r="G1486" t="s"/>
      <c r="H1486" t="s"/>
      <c r="I1486" t="s"/>
      <c r="J1486" t="n">
        <v>-0.5106000000000001</v>
      </c>
      <c r="K1486" t="n">
        <v>0.191</v>
      </c>
      <c r="L1486" t="n">
        <v>0.8090000000000001</v>
      </c>
      <c r="M1486" t="n">
        <v>0</v>
      </c>
    </row>
    <row r="1487" spans="1:13">
      <c r="A1487" s="1">
        <f>HYPERLINK("http://www.twitter.com/NathanBLawrence/status/982736877995388929", "982736877995388929")</f>
        <v/>
      </c>
      <c r="B1487" s="2" t="n">
        <v>43197.90861111111</v>
      </c>
      <c r="C1487" t="n">
        <v>0</v>
      </c>
      <c r="D1487" t="n">
        <v>0</v>
      </c>
      <c r="E1487" t="s">
        <v>1493</v>
      </c>
      <c r="F1487" t="s"/>
      <c r="G1487" t="s"/>
      <c r="H1487" t="s"/>
      <c r="I1487" t="s"/>
      <c r="J1487" t="n">
        <v>-0.9671999999999999</v>
      </c>
      <c r="K1487" t="n">
        <v>0.364</v>
      </c>
      <c r="L1487" t="n">
        <v>0.598</v>
      </c>
      <c r="M1487" t="n">
        <v>0.038</v>
      </c>
    </row>
    <row r="1488" spans="1:13">
      <c r="A1488" s="1">
        <f>HYPERLINK("http://www.twitter.com/NathanBLawrence/status/982735696107573249", "982735696107573249")</f>
        <v/>
      </c>
      <c r="B1488" s="2" t="n">
        <v>43197.90534722222</v>
      </c>
      <c r="C1488" t="n">
        <v>1</v>
      </c>
      <c r="D1488" t="n">
        <v>0</v>
      </c>
      <c r="E1488" t="s">
        <v>1494</v>
      </c>
      <c r="F1488" t="s"/>
      <c r="G1488" t="s"/>
      <c r="H1488" t="s"/>
      <c r="I1488" t="s"/>
      <c r="J1488" t="n">
        <v>-0.6808</v>
      </c>
      <c r="K1488" t="n">
        <v>0.247</v>
      </c>
      <c r="L1488" t="n">
        <v>0.753</v>
      </c>
      <c r="M1488" t="n">
        <v>0</v>
      </c>
    </row>
    <row r="1489" spans="1:13">
      <c r="A1489" s="1">
        <f>HYPERLINK("http://www.twitter.com/NathanBLawrence/status/982735288681234437", "982735288681234437")</f>
        <v/>
      </c>
      <c r="B1489" s="2" t="n">
        <v>43197.90422453704</v>
      </c>
      <c r="C1489" t="n">
        <v>1</v>
      </c>
      <c r="D1489" t="n">
        <v>0</v>
      </c>
      <c r="E1489" t="s">
        <v>1495</v>
      </c>
      <c r="F1489" t="s"/>
      <c r="G1489" t="s"/>
      <c r="H1489" t="s"/>
      <c r="I1489" t="s"/>
      <c r="J1489" t="n">
        <v>-0.3313</v>
      </c>
      <c r="K1489" t="n">
        <v>0.083</v>
      </c>
      <c r="L1489" t="n">
        <v>0.864</v>
      </c>
      <c r="M1489" t="n">
        <v>0.052</v>
      </c>
    </row>
    <row r="1490" spans="1:13">
      <c r="A1490" s="1">
        <f>HYPERLINK("http://www.twitter.com/NathanBLawrence/status/982733995250192385", "982733995250192385")</f>
        <v/>
      </c>
      <c r="B1490" s="2" t="n">
        <v>43197.90065972223</v>
      </c>
      <c r="C1490" t="n">
        <v>1</v>
      </c>
      <c r="D1490" t="n">
        <v>0</v>
      </c>
      <c r="E1490" t="s">
        <v>1496</v>
      </c>
      <c r="F1490" t="s"/>
      <c r="G1490" t="s"/>
      <c r="H1490" t="s"/>
      <c r="I1490" t="s"/>
      <c r="J1490" t="n">
        <v>-0.2732</v>
      </c>
      <c r="K1490" t="n">
        <v>0.046</v>
      </c>
      <c r="L1490" t="n">
        <v>0.954</v>
      </c>
      <c r="M1490" t="n">
        <v>0</v>
      </c>
    </row>
    <row r="1491" spans="1:13">
      <c r="A1491" s="1">
        <f>HYPERLINK("http://www.twitter.com/NathanBLawrence/status/982726371863597056", "982726371863597056")</f>
        <v/>
      </c>
      <c r="B1491" s="2" t="n">
        <v>43197.87961805556</v>
      </c>
      <c r="C1491" t="n">
        <v>0</v>
      </c>
      <c r="D1491" t="n">
        <v>4</v>
      </c>
      <c r="E1491" t="s">
        <v>1497</v>
      </c>
      <c r="F1491">
        <f>HYPERLINK("http://pbs.twimg.com/media/DaH4odBVQAEGcPK.jpg", "http://pbs.twimg.com/media/DaH4odBVQAEGcPK.jpg")</f>
        <v/>
      </c>
      <c r="G1491">
        <f>HYPERLINK("http://pbs.twimg.com/media/DaH4szlVMAAebPm.jpg", "http://pbs.twimg.com/media/DaH4szlVMAAebPm.jpg")</f>
        <v/>
      </c>
      <c r="H1491" t="s"/>
      <c r="I1491" t="s"/>
      <c r="J1491" t="n">
        <v>0</v>
      </c>
      <c r="K1491" t="n">
        <v>0</v>
      </c>
      <c r="L1491" t="n">
        <v>1</v>
      </c>
      <c r="M1491" t="n">
        <v>0</v>
      </c>
    </row>
    <row r="1492" spans="1:13">
      <c r="A1492" s="1">
        <f>HYPERLINK("http://www.twitter.com/NathanBLawrence/status/982726117269352449", "982726117269352449")</f>
        <v/>
      </c>
      <c r="B1492" s="2" t="n">
        <v>43197.87892361111</v>
      </c>
      <c r="C1492" t="n">
        <v>0</v>
      </c>
      <c r="D1492" t="n">
        <v>1</v>
      </c>
      <c r="E1492" t="s">
        <v>1498</v>
      </c>
      <c r="F1492" t="s"/>
      <c r="G1492" t="s"/>
      <c r="H1492" t="s"/>
      <c r="I1492" t="s"/>
      <c r="J1492" t="n">
        <v>-0.0516</v>
      </c>
      <c r="K1492" t="n">
        <v>0.066</v>
      </c>
      <c r="L1492" t="n">
        <v>0.9340000000000001</v>
      </c>
      <c r="M1492" t="n">
        <v>0</v>
      </c>
    </row>
    <row r="1493" spans="1:13">
      <c r="A1493" s="1">
        <f>HYPERLINK("http://www.twitter.com/NathanBLawrence/status/982707666802835456", "982707666802835456")</f>
        <v/>
      </c>
      <c r="B1493" s="2" t="n">
        <v>43197.82800925926</v>
      </c>
      <c r="C1493" t="n">
        <v>0</v>
      </c>
      <c r="D1493" t="n">
        <v>7</v>
      </c>
      <c r="E1493" t="s">
        <v>1499</v>
      </c>
      <c r="F1493" t="s"/>
      <c r="G1493" t="s"/>
      <c r="H1493" t="s"/>
      <c r="I1493" t="s"/>
      <c r="J1493" t="n">
        <v>0</v>
      </c>
      <c r="K1493" t="n">
        <v>0</v>
      </c>
      <c r="L1493" t="n">
        <v>1</v>
      </c>
      <c r="M1493" t="n">
        <v>0</v>
      </c>
    </row>
    <row r="1494" spans="1:13">
      <c r="A1494" s="1">
        <f>HYPERLINK("http://www.twitter.com/NathanBLawrence/status/982707602776838150", "982707602776838150")</f>
        <v/>
      </c>
      <c r="B1494" s="2" t="n">
        <v>43197.82782407408</v>
      </c>
      <c r="C1494" t="n">
        <v>0</v>
      </c>
      <c r="D1494" t="n">
        <v>5</v>
      </c>
      <c r="E1494" t="s">
        <v>1499</v>
      </c>
      <c r="F1494" t="s"/>
      <c r="G1494" t="s"/>
      <c r="H1494" t="s"/>
      <c r="I1494" t="s"/>
      <c r="J1494" t="n">
        <v>0</v>
      </c>
      <c r="K1494" t="n">
        <v>0</v>
      </c>
      <c r="L1494" t="n">
        <v>1</v>
      </c>
      <c r="M1494" t="n">
        <v>0</v>
      </c>
    </row>
    <row r="1495" spans="1:13">
      <c r="A1495" s="1">
        <f>HYPERLINK("http://www.twitter.com/NathanBLawrence/status/982707540378169345", "982707540378169345")</f>
        <v/>
      </c>
      <c r="B1495" s="2" t="n">
        <v>43197.82766203704</v>
      </c>
      <c r="C1495" t="n">
        <v>0</v>
      </c>
      <c r="D1495" t="n">
        <v>5</v>
      </c>
      <c r="E1495" t="s">
        <v>1500</v>
      </c>
      <c r="F1495" t="s"/>
      <c r="G1495" t="s"/>
      <c r="H1495" t="s"/>
      <c r="I1495" t="s"/>
      <c r="J1495" t="n">
        <v>0</v>
      </c>
      <c r="K1495" t="n">
        <v>0</v>
      </c>
      <c r="L1495" t="n">
        <v>1</v>
      </c>
      <c r="M1495" t="n">
        <v>0</v>
      </c>
    </row>
    <row r="1496" spans="1:13">
      <c r="A1496" s="1">
        <f>HYPERLINK("http://www.twitter.com/NathanBLawrence/status/982707449655414785", "982707449655414785")</f>
        <v/>
      </c>
      <c r="B1496" s="2" t="n">
        <v>43197.82740740741</v>
      </c>
      <c r="C1496" t="n">
        <v>0</v>
      </c>
      <c r="D1496" t="n">
        <v>3</v>
      </c>
      <c r="E1496" t="s">
        <v>1501</v>
      </c>
      <c r="F1496" t="s"/>
      <c r="G1496" t="s"/>
      <c r="H1496" t="s"/>
      <c r="I1496" t="s"/>
      <c r="J1496" t="n">
        <v>0</v>
      </c>
      <c r="K1496" t="n">
        <v>0</v>
      </c>
      <c r="L1496" t="n">
        <v>1</v>
      </c>
      <c r="M1496" t="n">
        <v>0</v>
      </c>
    </row>
    <row r="1497" spans="1:13">
      <c r="A1497" s="1">
        <f>HYPERLINK("http://www.twitter.com/NathanBLawrence/status/982707321276116993", "982707321276116993")</f>
        <v/>
      </c>
      <c r="B1497" s="2" t="n">
        <v>43197.82704861111</v>
      </c>
      <c r="C1497" t="n">
        <v>0</v>
      </c>
      <c r="D1497" t="n">
        <v>6</v>
      </c>
      <c r="E1497" t="s">
        <v>1502</v>
      </c>
      <c r="F1497" t="s"/>
      <c r="G1497" t="s"/>
      <c r="H1497" t="s"/>
      <c r="I1497" t="s"/>
      <c r="J1497" t="n">
        <v>0</v>
      </c>
      <c r="K1497" t="n">
        <v>0</v>
      </c>
      <c r="L1497" t="n">
        <v>1</v>
      </c>
      <c r="M1497" t="n">
        <v>0</v>
      </c>
    </row>
    <row r="1498" spans="1:13">
      <c r="A1498" s="1">
        <f>HYPERLINK("http://www.twitter.com/NathanBLawrence/status/982707251738705921", "982707251738705921")</f>
        <v/>
      </c>
      <c r="B1498" s="2" t="n">
        <v>43197.82686342593</v>
      </c>
      <c r="C1498" t="n">
        <v>0</v>
      </c>
      <c r="D1498" t="n">
        <v>7</v>
      </c>
      <c r="E1498" t="s">
        <v>1503</v>
      </c>
      <c r="F1498" t="s"/>
      <c r="G1498" t="s"/>
      <c r="H1498" t="s"/>
      <c r="I1498" t="s"/>
      <c r="J1498" t="n">
        <v>0</v>
      </c>
      <c r="K1498" t="n">
        <v>0</v>
      </c>
      <c r="L1498" t="n">
        <v>1</v>
      </c>
      <c r="M1498" t="n">
        <v>0</v>
      </c>
    </row>
    <row r="1499" spans="1:13">
      <c r="A1499" s="1">
        <f>HYPERLINK("http://www.twitter.com/NathanBLawrence/status/982706574450921473", "982706574450921473")</f>
        <v/>
      </c>
      <c r="B1499" s="2" t="n">
        <v>43197.82498842593</v>
      </c>
      <c r="C1499" t="n">
        <v>4</v>
      </c>
      <c r="D1499" t="n">
        <v>2</v>
      </c>
      <c r="E1499" t="s">
        <v>1504</v>
      </c>
      <c r="F1499" t="s"/>
      <c r="G1499" t="s"/>
      <c r="H1499" t="s"/>
      <c r="I1499" t="s"/>
      <c r="J1499" t="n">
        <v>-0.8225</v>
      </c>
      <c r="K1499" t="n">
        <v>0.223</v>
      </c>
      <c r="L1499" t="n">
        <v>0.777</v>
      </c>
      <c r="M1499" t="n">
        <v>0</v>
      </c>
    </row>
    <row r="1500" spans="1:13">
      <c r="A1500" s="1">
        <f>HYPERLINK("http://www.twitter.com/NathanBLawrence/status/982705270932541442", "982705270932541442")</f>
        <v/>
      </c>
      <c r="B1500" s="2" t="n">
        <v>43197.82140046296</v>
      </c>
      <c r="C1500" t="n">
        <v>0</v>
      </c>
      <c r="D1500" t="n">
        <v>2</v>
      </c>
      <c r="E1500" t="s">
        <v>1505</v>
      </c>
      <c r="F1500" t="s"/>
      <c r="G1500" t="s"/>
      <c r="H1500" t="s"/>
      <c r="I1500" t="s"/>
      <c r="J1500" t="n">
        <v>0</v>
      </c>
      <c r="K1500" t="n">
        <v>0</v>
      </c>
      <c r="L1500" t="n">
        <v>1</v>
      </c>
      <c r="M1500" t="n">
        <v>0</v>
      </c>
    </row>
    <row r="1501" spans="1:13">
      <c r="A1501" s="1">
        <f>HYPERLINK("http://www.twitter.com/NathanBLawrence/status/982704277499019266", "982704277499019266")</f>
        <v/>
      </c>
      <c r="B1501" s="2" t="n">
        <v>43197.81865740741</v>
      </c>
      <c r="C1501" t="n">
        <v>0</v>
      </c>
      <c r="D1501" t="n">
        <v>1</v>
      </c>
      <c r="E1501" t="s">
        <v>1506</v>
      </c>
      <c r="F1501" t="s"/>
      <c r="G1501" t="s"/>
      <c r="H1501" t="s"/>
      <c r="I1501" t="s"/>
      <c r="J1501" t="n">
        <v>0</v>
      </c>
      <c r="K1501" t="n">
        <v>0</v>
      </c>
      <c r="L1501" t="n">
        <v>1</v>
      </c>
      <c r="M1501" t="n">
        <v>0</v>
      </c>
    </row>
    <row r="1502" spans="1:13">
      <c r="A1502" s="1">
        <f>HYPERLINK("http://www.twitter.com/NathanBLawrence/status/982677230903025664", "982677230903025664")</f>
        <v/>
      </c>
      <c r="B1502" s="2" t="n">
        <v>43197.7440162037</v>
      </c>
      <c r="C1502" t="n">
        <v>0</v>
      </c>
      <c r="D1502" t="n">
        <v>5</v>
      </c>
      <c r="E1502" t="s">
        <v>1507</v>
      </c>
      <c r="F1502" t="s"/>
      <c r="G1502" t="s"/>
      <c r="H1502" t="s"/>
      <c r="I1502" t="s"/>
      <c r="J1502" t="n">
        <v>0</v>
      </c>
      <c r="K1502" t="n">
        <v>0</v>
      </c>
      <c r="L1502" t="n">
        <v>1</v>
      </c>
      <c r="M1502" t="n">
        <v>0</v>
      </c>
    </row>
    <row r="1503" spans="1:13">
      <c r="A1503" s="1">
        <f>HYPERLINK("http://www.twitter.com/NathanBLawrence/status/982677199231864832", "982677199231864832")</f>
        <v/>
      </c>
      <c r="B1503" s="2" t="n">
        <v>43197.74393518519</v>
      </c>
      <c r="C1503" t="n">
        <v>0</v>
      </c>
      <c r="D1503" t="n">
        <v>6</v>
      </c>
      <c r="E1503" t="s">
        <v>1508</v>
      </c>
      <c r="F1503">
        <f>HYPERLINK("http://pbs.twimg.com/media/DaLpq6HX4AASSWy.jpg", "http://pbs.twimg.com/media/DaLpq6HX4AASSWy.jpg")</f>
        <v/>
      </c>
      <c r="G1503" t="s"/>
      <c r="H1503" t="s"/>
      <c r="I1503" t="s"/>
      <c r="J1503" t="n">
        <v>-0.3612</v>
      </c>
      <c r="K1503" t="n">
        <v>0.234</v>
      </c>
      <c r="L1503" t="n">
        <v>0.638</v>
      </c>
      <c r="M1503" t="n">
        <v>0.128</v>
      </c>
    </row>
    <row r="1504" spans="1:13">
      <c r="A1504" s="1">
        <f>HYPERLINK("http://www.twitter.com/NathanBLawrence/status/982676305744363520", "982676305744363520")</f>
        <v/>
      </c>
      <c r="B1504" s="2" t="n">
        <v>43197.74146990741</v>
      </c>
      <c r="C1504" t="n">
        <v>5</v>
      </c>
      <c r="D1504" t="n">
        <v>1</v>
      </c>
      <c r="E1504" t="s">
        <v>1509</v>
      </c>
      <c r="F1504" t="s"/>
      <c r="G1504" t="s"/>
      <c r="H1504" t="s"/>
      <c r="I1504" t="s"/>
      <c r="J1504" t="n">
        <v>-0.7184</v>
      </c>
      <c r="K1504" t="n">
        <v>0.295</v>
      </c>
      <c r="L1504" t="n">
        <v>0.636</v>
      </c>
      <c r="M1504" t="n">
        <v>0.068</v>
      </c>
    </row>
    <row r="1505" spans="1:13">
      <c r="A1505" s="1">
        <f>HYPERLINK("http://www.twitter.com/NathanBLawrence/status/982517417007083520", "982517417007083520")</f>
        <v/>
      </c>
      <c r="B1505" s="2" t="n">
        <v>43197.30302083334</v>
      </c>
      <c r="C1505" t="n">
        <v>0</v>
      </c>
      <c r="D1505" t="n">
        <v>4</v>
      </c>
      <c r="E1505" t="s">
        <v>1510</v>
      </c>
      <c r="F1505" t="s"/>
      <c r="G1505" t="s"/>
      <c r="H1505" t="s"/>
      <c r="I1505" t="s"/>
      <c r="J1505" t="n">
        <v>-0.6114000000000001</v>
      </c>
      <c r="K1505" t="n">
        <v>0.235</v>
      </c>
      <c r="L1505" t="n">
        <v>0.765</v>
      </c>
      <c r="M1505" t="n">
        <v>0</v>
      </c>
    </row>
    <row r="1506" spans="1:13">
      <c r="A1506" s="1">
        <f>HYPERLINK("http://www.twitter.com/NathanBLawrence/status/982517346647633920", "982517346647633920")</f>
        <v/>
      </c>
      <c r="B1506" s="2" t="n">
        <v>43197.30282407408</v>
      </c>
      <c r="C1506" t="n">
        <v>0</v>
      </c>
      <c r="D1506" t="n">
        <v>92</v>
      </c>
      <c r="E1506" t="s">
        <v>1511</v>
      </c>
      <c r="F1506" t="s"/>
      <c r="G1506" t="s"/>
      <c r="H1506" t="s"/>
      <c r="I1506" t="s"/>
      <c r="J1506" t="n">
        <v>-0.08069999999999999</v>
      </c>
      <c r="K1506" t="n">
        <v>0.123</v>
      </c>
      <c r="L1506" t="n">
        <v>0.767</v>
      </c>
      <c r="M1506" t="n">
        <v>0.11</v>
      </c>
    </row>
    <row r="1507" spans="1:13">
      <c r="A1507" s="1">
        <f>HYPERLINK("http://www.twitter.com/NathanBLawrence/status/982517268507779072", "982517268507779072")</f>
        <v/>
      </c>
      <c r="B1507" s="2" t="n">
        <v>43197.30260416667</v>
      </c>
      <c r="C1507" t="n">
        <v>0</v>
      </c>
      <c r="D1507" t="n">
        <v>10</v>
      </c>
      <c r="E1507" t="s">
        <v>1512</v>
      </c>
      <c r="F1507" t="s"/>
      <c r="G1507" t="s"/>
      <c r="H1507" t="s"/>
      <c r="I1507" t="s"/>
      <c r="J1507" t="n">
        <v>-0.4215</v>
      </c>
      <c r="K1507" t="n">
        <v>0.128</v>
      </c>
      <c r="L1507" t="n">
        <v>0.872</v>
      </c>
      <c r="M1507" t="n">
        <v>0</v>
      </c>
    </row>
    <row r="1508" spans="1:13">
      <c r="A1508" s="1">
        <f>HYPERLINK("http://www.twitter.com/NathanBLawrence/status/982517233279799296", "982517233279799296")</f>
        <v/>
      </c>
      <c r="B1508" s="2" t="n">
        <v>43197.30251157407</v>
      </c>
      <c r="C1508" t="n">
        <v>0</v>
      </c>
      <c r="D1508" t="n">
        <v>3888</v>
      </c>
      <c r="E1508" t="s">
        <v>1513</v>
      </c>
      <c r="F1508">
        <f>HYPERLINK("http://pbs.twimg.com/media/DZul1uGU8AADwuS.jpg", "http://pbs.twimg.com/media/DZul1uGU8AADwuS.jpg")</f>
        <v/>
      </c>
      <c r="G1508" t="s"/>
      <c r="H1508" t="s"/>
      <c r="I1508" t="s"/>
      <c r="J1508" t="n">
        <v>-0.7845</v>
      </c>
      <c r="K1508" t="n">
        <v>0.257</v>
      </c>
      <c r="L1508" t="n">
        <v>0.743</v>
      </c>
      <c r="M1508" t="n">
        <v>0</v>
      </c>
    </row>
    <row r="1509" spans="1:13">
      <c r="A1509" s="1">
        <f>HYPERLINK("http://www.twitter.com/NathanBLawrence/status/982517179496136704", "982517179496136704")</f>
        <v/>
      </c>
      <c r="B1509" s="2" t="n">
        <v>43197.30236111111</v>
      </c>
      <c r="C1509" t="n">
        <v>0</v>
      </c>
      <c r="D1509" t="n">
        <v>7</v>
      </c>
      <c r="E1509" t="s">
        <v>1514</v>
      </c>
      <c r="F1509" t="s"/>
      <c r="G1509" t="s"/>
      <c r="H1509" t="s"/>
      <c r="I1509" t="s"/>
      <c r="J1509" t="n">
        <v>0.6734</v>
      </c>
      <c r="K1509" t="n">
        <v>0</v>
      </c>
      <c r="L1509" t="n">
        <v>0.792</v>
      </c>
      <c r="M1509" t="n">
        <v>0.208</v>
      </c>
    </row>
    <row r="1510" spans="1:13">
      <c r="A1510" s="1">
        <f>HYPERLINK("http://www.twitter.com/NathanBLawrence/status/982516906891665408", "982516906891665408")</f>
        <v/>
      </c>
      <c r="B1510" s="2" t="n">
        <v>43197.3016087963</v>
      </c>
      <c r="C1510" t="n">
        <v>0</v>
      </c>
      <c r="D1510" t="n">
        <v>10005</v>
      </c>
      <c r="E1510" t="s">
        <v>1515</v>
      </c>
      <c r="F1510">
        <f>HYPERLINK("http://pbs.twimg.com/media/DaBtI98VQAAI7i7.jpg", "http://pbs.twimg.com/media/DaBtI98VQAAI7i7.jpg")</f>
        <v/>
      </c>
      <c r="G1510" t="s"/>
      <c r="H1510" t="s"/>
      <c r="I1510" t="s"/>
      <c r="J1510" t="n">
        <v>0.4648</v>
      </c>
      <c r="K1510" t="n">
        <v>0</v>
      </c>
      <c r="L1510" t="n">
        <v>0.868</v>
      </c>
      <c r="M1510" t="n">
        <v>0.132</v>
      </c>
    </row>
    <row r="1511" spans="1:13">
      <c r="A1511" s="1">
        <f>HYPERLINK("http://www.twitter.com/NathanBLawrence/status/982516833701031936", "982516833701031936")</f>
        <v/>
      </c>
      <c r="B1511" s="2" t="n">
        <v>43197.30141203704</v>
      </c>
      <c r="C1511" t="n">
        <v>0</v>
      </c>
      <c r="D1511" t="n">
        <v>4</v>
      </c>
      <c r="E1511" t="s">
        <v>1516</v>
      </c>
      <c r="F1511" t="s"/>
      <c r="G1511" t="s"/>
      <c r="H1511" t="s"/>
      <c r="I1511" t="s"/>
      <c r="J1511" t="n">
        <v>-0.6705</v>
      </c>
      <c r="K1511" t="n">
        <v>0.193</v>
      </c>
      <c r="L1511" t="n">
        <v>0.8070000000000001</v>
      </c>
      <c r="M1511" t="n">
        <v>0</v>
      </c>
    </row>
    <row r="1512" spans="1:13">
      <c r="A1512" s="1">
        <f>HYPERLINK("http://www.twitter.com/NathanBLawrence/status/982516720572215296", "982516720572215296")</f>
        <v/>
      </c>
      <c r="B1512" s="2" t="n">
        <v>43197.30109953704</v>
      </c>
      <c r="C1512" t="n">
        <v>0</v>
      </c>
      <c r="D1512" t="n">
        <v>498</v>
      </c>
      <c r="E1512" t="s">
        <v>1517</v>
      </c>
      <c r="F1512" t="s"/>
      <c r="G1512" t="s"/>
      <c r="H1512" t="s"/>
      <c r="I1512" t="s"/>
      <c r="J1512" t="n">
        <v>-0.7964</v>
      </c>
      <c r="K1512" t="n">
        <v>0.323</v>
      </c>
      <c r="L1512" t="n">
        <v>0.677</v>
      </c>
      <c r="M1512" t="n">
        <v>0</v>
      </c>
    </row>
    <row r="1513" spans="1:13">
      <c r="A1513" s="1">
        <f>HYPERLINK("http://www.twitter.com/NathanBLawrence/status/982516620957450240", "982516620957450240")</f>
        <v/>
      </c>
      <c r="B1513" s="2" t="n">
        <v>43197.30082175926</v>
      </c>
      <c r="C1513" t="n">
        <v>0</v>
      </c>
      <c r="D1513" t="n">
        <v>2</v>
      </c>
      <c r="E1513" t="s">
        <v>1518</v>
      </c>
      <c r="F1513" t="s"/>
      <c r="G1513" t="s"/>
      <c r="H1513" t="s"/>
      <c r="I1513" t="s"/>
      <c r="J1513" t="n">
        <v>-0.886</v>
      </c>
      <c r="K1513" t="n">
        <v>0.533</v>
      </c>
      <c r="L1513" t="n">
        <v>0.467</v>
      </c>
      <c r="M1513" t="n">
        <v>0</v>
      </c>
    </row>
    <row r="1514" spans="1:13">
      <c r="A1514" s="1">
        <f>HYPERLINK("http://www.twitter.com/NathanBLawrence/status/982516574514016256", "982516574514016256")</f>
        <v/>
      </c>
      <c r="B1514" s="2" t="n">
        <v>43197.30069444444</v>
      </c>
      <c r="C1514" t="n">
        <v>0</v>
      </c>
      <c r="D1514" t="n">
        <v>14755</v>
      </c>
      <c r="E1514" t="s">
        <v>1519</v>
      </c>
      <c r="F1514" t="s"/>
      <c r="G1514" t="s"/>
      <c r="H1514" t="s"/>
      <c r="I1514" t="s"/>
      <c r="J1514" t="n">
        <v>-0.7269</v>
      </c>
      <c r="K1514" t="n">
        <v>0.317</v>
      </c>
      <c r="L1514" t="n">
        <v>0.59</v>
      </c>
      <c r="M1514" t="n">
        <v>0.092</v>
      </c>
    </row>
    <row r="1515" spans="1:13">
      <c r="A1515" s="1">
        <f>HYPERLINK("http://www.twitter.com/NathanBLawrence/status/982516450274545664", "982516450274545664")</f>
        <v/>
      </c>
      <c r="B1515" s="2" t="n">
        <v>43197.30034722222</v>
      </c>
      <c r="C1515" t="n">
        <v>0</v>
      </c>
      <c r="D1515" t="n">
        <v>7</v>
      </c>
      <c r="E1515" t="s">
        <v>1520</v>
      </c>
      <c r="F1515" t="s"/>
      <c r="G1515" t="s"/>
      <c r="H1515" t="s"/>
      <c r="I1515" t="s"/>
      <c r="J1515" t="n">
        <v>-0.4588</v>
      </c>
      <c r="K1515" t="n">
        <v>0.182</v>
      </c>
      <c r="L1515" t="n">
        <v>0.8179999999999999</v>
      </c>
      <c r="M1515" t="n">
        <v>0</v>
      </c>
    </row>
    <row r="1516" spans="1:13">
      <c r="A1516" s="1">
        <f>HYPERLINK("http://www.twitter.com/NathanBLawrence/status/982516315490603010", "982516315490603010")</f>
        <v/>
      </c>
      <c r="B1516" s="2" t="n">
        <v>43197.29997685185</v>
      </c>
      <c r="C1516" t="n">
        <v>0</v>
      </c>
      <c r="D1516" t="n">
        <v>6</v>
      </c>
      <c r="E1516" t="s">
        <v>1521</v>
      </c>
      <c r="F1516" t="s"/>
      <c r="G1516" t="s"/>
      <c r="H1516" t="s"/>
      <c r="I1516" t="s"/>
      <c r="J1516" t="n">
        <v>0.3612</v>
      </c>
      <c r="K1516" t="n">
        <v>0</v>
      </c>
      <c r="L1516" t="n">
        <v>0.889</v>
      </c>
      <c r="M1516" t="n">
        <v>0.111</v>
      </c>
    </row>
    <row r="1517" spans="1:13">
      <c r="A1517" s="1">
        <f>HYPERLINK("http://www.twitter.com/NathanBLawrence/status/982516206082117632", "982516206082117632")</f>
        <v/>
      </c>
      <c r="B1517" s="2" t="n">
        <v>43197.29967592593</v>
      </c>
      <c r="C1517" t="n">
        <v>0</v>
      </c>
      <c r="D1517" t="n">
        <v>899</v>
      </c>
      <c r="E1517" t="s">
        <v>1522</v>
      </c>
      <c r="F1517">
        <f>HYPERLINK("http://pbs.twimg.com/media/DaKPXjqX0AEnEmX.jpg", "http://pbs.twimg.com/media/DaKPXjqX0AEnEmX.jpg")</f>
        <v/>
      </c>
      <c r="G1517" t="s"/>
      <c r="H1517" t="s"/>
      <c r="I1517" t="s"/>
      <c r="J1517" t="n">
        <v>0.5994</v>
      </c>
      <c r="K1517" t="n">
        <v>0</v>
      </c>
      <c r="L1517" t="n">
        <v>0.786</v>
      </c>
      <c r="M1517" t="n">
        <v>0.214</v>
      </c>
    </row>
    <row r="1518" spans="1:13">
      <c r="A1518" s="1">
        <f>HYPERLINK("http://www.twitter.com/NathanBLawrence/status/982516119780110336", "982516119780110336")</f>
        <v/>
      </c>
      <c r="B1518" s="2" t="n">
        <v>43197.29943287037</v>
      </c>
      <c r="C1518" t="n">
        <v>0</v>
      </c>
      <c r="D1518" t="n">
        <v>1769</v>
      </c>
      <c r="E1518" t="s">
        <v>1523</v>
      </c>
      <c r="F1518" t="s"/>
      <c r="G1518" t="s"/>
      <c r="H1518" t="s"/>
      <c r="I1518" t="s"/>
      <c r="J1518" t="n">
        <v>0.5562</v>
      </c>
      <c r="K1518" t="n">
        <v>0</v>
      </c>
      <c r="L1518" t="n">
        <v>0.805</v>
      </c>
      <c r="M1518" t="n">
        <v>0.195</v>
      </c>
    </row>
    <row r="1519" spans="1:13">
      <c r="A1519" s="1">
        <f>HYPERLINK("http://www.twitter.com/NathanBLawrence/status/982516032496693249", "982516032496693249")</f>
        <v/>
      </c>
      <c r="B1519" s="2" t="n">
        <v>43197.29920138889</v>
      </c>
      <c r="C1519" t="n">
        <v>0</v>
      </c>
      <c r="D1519" t="n">
        <v>3725</v>
      </c>
      <c r="E1519" t="s">
        <v>1524</v>
      </c>
      <c r="F1519" t="s"/>
      <c r="G1519" t="s"/>
      <c r="H1519" t="s"/>
      <c r="I1519" t="s"/>
      <c r="J1519" t="n">
        <v>-0.4588</v>
      </c>
      <c r="K1519" t="n">
        <v>0.21</v>
      </c>
      <c r="L1519" t="n">
        <v>0.6879999999999999</v>
      </c>
      <c r="M1519" t="n">
        <v>0.101</v>
      </c>
    </row>
    <row r="1520" spans="1:13">
      <c r="A1520" s="1">
        <f>HYPERLINK("http://www.twitter.com/NathanBLawrence/status/982515641830821888", "982515641830821888")</f>
        <v/>
      </c>
      <c r="B1520" s="2" t="n">
        <v>43197.29811342592</v>
      </c>
      <c r="C1520" t="n">
        <v>0</v>
      </c>
      <c r="D1520" t="n">
        <v>10410</v>
      </c>
      <c r="E1520" t="s">
        <v>1525</v>
      </c>
      <c r="F1520" t="s"/>
      <c r="G1520" t="s"/>
      <c r="H1520" t="s"/>
      <c r="I1520" t="s"/>
      <c r="J1520" t="n">
        <v>0</v>
      </c>
      <c r="K1520" t="n">
        <v>0</v>
      </c>
      <c r="L1520" t="n">
        <v>1</v>
      </c>
      <c r="M1520" t="n">
        <v>0</v>
      </c>
    </row>
    <row r="1521" spans="1:13">
      <c r="A1521" s="1">
        <f>HYPERLINK("http://www.twitter.com/NathanBLawrence/status/982515499442626560", "982515499442626560")</f>
        <v/>
      </c>
      <c r="B1521" s="2" t="n">
        <v>43197.29771990741</v>
      </c>
      <c r="C1521" t="n">
        <v>0</v>
      </c>
      <c r="D1521" t="n">
        <v>6083</v>
      </c>
      <c r="E1521" t="s">
        <v>1526</v>
      </c>
      <c r="F1521" t="s"/>
      <c r="G1521" t="s"/>
      <c r="H1521" t="s"/>
      <c r="I1521" t="s"/>
      <c r="J1521" t="n">
        <v>-0.0772</v>
      </c>
      <c r="K1521" t="n">
        <v>0.139</v>
      </c>
      <c r="L1521" t="n">
        <v>0.696</v>
      </c>
      <c r="M1521" t="n">
        <v>0.165</v>
      </c>
    </row>
    <row r="1522" spans="1:13">
      <c r="A1522" s="1">
        <f>HYPERLINK("http://www.twitter.com/NathanBLawrence/status/982515442274226176", "982515442274226176")</f>
        <v/>
      </c>
      <c r="B1522" s="2" t="n">
        <v>43197.29756944445</v>
      </c>
      <c r="C1522" t="n">
        <v>0</v>
      </c>
      <c r="D1522" t="n">
        <v>17</v>
      </c>
      <c r="E1522" t="s">
        <v>1527</v>
      </c>
      <c r="F1522">
        <f>HYPERLINK("http://pbs.twimg.com/media/DaJ58fGXUAEH9GZ.jpg", "http://pbs.twimg.com/media/DaJ58fGXUAEH9GZ.jpg")</f>
        <v/>
      </c>
      <c r="G1522" t="s"/>
      <c r="H1522" t="s"/>
      <c r="I1522" t="s"/>
      <c r="J1522" t="n">
        <v>-0.85</v>
      </c>
      <c r="K1522" t="n">
        <v>0.374</v>
      </c>
      <c r="L1522" t="n">
        <v>0.52</v>
      </c>
      <c r="M1522" t="n">
        <v>0.106</v>
      </c>
    </row>
    <row r="1523" spans="1:13">
      <c r="A1523" s="1">
        <f>HYPERLINK("http://www.twitter.com/NathanBLawrence/status/982515313735553024", "982515313735553024")</f>
        <v/>
      </c>
      <c r="B1523" s="2" t="n">
        <v>43197.29721064815</v>
      </c>
      <c r="C1523" t="n">
        <v>0</v>
      </c>
      <c r="D1523" t="n">
        <v>8</v>
      </c>
      <c r="E1523" t="s">
        <v>1528</v>
      </c>
      <c r="F1523" t="s"/>
      <c r="G1523" t="s"/>
      <c r="H1523" t="s"/>
      <c r="I1523" t="s"/>
      <c r="J1523" t="n">
        <v>0</v>
      </c>
      <c r="K1523" t="n">
        <v>0</v>
      </c>
      <c r="L1523" t="n">
        <v>1</v>
      </c>
      <c r="M1523" t="n">
        <v>0</v>
      </c>
    </row>
    <row r="1524" spans="1:13">
      <c r="A1524" s="1">
        <f>HYPERLINK("http://www.twitter.com/NathanBLawrence/status/982515237583716352", "982515237583716352")</f>
        <v/>
      </c>
      <c r="B1524" s="2" t="n">
        <v>43197.29700231482</v>
      </c>
      <c r="C1524" t="n">
        <v>0</v>
      </c>
      <c r="D1524" t="n">
        <v>2720</v>
      </c>
      <c r="E1524" t="s">
        <v>1529</v>
      </c>
      <c r="F1524" t="s"/>
      <c r="G1524" t="s"/>
      <c r="H1524" t="s"/>
      <c r="I1524" t="s"/>
      <c r="J1524" t="n">
        <v>0.296</v>
      </c>
      <c r="K1524" t="n">
        <v>0</v>
      </c>
      <c r="L1524" t="n">
        <v>0.896</v>
      </c>
      <c r="M1524" t="n">
        <v>0.104</v>
      </c>
    </row>
    <row r="1525" spans="1:13">
      <c r="A1525" s="1">
        <f>HYPERLINK("http://www.twitter.com/NathanBLawrence/status/982515196504702976", "982515196504702976")</f>
        <v/>
      </c>
      <c r="B1525" s="2" t="n">
        <v>43197.29688657408</v>
      </c>
      <c r="C1525" t="n">
        <v>0</v>
      </c>
      <c r="D1525" t="n">
        <v>10482</v>
      </c>
      <c r="E1525" t="s">
        <v>1530</v>
      </c>
      <c r="F1525" t="s"/>
      <c r="G1525" t="s"/>
      <c r="H1525" t="s"/>
      <c r="I1525" t="s"/>
      <c r="J1525" t="n">
        <v>0.4215</v>
      </c>
      <c r="K1525" t="n">
        <v>0</v>
      </c>
      <c r="L1525" t="n">
        <v>0.877</v>
      </c>
      <c r="M1525" t="n">
        <v>0.123</v>
      </c>
    </row>
    <row r="1526" spans="1:13">
      <c r="A1526" s="1">
        <f>HYPERLINK("http://www.twitter.com/NathanBLawrence/status/982514854576775168", "982514854576775168")</f>
        <v/>
      </c>
      <c r="B1526" s="2" t="n">
        <v>43197.29594907408</v>
      </c>
      <c r="C1526" t="n">
        <v>0</v>
      </c>
      <c r="D1526" t="n">
        <v>3864</v>
      </c>
      <c r="E1526" t="s">
        <v>1531</v>
      </c>
      <c r="F1526" t="s"/>
      <c r="G1526" t="s"/>
      <c r="H1526" t="s"/>
      <c r="I1526" t="s"/>
      <c r="J1526" t="n">
        <v>0</v>
      </c>
      <c r="K1526" t="n">
        <v>0</v>
      </c>
      <c r="L1526" t="n">
        <v>1</v>
      </c>
      <c r="M1526" t="n">
        <v>0</v>
      </c>
    </row>
    <row r="1527" spans="1:13">
      <c r="A1527" s="1">
        <f>HYPERLINK("http://www.twitter.com/NathanBLawrence/status/982514624313679872", "982514624313679872")</f>
        <v/>
      </c>
      <c r="B1527" s="2" t="n">
        <v>43197.2953125</v>
      </c>
      <c r="C1527" t="n">
        <v>0</v>
      </c>
      <c r="D1527" t="n">
        <v>5</v>
      </c>
      <c r="E1527" t="s">
        <v>1532</v>
      </c>
      <c r="F1527" t="s"/>
      <c r="G1527" t="s"/>
      <c r="H1527" t="s"/>
      <c r="I1527" t="s"/>
      <c r="J1527" t="n">
        <v>0.3612</v>
      </c>
      <c r="K1527" t="n">
        <v>0</v>
      </c>
      <c r="L1527" t="n">
        <v>0.865</v>
      </c>
      <c r="M1527" t="n">
        <v>0.135</v>
      </c>
    </row>
    <row r="1528" spans="1:13">
      <c r="A1528" s="1">
        <f>HYPERLINK("http://www.twitter.com/NathanBLawrence/status/982514545326518272", "982514545326518272")</f>
        <v/>
      </c>
      <c r="B1528" s="2" t="n">
        <v>43197.29509259259</v>
      </c>
      <c r="C1528" t="n">
        <v>0</v>
      </c>
      <c r="D1528" t="n">
        <v>4</v>
      </c>
      <c r="E1528" t="s">
        <v>1533</v>
      </c>
      <c r="F1528" t="s"/>
      <c r="G1528" t="s"/>
      <c r="H1528" t="s"/>
      <c r="I1528" t="s"/>
      <c r="J1528" t="n">
        <v>0.1531</v>
      </c>
      <c r="K1528" t="n">
        <v>0.096</v>
      </c>
      <c r="L1528" t="n">
        <v>0.783</v>
      </c>
      <c r="M1528" t="n">
        <v>0.122</v>
      </c>
    </row>
    <row r="1529" spans="1:13">
      <c r="A1529" s="1">
        <f>HYPERLINK("http://www.twitter.com/NathanBLawrence/status/982514442930966528", "982514442930966528")</f>
        <v/>
      </c>
      <c r="B1529" s="2" t="n">
        <v>43197.29481481481</v>
      </c>
      <c r="C1529" t="n">
        <v>0</v>
      </c>
      <c r="D1529" t="n">
        <v>6</v>
      </c>
      <c r="E1529" t="s">
        <v>1534</v>
      </c>
      <c r="F1529" t="s"/>
      <c r="G1529" t="s"/>
      <c r="H1529" t="s"/>
      <c r="I1529" t="s"/>
      <c r="J1529" t="n">
        <v>-0.7506</v>
      </c>
      <c r="K1529" t="n">
        <v>0.283</v>
      </c>
      <c r="L1529" t="n">
        <v>0.656</v>
      </c>
      <c r="M1529" t="n">
        <v>0.061</v>
      </c>
    </row>
    <row r="1530" spans="1:13">
      <c r="A1530" s="1">
        <f>HYPERLINK("http://www.twitter.com/NathanBLawrence/status/982514261393133568", "982514261393133568")</f>
        <v/>
      </c>
      <c r="B1530" s="2" t="n">
        <v>43197.29430555556</v>
      </c>
      <c r="C1530" t="n">
        <v>0</v>
      </c>
      <c r="D1530" t="n">
        <v>7</v>
      </c>
      <c r="E1530" t="s">
        <v>1535</v>
      </c>
      <c r="F1530" t="s"/>
      <c r="G1530" t="s"/>
      <c r="H1530" t="s"/>
      <c r="I1530" t="s"/>
      <c r="J1530" t="n">
        <v>0.3939</v>
      </c>
      <c r="K1530" t="n">
        <v>0</v>
      </c>
      <c r="L1530" t="n">
        <v>0.877</v>
      </c>
      <c r="M1530" t="n">
        <v>0.123</v>
      </c>
    </row>
    <row r="1531" spans="1:13">
      <c r="A1531" s="1">
        <f>HYPERLINK("http://www.twitter.com/NathanBLawrence/status/982514132216963072", "982514132216963072")</f>
        <v/>
      </c>
      <c r="B1531" s="2" t="n">
        <v>43197.29395833334</v>
      </c>
      <c r="C1531" t="n">
        <v>0</v>
      </c>
      <c r="D1531" t="n">
        <v>1</v>
      </c>
      <c r="E1531" t="s">
        <v>1536</v>
      </c>
      <c r="F1531" t="s"/>
      <c r="G1531" t="s"/>
      <c r="H1531" t="s"/>
      <c r="I1531" t="s"/>
      <c r="J1531" t="n">
        <v>0.4926</v>
      </c>
      <c r="K1531" t="n">
        <v>0</v>
      </c>
      <c r="L1531" t="n">
        <v>0.758</v>
      </c>
      <c r="M1531" t="n">
        <v>0.242</v>
      </c>
    </row>
    <row r="1532" spans="1:13">
      <c r="A1532" s="1">
        <f>HYPERLINK("http://www.twitter.com/NathanBLawrence/status/982514087665045504", "982514087665045504")</f>
        <v/>
      </c>
      <c r="B1532" s="2" t="n">
        <v>43197.29383101852</v>
      </c>
      <c r="C1532" t="n">
        <v>0</v>
      </c>
      <c r="D1532" t="n">
        <v>5</v>
      </c>
      <c r="E1532" t="s">
        <v>1537</v>
      </c>
      <c r="F1532" t="s"/>
      <c r="G1532" t="s"/>
      <c r="H1532" t="s"/>
      <c r="I1532" t="s"/>
      <c r="J1532" t="n">
        <v>-0.4708</v>
      </c>
      <c r="K1532" t="n">
        <v>0.226</v>
      </c>
      <c r="L1532" t="n">
        <v>0.668</v>
      </c>
      <c r="M1532" t="n">
        <v>0.106</v>
      </c>
    </row>
    <row r="1533" spans="1:13">
      <c r="A1533" s="1">
        <f>HYPERLINK("http://www.twitter.com/NathanBLawrence/status/982514027757756416", "982514027757756416")</f>
        <v/>
      </c>
      <c r="B1533" s="2" t="n">
        <v>43197.29366898148</v>
      </c>
      <c r="C1533" t="n">
        <v>0</v>
      </c>
      <c r="D1533" t="n">
        <v>6</v>
      </c>
      <c r="E1533" t="s">
        <v>1538</v>
      </c>
      <c r="F1533" t="s"/>
      <c r="G1533" t="s"/>
      <c r="H1533" t="s"/>
      <c r="I1533" t="s"/>
      <c r="J1533" t="n">
        <v>-0.3818</v>
      </c>
      <c r="K1533" t="n">
        <v>0.126</v>
      </c>
      <c r="L1533" t="n">
        <v>0.874</v>
      </c>
      <c r="M1533" t="n">
        <v>0</v>
      </c>
    </row>
    <row r="1534" spans="1:13">
      <c r="A1534" s="1">
        <f>HYPERLINK("http://www.twitter.com/NathanBLawrence/status/982513897352687617", "982513897352687617")</f>
        <v/>
      </c>
      <c r="B1534" s="2" t="n">
        <v>43197.29331018519</v>
      </c>
      <c r="C1534" t="n">
        <v>0</v>
      </c>
      <c r="D1534" t="n">
        <v>38</v>
      </c>
      <c r="E1534" t="s">
        <v>1539</v>
      </c>
      <c r="F1534" t="s"/>
      <c r="G1534" t="s"/>
      <c r="H1534" t="s"/>
      <c r="I1534" t="s"/>
      <c r="J1534" t="n">
        <v>0.8802</v>
      </c>
      <c r="K1534" t="n">
        <v>0</v>
      </c>
      <c r="L1534" t="n">
        <v>0.651</v>
      </c>
      <c r="M1534" t="n">
        <v>0.349</v>
      </c>
    </row>
    <row r="1535" spans="1:13">
      <c r="A1535" s="1">
        <f>HYPERLINK("http://www.twitter.com/NathanBLawrence/status/982513841388052480", "982513841388052480")</f>
        <v/>
      </c>
      <c r="B1535" s="2" t="n">
        <v>43197.29314814815</v>
      </c>
      <c r="C1535" t="n">
        <v>0</v>
      </c>
      <c r="D1535" t="n">
        <v>54</v>
      </c>
      <c r="E1535" t="s">
        <v>1540</v>
      </c>
      <c r="F1535" t="s"/>
      <c r="G1535" t="s"/>
      <c r="H1535" t="s"/>
      <c r="I1535" t="s"/>
      <c r="J1535" t="n">
        <v>0.3182</v>
      </c>
      <c r="K1535" t="n">
        <v>0</v>
      </c>
      <c r="L1535" t="n">
        <v>0.901</v>
      </c>
      <c r="M1535" t="n">
        <v>0.099</v>
      </c>
    </row>
    <row r="1536" spans="1:13">
      <c r="A1536" s="1">
        <f>HYPERLINK("http://www.twitter.com/NathanBLawrence/status/982513740888399872", "982513740888399872")</f>
        <v/>
      </c>
      <c r="B1536" s="2" t="n">
        <v>43197.29287037037</v>
      </c>
      <c r="C1536" t="n">
        <v>0</v>
      </c>
      <c r="D1536" t="n">
        <v>3247</v>
      </c>
      <c r="E1536" t="s">
        <v>1541</v>
      </c>
      <c r="F1536" t="s"/>
      <c r="G1536" t="s"/>
      <c r="H1536" t="s"/>
      <c r="I1536" t="s"/>
      <c r="J1536" t="n">
        <v>-0.7964</v>
      </c>
      <c r="K1536" t="n">
        <v>0.323</v>
      </c>
      <c r="L1536" t="n">
        <v>0.677</v>
      </c>
      <c r="M1536" t="n">
        <v>0</v>
      </c>
    </row>
    <row r="1537" spans="1:13">
      <c r="A1537" s="1">
        <f>HYPERLINK("http://www.twitter.com/NathanBLawrence/status/982510530752581632", "982510530752581632")</f>
        <v/>
      </c>
      <c r="B1537" s="2" t="n">
        <v>43197.2840162037</v>
      </c>
      <c r="C1537" t="n">
        <v>0</v>
      </c>
      <c r="D1537" t="n">
        <v>0</v>
      </c>
      <c r="E1537" t="s">
        <v>1542</v>
      </c>
      <c r="F1537" t="s"/>
      <c r="G1537" t="s"/>
      <c r="H1537" t="s"/>
      <c r="I1537" t="s"/>
      <c r="J1537" t="n">
        <v>-0.4215</v>
      </c>
      <c r="K1537" t="n">
        <v>0.211</v>
      </c>
      <c r="L1537" t="n">
        <v>0.6909999999999999</v>
      </c>
      <c r="M1537" t="n">
        <v>0.098</v>
      </c>
    </row>
    <row r="1538" spans="1:13">
      <c r="A1538" s="1">
        <f>HYPERLINK("http://www.twitter.com/NathanBLawrence/status/982508590438211584", "982508590438211584")</f>
        <v/>
      </c>
      <c r="B1538" s="2" t="n">
        <v>43197.27865740741</v>
      </c>
      <c r="C1538" t="n">
        <v>0</v>
      </c>
      <c r="D1538" t="n">
        <v>0</v>
      </c>
      <c r="E1538" t="s">
        <v>1543</v>
      </c>
      <c r="F1538" t="s"/>
      <c r="G1538" t="s"/>
      <c r="H1538" t="s"/>
      <c r="I1538" t="s"/>
      <c r="J1538" t="n">
        <v>0.4404</v>
      </c>
      <c r="K1538" t="n">
        <v>0</v>
      </c>
      <c r="L1538" t="n">
        <v>0.791</v>
      </c>
      <c r="M1538" t="n">
        <v>0.209</v>
      </c>
    </row>
    <row r="1539" spans="1:13">
      <c r="A1539" s="1">
        <f>HYPERLINK("http://www.twitter.com/NathanBLawrence/status/981608943561641984", "981608943561641984")</f>
        <v/>
      </c>
      <c r="B1539" s="2" t="n">
        <v>43194.79611111111</v>
      </c>
      <c r="C1539" t="n">
        <v>0</v>
      </c>
      <c r="D1539" t="n">
        <v>0</v>
      </c>
      <c r="E1539" t="s">
        <v>1544</v>
      </c>
      <c r="F1539" t="s"/>
      <c r="G1539" t="s"/>
      <c r="H1539" t="s"/>
      <c r="I1539" t="s"/>
      <c r="J1539" t="n">
        <v>-0.4939</v>
      </c>
      <c r="K1539" t="n">
        <v>0.225</v>
      </c>
      <c r="L1539" t="n">
        <v>0.775</v>
      </c>
      <c r="M1539" t="n">
        <v>0</v>
      </c>
    </row>
    <row r="1540" spans="1:13">
      <c r="A1540" s="1">
        <f>HYPERLINK("http://www.twitter.com/NathanBLawrence/status/981608743027736576", "981608743027736576")</f>
        <v/>
      </c>
      <c r="B1540" s="2" t="n">
        <v>43194.79555555555</v>
      </c>
      <c r="C1540" t="n">
        <v>0</v>
      </c>
      <c r="D1540" t="n">
        <v>0</v>
      </c>
      <c r="E1540" t="s">
        <v>1545</v>
      </c>
      <c r="F1540" t="s"/>
      <c r="G1540" t="s"/>
      <c r="H1540" t="s"/>
      <c r="I1540" t="s"/>
      <c r="J1540" t="n">
        <v>-0.4939</v>
      </c>
      <c r="K1540" t="n">
        <v>0.225</v>
      </c>
      <c r="L1540" t="n">
        <v>0.775</v>
      </c>
      <c r="M1540" t="n">
        <v>0</v>
      </c>
    </row>
    <row r="1541" spans="1:13">
      <c r="A1541" s="1">
        <f>HYPERLINK("http://www.twitter.com/NathanBLawrence/status/981604370361077761", "981604370361077761")</f>
        <v/>
      </c>
      <c r="B1541" s="2" t="n">
        <v>43194.78348379629</v>
      </c>
      <c r="C1541" t="n">
        <v>0</v>
      </c>
      <c r="D1541" t="n">
        <v>0</v>
      </c>
      <c r="E1541" t="s">
        <v>1546</v>
      </c>
      <c r="F1541" t="s"/>
      <c r="G1541" t="s"/>
      <c r="H1541" t="s"/>
      <c r="I1541" t="s"/>
      <c r="J1541" t="n">
        <v>-0.4939</v>
      </c>
      <c r="K1541" t="n">
        <v>0.225</v>
      </c>
      <c r="L1541" t="n">
        <v>0.775</v>
      </c>
      <c r="M1541" t="n">
        <v>0</v>
      </c>
    </row>
    <row r="1542" spans="1:13">
      <c r="A1542" s="1">
        <f>HYPERLINK("http://www.twitter.com/NathanBLawrence/status/981298862378897410", "981298862378897410")</f>
        <v/>
      </c>
      <c r="B1542" s="2" t="n">
        <v>43193.94045138889</v>
      </c>
      <c r="C1542" t="n">
        <v>0</v>
      </c>
      <c r="D1542" t="n">
        <v>817</v>
      </c>
      <c r="E1542" t="s">
        <v>1547</v>
      </c>
      <c r="F1542" t="s"/>
      <c r="G1542" t="s"/>
      <c r="H1542" t="s"/>
      <c r="I1542" t="s"/>
      <c r="J1542" t="n">
        <v>0</v>
      </c>
      <c r="K1542" t="n">
        <v>0</v>
      </c>
      <c r="L1542" t="n">
        <v>1</v>
      </c>
      <c r="M1542" t="n">
        <v>0</v>
      </c>
    </row>
    <row r="1543" spans="1:13">
      <c r="A1543" s="1">
        <f>HYPERLINK("http://www.twitter.com/NathanBLawrence/status/981298810877042689", "981298810877042689")</f>
        <v/>
      </c>
      <c r="B1543" s="2" t="n">
        <v>43193.94030092593</v>
      </c>
      <c r="C1543" t="n">
        <v>0</v>
      </c>
      <c r="D1543" t="n">
        <v>131</v>
      </c>
      <c r="E1543" t="s">
        <v>1548</v>
      </c>
      <c r="F1543" t="s"/>
      <c r="G1543" t="s"/>
      <c r="H1543" t="s"/>
      <c r="I1543" t="s"/>
      <c r="J1543" t="n">
        <v>0</v>
      </c>
      <c r="K1543" t="n">
        <v>0</v>
      </c>
      <c r="L1543" t="n">
        <v>1</v>
      </c>
      <c r="M1543" t="n">
        <v>0</v>
      </c>
    </row>
    <row r="1544" spans="1:13">
      <c r="A1544" s="1">
        <f>HYPERLINK("http://www.twitter.com/NathanBLawrence/status/981298686784401408", "981298686784401408")</f>
        <v/>
      </c>
      <c r="B1544" s="2" t="n">
        <v>43193.93996527778</v>
      </c>
      <c r="C1544" t="n">
        <v>0</v>
      </c>
      <c r="D1544" t="n">
        <v>164</v>
      </c>
      <c r="E1544" t="s">
        <v>1549</v>
      </c>
      <c r="F1544" t="s"/>
      <c r="G1544" t="s"/>
      <c r="H1544" t="s"/>
      <c r="I1544" t="s"/>
      <c r="J1544" t="n">
        <v>0.4939</v>
      </c>
      <c r="K1544" t="n">
        <v>0</v>
      </c>
      <c r="L1544" t="n">
        <v>0.8139999999999999</v>
      </c>
      <c r="M1544" t="n">
        <v>0.186</v>
      </c>
    </row>
    <row r="1545" spans="1:13">
      <c r="A1545" s="1">
        <f>HYPERLINK("http://www.twitter.com/NathanBLawrence/status/981298653003382785", "981298653003382785")</f>
        <v/>
      </c>
      <c r="B1545" s="2" t="n">
        <v>43193.93987268519</v>
      </c>
      <c r="C1545" t="n">
        <v>0</v>
      </c>
      <c r="D1545" t="n">
        <v>177</v>
      </c>
      <c r="E1545" t="s">
        <v>1550</v>
      </c>
      <c r="F1545" t="s"/>
      <c r="G1545" t="s"/>
      <c r="H1545" t="s"/>
      <c r="I1545" t="s"/>
      <c r="J1545" t="n">
        <v>-0.872</v>
      </c>
      <c r="K1545" t="n">
        <v>0.31</v>
      </c>
      <c r="L1545" t="n">
        <v>0.6899999999999999</v>
      </c>
      <c r="M1545" t="n">
        <v>0</v>
      </c>
    </row>
    <row r="1546" spans="1:13">
      <c r="A1546" s="1">
        <f>HYPERLINK("http://www.twitter.com/NathanBLawrence/status/981298534728249345", "981298534728249345")</f>
        <v/>
      </c>
      <c r="B1546" s="2" t="n">
        <v>43193.93953703704</v>
      </c>
      <c r="C1546" t="n">
        <v>0</v>
      </c>
      <c r="D1546" t="n">
        <v>243</v>
      </c>
      <c r="E1546" t="s">
        <v>1551</v>
      </c>
      <c r="F1546" t="s"/>
      <c r="G1546" t="s"/>
      <c r="H1546" t="s"/>
      <c r="I1546" t="s"/>
      <c r="J1546" t="n">
        <v>-0.1531</v>
      </c>
      <c r="K1546" t="n">
        <v>0.117</v>
      </c>
      <c r="L1546" t="n">
        <v>0.789</v>
      </c>
      <c r="M1546" t="n">
        <v>0.094</v>
      </c>
    </row>
    <row r="1547" spans="1:13">
      <c r="A1547" s="1">
        <f>HYPERLINK("http://www.twitter.com/NathanBLawrence/status/981298462884057089", "981298462884057089")</f>
        <v/>
      </c>
      <c r="B1547" s="2" t="n">
        <v>43193.93934027778</v>
      </c>
      <c r="C1547" t="n">
        <v>0</v>
      </c>
      <c r="D1547" t="n">
        <v>345</v>
      </c>
      <c r="E1547" t="s">
        <v>1552</v>
      </c>
      <c r="F1547" t="s"/>
      <c r="G1547" t="s"/>
      <c r="H1547" t="s"/>
      <c r="I1547" t="s"/>
      <c r="J1547" t="n">
        <v>0</v>
      </c>
      <c r="K1547" t="n">
        <v>0.116</v>
      </c>
      <c r="L1547" t="n">
        <v>0.769</v>
      </c>
      <c r="M1547" t="n">
        <v>0.116</v>
      </c>
    </row>
    <row r="1548" spans="1:13">
      <c r="A1548" s="1">
        <f>HYPERLINK("http://www.twitter.com/NathanBLawrence/status/981298404570656770", "981298404570656770")</f>
        <v/>
      </c>
      <c r="B1548" s="2" t="n">
        <v>43193.93917824074</v>
      </c>
      <c r="C1548" t="n">
        <v>0</v>
      </c>
      <c r="D1548" t="n">
        <v>14</v>
      </c>
      <c r="E1548" t="s">
        <v>1553</v>
      </c>
      <c r="F1548" t="s"/>
      <c r="G1548" t="s"/>
      <c r="H1548" t="s"/>
      <c r="I1548" t="s"/>
      <c r="J1548" t="n">
        <v>-0.4523</v>
      </c>
      <c r="K1548" t="n">
        <v>0.227</v>
      </c>
      <c r="L1548" t="n">
        <v>0.653</v>
      </c>
      <c r="M1548" t="n">
        <v>0.12</v>
      </c>
    </row>
    <row r="1549" spans="1:13">
      <c r="A1549" s="1">
        <f>HYPERLINK("http://www.twitter.com/NathanBLawrence/status/981298231979233280", "981298231979233280")</f>
        <v/>
      </c>
      <c r="B1549" s="2" t="n">
        <v>43193.9387037037</v>
      </c>
      <c r="C1549" t="n">
        <v>0</v>
      </c>
      <c r="D1549" t="n">
        <v>42</v>
      </c>
      <c r="E1549" t="s">
        <v>1554</v>
      </c>
      <c r="F1549">
        <f>HYPERLINK("http://pbs.twimg.com/media/DZxsEGCX0AAIu2T.jpg", "http://pbs.twimg.com/media/DZxsEGCX0AAIu2T.jpg")</f>
        <v/>
      </c>
      <c r="G1549" t="s"/>
      <c r="H1549" t="s"/>
      <c r="I1549" t="s"/>
      <c r="J1549" t="n">
        <v>0.3612</v>
      </c>
      <c r="K1549" t="n">
        <v>0</v>
      </c>
      <c r="L1549" t="n">
        <v>0.848</v>
      </c>
      <c r="M1549" t="n">
        <v>0.152</v>
      </c>
    </row>
    <row r="1550" spans="1:13">
      <c r="A1550" s="1">
        <f>HYPERLINK("http://www.twitter.com/NathanBLawrence/status/981298035811651584", "981298035811651584")</f>
        <v/>
      </c>
      <c r="B1550" s="2" t="n">
        <v>43193.93817129629</v>
      </c>
      <c r="C1550" t="n">
        <v>0</v>
      </c>
      <c r="D1550" t="n">
        <v>16</v>
      </c>
      <c r="E1550" t="s">
        <v>1555</v>
      </c>
      <c r="F1550">
        <f>HYPERLINK("http://pbs.twimg.com/media/DZvVyyIVwAAsfo2.jpg", "http://pbs.twimg.com/media/DZvVyyIVwAAsfo2.jpg")</f>
        <v/>
      </c>
      <c r="G1550" t="s"/>
      <c r="H1550" t="s"/>
      <c r="I1550" t="s"/>
      <c r="J1550" t="n">
        <v>0</v>
      </c>
      <c r="K1550" t="n">
        <v>0</v>
      </c>
      <c r="L1550" t="n">
        <v>1</v>
      </c>
      <c r="M1550" t="n">
        <v>0</v>
      </c>
    </row>
    <row r="1551" spans="1:13">
      <c r="A1551" s="1">
        <f>HYPERLINK("http://www.twitter.com/NathanBLawrence/status/981297929330798592", "981297929330798592")</f>
        <v/>
      </c>
      <c r="B1551" s="2" t="n">
        <v>43193.93787037037</v>
      </c>
      <c r="C1551" t="n">
        <v>0</v>
      </c>
      <c r="D1551" t="n">
        <v>63</v>
      </c>
      <c r="E1551" t="s">
        <v>1556</v>
      </c>
      <c r="F1551" t="s"/>
      <c r="G1551" t="s"/>
      <c r="H1551" t="s"/>
      <c r="I1551" t="s"/>
      <c r="J1551" t="n">
        <v>-0.8074</v>
      </c>
      <c r="K1551" t="n">
        <v>0.372</v>
      </c>
      <c r="L1551" t="n">
        <v>0.628</v>
      </c>
      <c r="M1551" t="n">
        <v>0</v>
      </c>
    </row>
    <row r="1552" spans="1:13">
      <c r="A1552" s="1">
        <f>HYPERLINK("http://www.twitter.com/NathanBLawrence/status/981297697281003521", "981297697281003521")</f>
        <v/>
      </c>
      <c r="B1552" s="2" t="n">
        <v>43193.9372337963</v>
      </c>
      <c r="C1552" t="n">
        <v>0</v>
      </c>
      <c r="D1552" t="n">
        <v>194</v>
      </c>
      <c r="E1552" t="s">
        <v>1557</v>
      </c>
      <c r="F1552" t="s"/>
      <c r="G1552" t="s"/>
      <c r="H1552" t="s"/>
      <c r="I1552" t="s"/>
      <c r="J1552" t="n">
        <v>-0.4018</v>
      </c>
      <c r="K1552" t="n">
        <v>0.124</v>
      </c>
      <c r="L1552" t="n">
        <v>0.876</v>
      </c>
      <c r="M1552" t="n">
        <v>0</v>
      </c>
    </row>
    <row r="1553" spans="1:13">
      <c r="A1553" s="1">
        <f>HYPERLINK("http://www.twitter.com/NathanBLawrence/status/981296495935852544", "981296495935852544")</f>
        <v/>
      </c>
      <c r="B1553" s="2" t="n">
        <v>43193.93391203704</v>
      </c>
      <c r="C1553" t="n">
        <v>0</v>
      </c>
      <c r="D1553" t="n">
        <v>0</v>
      </c>
      <c r="E1553" t="s">
        <v>1558</v>
      </c>
      <c r="F1553" t="s"/>
      <c r="G1553" t="s"/>
      <c r="H1553" t="s"/>
      <c r="I1553" t="s"/>
      <c r="J1553" t="n">
        <v>0.0258</v>
      </c>
      <c r="K1553" t="n">
        <v>0.119</v>
      </c>
      <c r="L1553" t="n">
        <v>0.757</v>
      </c>
      <c r="M1553" t="n">
        <v>0.124</v>
      </c>
    </row>
    <row r="1554" spans="1:13">
      <c r="A1554" s="1">
        <f>HYPERLINK("http://www.twitter.com/NathanBLawrence/status/981296090845798401", "981296090845798401")</f>
        <v/>
      </c>
      <c r="B1554" s="2" t="n">
        <v>43193.93280092593</v>
      </c>
      <c r="C1554" t="n">
        <v>0</v>
      </c>
      <c r="D1554" t="n">
        <v>1</v>
      </c>
      <c r="E1554" t="s">
        <v>1559</v>
      </c>
      <c r="F1554" t="s"/>
      <c r="G1554" t="s"/>
      <c r="H1554" t="s"/>
      <c r="I1554" t="s"/>
      <c r="J1554" t="n">
        <v>0</v>
      </c>
      <c r="K1554" t="n">
        <v>0</v>
      </c>
      <c r="L1554" t="n">
        <v>1</v>
      </c>
      <c r="M1554" t="n">
        <v>0</v>
      </c>
    </row>
    <row r="1555" spans="1:13">
      <c r="A1555" s="1">
        <f>HYPERLINK("http://www.twitter.com/NathanBLawrence/status/981295963653406720", "981295963653406720")</f>
        <v/>
      </c>
      <c r="B1555" s="2" t="n">
        <v>43193.93244212963</v>
      </c>
      <c r="C1555" t="n">
        <v>0</v>
      </c>
      <c r="D1555" t="n">
        <v>0</v>
      </c>
      <c r="E1555" t="s">
        <v>1560</v>
      </c>
      <c r="F1555" t="s"/>
      <c r="G1555" t="s"/>
      <c r="H1555" t="s"/>
      <c r="I1555" t="s"/>
      <c r="J1555" t="n">
        <v>0</v>
      </c>
      <c r="K1555" t="n">
        <v>0</v>
      </c>
      <c r="L1555" t="n">
        <v>1</v>
      </c>
      <c r="M1555" t="n">
        <v>0</v>
      </c>
    </row>
    <row r="1556" spans="1:13">
      <c r="A1556" s="1">
        <f>HYPERLINK("http://www.twitter.com/NathanBLawrence/status/981295607091531777", "981295607091531777")</f>
        <v/>
      </c>
      <c r="B1556" s="2" t="n">
        <v>43193.93145833333</v>
      </c>
      <c r="C1556" t="n">
        <v>1</v>
      </c>
      <c r="D1556" t="n">
        <v>0</v>
      </c>
      <c r="E1556" t="s">
        <v>1561</v>
      </c>
      <c r="F1556" t="s"/>
      <c r="G1556" t="s"/>
      <c r="H1556" t="s"/>
      <c r="I1556" t="s"/>
      <c r="J1556" t="n">
        <v>0</v>
      </c>
      <c r="K1556" t="n">
        <v>0</v>
      </c>
      <c r="L1556" t="n">
        <v>1</v>
      </c>
      <c r="M1556" t="n">
        <v>0</v>
      </c>
    </row>
    <row r="1557" spans="1:13">
      <c r="A1557" s="1">
        <f>HYPERLINK("http://www.twitter.com/NathanBLawrence/status/981295473591046145", "981295473591046145")</f>
        <v/>
      </c>
      <c r="B1557" s="2" t="n">
        <v>43193.93109953704</v>
      </c>
      <c r="C1557" t="n">
        <v>0</v>
      </c>
      <c r="D1557" t="n">
        <v>1</v>
      </c>
      <c r="E1557" t="s">
        <v>1562</v>
      </c>
      <c r="F1557" t="s"/>
      <c r="G1557" t="s"/>
      <c r="H1557" t="s"/>
      <c r="I1557" t="s"/>
      <c r="J1557" t="n">
        <v>0</v>
      </c>
      <c r="K1557" t="n">
        <v>0</v>
      </c>
      <c r="L1557" t="n">
        <v>1</v>
      </c>
      <c r="M1557" t="n">
        <v>0</v>
      </c>
    </row>
    <row r="1558" spans="1:13">
      <c r="A1558" s="1">
        <f>HYPERLINK("http://www.twitter.com/NathanBLawrence/status/981295177108197377", "981295177108197377")</f>
        <v/>
      </c>
      <c r="B1558" s="2" t="n">
        <v>43193.93027777778</v>
      </c>
      <c r="C1558" t="n">
        <v>0</v>
      </c>
      <c r="D1558" t="n">
        <v>0</v>
      </c>
      <c r="E1558" t="s">
        <v>1563</v>
      </c>
      <c r="F1558" t="s"/>
      <c r="G1558" t="s"/>
      <c r="H1558" t="s"/>
      <c r="I1558" t="s"/>
      <c r="J1558" t="n">
        <v>0</v>
      </c>
      <c r="K1558" t="n">
        <v>0</v>
      </c>
      <c r="L1558" t="n">
        <v>1</v>
      </c>
      <c r="M1558" t="n">
        <v>0</v>
      </c>
    </row>
    <row r="1559" spans="1:13">
      <c r="A1559" s="1">
        <f>HYPERLINK("http://www.twitter.com/NathanBLawrence/status/981295152106000384", "981295152106000384")</f>
        <v/>
      </c>
      <c r="B1559" s="2" t="n">
        <v>43193.93020833333</v>
      </c>
      <c r="C1559" t="n">
        <v>0</v>
      </c>
      <c r="D1559" t="n">
        <v>1</v>
      </c>
      <c r="E1559" t="s">
        <v>1564</v>
      </c>
      <c r="F1559" t="s"/>
      <c r="G1559" t="s"/>
      <c r="H1559" t="s"/>
      <c r="I1559" t="s"/>
      <c r="J1559" t="n">
        <v>0.1901</v>
      </c>
      <c r="K1559" t="n">
        <v>0</v>
      </c>
      <c r="L1559" t="n">
        <v>0.911</v>
      </c>
      <c r="M1559" t="n">
        <v>0.089</v>
      </c>
    </row>
    <row r="1560" spans="1:13">
      <c r="A1560" s="1">
        <f>HYPERLINK("http://www.twitter.com/NathanBLawrence/status/981295113291943936", "981295113291943936")</f>
        <v/>
      </c>
      <c r="B1560" s="2" t="n">
        <v>43193.93010416667</v>
      </c>
      <c r="C1560" t="n">
        <v>0</v>
      </c>
      <c r="D1560" t="n">
        <v>1</v>
      </c>
      <c r="E1560" t="s">
        <v>1565</v>
      </c>
      <c r="F1560" t="s"/>
      <c r="G1560" t="s"/>
      <c r="H1560" t="s"/>
      <c r="I1560" t="s"/>
      <c r="J1560" t="n">
        <v>0.3612</v>
      </c>
      <c r="K1560" t="n">
        <v>0</v>
      </c>
      <c r="L1560" t="n">
        <v>0.872</v>
      </c>
      <c r="M1560" t="n">
        <v>0.128</v>
      </c>
    </row>
    <row r="1561" spans="1:13">
      <c r="A1561" s="1">
        <f>HYPERLINK("http://www.twitter.com/NathanBLawrence/status/981295028881543168", "981295028881543168")</f>
        <v/>
      </c>
      <c r="B1561" s="2" t="n">
        <v>43193.92987268518</v>
      </c>
      <c r="C1561" t="n">
        <v>0</v>
      </c>
      <c r="D1561" t="n">
        <v>1</v>
      </c>
      <c r="E1561" t="s">
        <v>1566</v>
      </c>
      <c r="F1561" t="s"/>
      <c r="G1561" t="s"/>
      <c r="H1561" t="s"/>
      <c r="I1561" t="s"/>
      <c r="J1561" t="n">
        <v>0</v>
      </c>
      <c r="K1561" t="n">
        <v>0</v>
      </c>
      <c r="L1561" t="n">
        <v>1</v>
      </c>
      <c r="M1561" t="n">
        <v>0</v>
      </c>
    </row>
    <row r="1562" spans="1:13">
      <c r="A1562" s="1">
        <f>HYPERLINK("http://www.twitter.com/NathanBLawrence/status/981294825961029633", "981294825961029633")</f>
        <v/>
      </c>
      <c r="B1562" s="2" t="n">
        <v>43193.92930555555</v>
      </c>
      <c r="C1562" t="n">
        <v>0</v>
      </c>
      <c r="D1562" t="n">
        <v>2</v>
      </c>
      <c r="E1562" t="s">
        <v>1567</v>
      </c>
      <c r="F1562" t="s"/>
      <c r="G1562" t="s"/>
      <c r="H1562" t="s"/>
      <c r="I1562" t="s"/>
      <c r="J1562" t="n">
        <v>-0.5256</v>
      </c>
      <c r="K1562" t="n">
        <v>0.139</v>
      </c>
      <c r="L1562" t="n">
        <v>0.861</v>
      </c>
      <c r="M1562" t="n">
        <v>0</v>
      </c>
    </row>
    <row r="1563" spans="1:13">
      <c r="A1563" s="1">
        <f>HYPERLINK("http://www.twitter.com/NathanBLawrence/status/981294705563590656", "981294705563590656")</f>
        <v/>
      </c>
      <c r="B1563" s="2" t="n">
        <v>43193.92898148148</v>
      </c>
      <c r="C1563" t="n">
        <v>1</v>
      </c>
      <c r="D1563" t="n">
        <v>0</v>
      </c>
      <c r="E1563" t="s">
        <v>1568</v>
      </c>
      <c r="F1563" t="s"/>
      <c r="G1563" t="s"/>
      <c r="H1563" t="s"/>
      <c r="I1563" t="s"/>
      <c r="J1563" t="n">
        <v>-0.6249</v>
      </c>
      <c r="K1563" t="n">
        <v>0.177</v>
      </c>
      <c r="L1563" t="n">
        <v>0.823</v>
      </c>
      <c r="M1563" t="n">
        <v>0</v>
      </c>
    </row>
    <row r="1564" spans="1:13">
      <c r="A1564" s="1">
        <f>HYPERLINK("http://www.twitter.com/NathanBLawrence/status/981293930447765504", "981293930447765504")</f>
        <v/>
      </c>
      <c r="B1564" s="2" t="n">
        <v>43193.92684027777</v>
      </c>
      <c r="C1564" t="n">
        <v>0</v>
      </c>
      <c r="D1564" t="n">
        <v>14</v>
      </c>
      <c r="E1564" t="s">
        <v>1569</v>
      </c>
      <c r="F1564" t="s"/>
      <c r="G1564" t="s"/>
      <c r="H1564" t="s"/>
      <c r="I1564" t="s"/>
      <c r="J1564" t="n">
        <v>0.3612</v>
      </c>
      <c r="K1564" t="n">
        <v>0</v>
      </c>
      <c r="L1564" t="n">
        <v>0.783</v>
      </c>
      <c r="M1564" t="n">
        <v>0.217</v>
      </c>
    </row>
    <row r="1565" spans="1:13">
      <c r="A1565" s="1">
        <f>HYPERLINK("http://www.twitter.com/NathanBLawrence/status/981292711398518785", "981292711398518785")</f>
        <v/>
      </c>
      <c r="B1565" s="2" t="n">
        <v>43193.92347222222</v>
      </c>
      <c r="C1565" t="n">
        <v>0</v>
      </c>
      <c r="D1565" t="n">
        <v>12</v>
      </c>
      <c r="E1565" t="s">
        <v>1570</v>
      </c>
      <c r="F1565" t="s"/>
      <c r="G1565" t="s"/>
      <c r="H1565" t="s"/>
      <c r="I1565" t="s"/>
      <c r="J1565" t="n">
        <v>0.3612</v>
      </c>
      <c r="K1565" t="n">
        <v>0.046</v>
      </c>
      <c r="L1565" t="n">
        <v>0.849</v>
      </c>
      <c r="M1565" t="n">
        <v>0.104</v>
      </c>
    </row>
    <row r="1566" spans="1:13">
      <c r="A1566" s="1">
        <f>HYPERLINK("http://www.twitter.com/NathanBLawrence/status/981292654586744836", "981292654586744836")</f>
        <v/>
      </c>
      <c r="B1566" s="2" t="n">
        <v>43193.92332175926</v>
      </c>
      <c r="C1566" t="n">
        <v>0</v>
      </c>
      <c r="D1566" t="n">
        <v>0</v>
      </c>
      <c r="E1566" t="s">
        <v>1571</v>
      </c>
      <c r="F1566" t="s"/>
      <c r="G1566" t="s"/>
      <c r="H1566" t="s"/>
      <c r="I1566" t="s"/>
      <c r="J1566" t="n">
        <v>0.6688</v>
      </c>
      <c r="K1566" t="n">
        <v>0</v>
      </c>
      <c r="L1566" t="n">
        <v>0.401</v>
      </c>
      <c r="M1566" t="n">
        <v>0.599</v>
      </c>
    </row>
    <row r="1567" spans="1:13">
      <c r="A1567" s="1">
        <f>HYPERLINK("http://www.twitter.com/NathanBLawrence/status/981292406879465472", "981292406879465472")</f>
        <v/>
      </c>
      <c r="B1567" s="2" t="n">
        <v>43193.92262731482</v>
      </c>
      <c r="C1567" t="n">
        <v>0</v>
      </c>
      <c r="D1567" t="n">
        <v>15</v>
      </c>
      <c r="E1567" t="s">
        <v>1572</v>
      </c>
      <c r="F1567" t="s"/>
      <c r="G1567" t="s"/>
      <c r="H1567" t="s"/>
      <c r="I1567" t="s"/>
      <c r="J1567" t="n">
        <v>0</v>
      </c>
      <c r="K1567" t="n">
        <v>0</v>
      </c>
      <c r="L1567" t="n">
        <v>1</v>
      </c>
      <c r="M1567" t="n">
        <v>0</v>
      </c>
    </row>
    <row r="1568" spans="1:13">
      <c r="A1568" s="1">
        <f>HYPERLINK("http://www.twitter.com/NathanBLawrence/status/981292378832154624", "981292378832154624")</f>
        <v/>
      </c>
      <c r="B1568" s="2" t="n">
        <v>43193.92255787037</v>
      </c>
      <c r="C1568" t="n">
        <v>0</v>
      </c>
      <c r="D1568" t="n">
        <v>26</v>
      </c>
      <c r="E1568" t="s">
        <v>1573</v>
      </c>
      <c r="F1568" t="s"/>
      <c r="G1568" t="s"/>
      <c r="H1568" t="s"/>
      <c r="I1568" t="s"/>
      <c r="J1568" t="n">
        <v>-0.5106000000000001</v>
      </c>
      <c r="K1568" t="n">
        <v>0.125</v>
      </c>
      <c r="L1568" t="n">
        <v>0.875</v>
      </c>
      <c r="M1568" t="n">
        <v>0</v>
      </c>
    </row>
    <row r="1569" spans="1:13">
      <c r="A1569" s="1">
        <f>HYPERLINK("http://www.twitter.com/NathanBLawrence/status/981292141577146369", "981292141577146369")</f>
        <v/>
      </c>
      <c r="B1569" s="2" t="n">
        <v>43193.92189814815</v>
      </c>
      <c r="C1569" t="n">
        <v>0</v>
      </c>
      <c r="D1569" t="n">
        <v>0</v>
      </c>
      <c r="E1569" t="s">
        <v>1574</v>
      </c>
      <c r="F1569" t="s"/>
      <c r="G1569" t="s"/>
      <c r="H1569" t="s"/>
      <c r="I1569" t="s"/>
      <c r="J1569" t="n">
        <v>0</v>
      </c>
      <c r="K1569" t="n">
        <v>0</v>
      </c>
      <c r="L1569" t="n">
        <v>1</v>
      </c>
      <c r="M1569" t="n">
        <v>0</v>
      </c>
    </row>
    <row r="1570" spans="1:13">
      <c r="A1570" s="1">
        <f>HYPERLINK("http://www.twitter.com/NathanBLawrence/status/981291750919671811", "981291750919671811")</f>
        <v/>
      </c>
      <c r="B1570" s="2" t="n">
        <v>43193.92082175926</v>
      </c>
      <c r="C1570" t="n">
        <v>0</v>
      </c>
      <c r="D1570" t="n">
        <v>0</v>
      </c>
      <c r="E1570" t="s">
        <v>1575</v>
      </c>
      <c r="F1570" t="s"/>
      <c r="G1570" t="s"/>
      <c r="H1570" t="s"/>
      <c r="I1570" t="s"/>
      <c r="J1570" t="n">
        <v>-0.765</v>
      </c>
      <c r="K1570" t="n">
        <v>0.375</v>
      </c>
      <c r="L1570" t="n">
        <v>0.625</v>
      </c>
      <c r="M1570" t="n">
        <v>0</v>
      </c>
    </row>
    <row r="1571" spans="1:13">
      <c r="A1571" s="1">
        <f>HYPERLINK("http://www.twitter.com/NathanBLawrence/status/981290892920320001", "981290892920320001")</f>
        <v/>
      </c>
      <c r="B1571" s="2" t="n">
        <v>43193.91846064815</v>
      </c>
      <c r="C1571" t="n">
        <v>1</v>
      </c>
      <c r="D1571" t="n">
        <v>0</v>
      </c>
      <c r="E1571" t="s">
        <v>1576</v>
      </c>
      <c r="F1571" t="s"/>
      <c r="G1571" t="s"/>
      <c r="H1571" t="s"/>
      <c r="I1571" t="s"/>
      <c r="J1571" t="n">
        <v>0</v>
      </c>
      <c r="K1571" t="n">
        <v>0</v>
      </c>
      <c r="L1571" t="n">
        <v>1</v>
      </c>
      <c r="M1571" t="n">
        <v>0</v>
      </c>
    </row>
    <row r="1572" spans="1:13">
      <c r="A1572" s="1">
        <f>HYPERLINK("http://www.twitter.com/NathanBLawrence/status/980620836712472576", "980620836712472576")</f>
        <v/>
      </c>
      <c r="B1572" s="2" t="n">
        <v>43192.06945601852</v>
      </c>
      <c r="C1572" t="n">
        <v>0</v>
      </c>
      <c r="D1572" t="n">
        <v>894</v>
      </c>
      <c r="E1572" t="s">
        <v>1577</v>
      </c>
      <c r="F1572">
        <f>HYPERLINK("http://pbs.twimg.com/media/DZvRixoXcAAyu3i.jpg", "http://pbs.twimg.com/media/DZvRixoXcAAyu3i.jpg")</f>
        <v/>
      </c>
      <c r="G1572" t="s"/>
      <c r="H1572" t="s"/>
      <c r="I1572" t="s"/>
      <c r="J1572" t="n">
        <v>0.8439</v>
      </c>
      <c r="K1572" t="n">
        <v>0</v>
      </c>
      <c r="L1572" t="n">
        <v>0.597</v>
      </c>
      <c r="M1572" t="n">
        <v>0.403</v>
      </c>
    </row>
    <row r="1573" spans="1:13">
      <c r="A1573" s="1">
        <f>HYPERLINK("http://www.twitter.com/NathanBLawrence/status/980620778319368192", "980620778319368192")</f>
        <v/>
      </c>
      <c r="B1573" s="2" t="n">
        <v>43192.06929398148</v>
      </c>
      <c r="C1573" t="n">
        <v>2</v>
      </c>
      <c r="D1573" t="n">
        <v>0</v>
      </c>
      <c r="E1573" t="s">
        <v>1578</v>
      </c>
      <c r="F1573" t="s"/>
      <c r="G1573" t="s"/>
      <c r="H1573" t="s"/>
      <c r="I1573" t="s"/>
      <c r="J1573" t="n">
        <v>0.4404</v>
      </c>
      <c r="K1573" t="n">
        <v>0</v>
      </c>
      <c r="L1573" t="n">
        <v>0.775</v>
      </c>
      <c r="M1573" t="n">
        <v>0.225</v>
      </c>
    </row>
    <row r="1574" spans="1:13">
      <c r="A1574" s="1">
        <f>HYPERLINK("http://www.twitter.com/NathanBLawrence/status/980618290681794560", "980618290681794560")</f>
        <v/>
      </c>
      <c r="B1574" s="2" t="n">
        <v>43192.06243055555</v>
      </c>
      <c r="C1574" t="n">
        <v>0</v>
      </c>
      <c r="D1574" t="n">
        <v>94</v>
      </c>
      <c r="E1574" t="s">
        <v>1579</v>
      </c>
      <c r="F1574" t="s"/>
      <c r="G1574" t="s"/>
      <c r="H1574" t="s"/>
      <c r="I1574" t="s"/>
      <c r="J1574" t="n">
        <v>-0.4019</v>
      </c>
      <c r="K1574" t="n">
        <v>0.184</v>
      </c>
      <c r="L1574" t="n">
        <v>0.8159999999999999</v>
      </c>
      <c r="M1574" t="n">
        <v>0</v>
      </c>
    </row>
    <row r="1575" spans="1:13">
      <c r="A1575" s="1">
        <f>HYPERLINK("http://www.twitter.com/NathanBLawrence/status/980615209818755073", "980615209818755073")</f>
        <v/>
      </c>
      <c r="B1575" s="2" t="n">
        <v>43192.05392361111</v>
      </c>
      <c r="C1575" t="n">
        <v>2</v>
      </c>
      <c r="D1575" t="n">
        <v>0</v>
      </c>
      <c r="E1575" t="s">
        <v>1580</v>
      </c>
      <c r="F1575" t="s"/>
      <c r="G1575" t="s"/>
      <c r="H1575" t="s"/>
      <c r="I1575" t="s"/>
      <c r="J1575" t="n">
        <v>-0.5106000000000001</v>
      </c>
      <c r="K1575" t="n">
        <v>0.248</v>
      </c>
      <c r="L1575" t="n">
        <v>0.752</v>
      </c>
      <c r="M1575" t="n">
        <v>0</v>
      </c>
    </row>
    <row r="1576" spans="1:13">
      <c r="A1576" s="1">
        <f>HYPERLINK("http://www.twitter.com/NathanBLawrence/status/980614190305030144", "980614190305030144")</f>
        <v/>
      </c>
      <c r="B1576" s="2" t="n">
        <v>43192.05111111111</v>
      </c>
      <c r="C1576" t="n">
        <v>0</v>
      </c>
      <c r="D1576" t="n">
        <v>6</v>
      </c>
      <c r="E1576" t="s">
        <v>1581</v>
      </c>
      <c r="F1576">
        <f>HYPERLINK("http://pbs.twimg.com/media/DZvW9yLW4AAbTaP.jpg", "http://pbs.twimg.com/media/DZvW9yLW4AAbTaP.jpg")</f>
        <v/>
      </c>
      <c r="G1576" t="s"/>
      <c r="H1576" t="s"/>
      <c r="I1576" t="s"/>
      <c r="J1576" t="n">
        <v>0.4215</v>
      </c>
      <c r="K1576" t="n">
        <v>0</v>
      </c>
      <c r="L1576" t="n">
        <v>0.6820000000000001</v>
      </c>
      <c r="M1576" t="n">
        <v>0.318</v>
      </c>
    </row>
    <row r="1577" spans="1:13">
      <c r="A1577" s="1">
        <f>HYPERLINK("http://www.twitter.com/NathanBLawrence/status/980614131173806082", "980614131173806082")</f>
        <v/>
      </c>
      <c r="B1577" s="2" t="n">
        <v>43192.05094907407</v>
      </c>
      <c r="C1577" t="n">
        <v>0</v>
      </c>
      <c r="D1577" t="n">
        <v>4</v>
      </c>
      <c r="E1577" t="s">
        <v>1582</v>
      </c>
      <c r="F1577" t="s"/>
      <c r="G1577" t="s"/>
      <c r="H1577" t="s"/>
      <c r="I1577" t="s"/>
      <c r="J1577" t="n">
        <v>0</v>
      </c>
      <c r="K1577" t="n">
        <v>0</v>
      </c>
      <c r="L1577" t="n">
        <v>1</v>
      </c>
      <c r="M1577" t="n">
        <v>0</v>
      </c>
    </row>
    <row r="1578" spans="1:13">
      <c r="A1578" s="1">
        <f>HYPERLINK("http://www.twitter.com/NathanBLawrence/status/980614105504600064", "980614105504600064")</f>
        <v/>
      </c>
      <c r="B1578" s="2" t="n">
        <v>43192.05087962963</v>
      </c>
      <c r="C1578" t="n">
        <v>0</v>
      </c>
      <c r="D1578" t="n">
        <v>3</v>
      </c>
      <c r="E1578" t="s">
        <v>1583</v>
      </c>
      <c r="F1578" t="s"/>
      <c r="G1578" t="s"/>
      <c r="H1578" t="s"/>
      <c r="I1578" t="s"/>
      <c r="J1578" t="n">
        <v>-0.4019</v>
      </c>
      <c r="K1578" t="n">
        <v>0.13</v>
      </c>
      <c r="L1578" t="n">
        <v>0.87</v>
      </c>
      <c r="M1578" t="n">
        <v>0</v>
      </c>
    </row>
    <row r="1579" spans="1:13">
      <c r="A1579" s="1">
        <f>HYPERLINK("http://www.twitter.com/NathanBLawrence/status/980614050940891136", "980614050940891136")</f>
        <v/>
      </c>
      <c r="B1579" s="2" t="n">
        <v>43192.05072916667</v>
      </c>
      <c r="C1579" t="n">
        <v>0</v>
      </c>
      <c r="D1579" t="n">
        <v>13</v>
      </c>
      <c r="E1579" t="s">
        <v>1584</v>
      </c>
      <c r="F1579" t="s"/>
      <c r="G1579" t="s"/>
      <c r="H1579" t="s"/>
      <c r="I1579" t="s"/>
      <c r="J1579" t="n">
        <v>0.1779</v>
      </c>
      <c r="K1579" t="n">
        <v>0.09</v>
      </c>
      <c r="L1579" t="n">
        <v>0.794</v>
      </c>
      <c r="M1579" t="n">
        <v>0.116</v>
      </c>
    </row>
    <row r="1580" spans="1:13">
      <c r="A1580" s="1">
        <f>HYPERLINK("http://www.twitter.com/NathanBLawrence/status/980613846929899520", "980613846929899520")</f>
        <v/>
      </c>
      <c r="B1580" s="2" t="n">
        <v>43192.05016203703</v>
      </c>
      <c r="C1580" t="n">
        <v>0</v>
      </c>
      <c r="D1580" t="n">
        <v>40</v>
      </c>
      <c r="E1580" t="s">
        <v>1585</v>
      </c>
      <c r="F1580" t="s"/>
      <c r="G1580" t="s"/>
      <c r="H1580" t="s"/>
      <c r="I1580" t="s"/>
      <c r="J1580" t="n">
        <v>0.5106000000000001</v>
      </c>
      <c r="K1580" t="n">
        <v>0</v>
      </c>
      <c r="L1580" t="n">
        <v>0.891</v>
      </c>
      <c r="M1580" t="n">
        <v>0.109</v>
      </c>
    </row>
    <row r="1581" spans="1:13">
      <c r="A1581" s="1">
        <f>HYPERLINK("http://www.twitter.com/NathanBLawrence/status/980613693066170368", "980613693066170368")</f>
        <v/>
      </c>
      <c r="B1581" s="2" t="n">
        <v>43192.04974537037</v>
      </c>
      <c r="C1581" t="n">
        <v>0</v>
      </c>
      <c r="D1581" t="n">
        <v>153</v>
      </c>
      <c r="E1581" t="s">
        <v>1586</v>
      </c>
      <c r="F1581" t="s"/>
      <c r="G1581" t="s"/>
      <c r="H1581" t="s"/>
      <c r="I1581" t="s"/>
      <c r="J1581" t="n">
        <v>0</v>
      </c>
      <c r="K1581" t="n">
        <v>0</v>
      </c>
      <c r="L1581" t="n">
        <v>1</v>
      </c>
      <c r="M1581" t="n">
        <v>0</v>
      </c>
    </row>
    <row r="1582" spans="1:13">
      <c r="A1582" s="1">
        <f>HYPERLINK("http://www.twitter.com/NathanBLawrence/status/980613477524963329", "980613477524963329")</f>
        <v/>
      </c>
      <c r="B1582" s="2" t="n">
        <v>43192.04914351852</v>
      </c>
      <c r="C1582" t="n">
        <v>0</v>
      </c>
      <c r="D1582" t="n">
        <v>32</v>
      </c>
      <c r="E1582" t="s">
        <v>1587</v>
      </c>
      <c r="F1582" t="s"/>
      <c r="G1582" t="s"/>
      <c r="H1582" t="s"/>
      <c r="I1582" t="s"/>
      <c r="J1582" t="n">
        <v>-0.501</v>
      </c>
      <c r="K1582" t="n">
        <v>0.229</v>
      </c>
      <c r="L1582" t="n">
        <v>0.697</v>
      </c>
      <c r="M1582" t="n">
        <v>0.073</v>
      </c>
    </row>
    <row r="1583" spans="1:13">
      <c r="A1583" s="1">
        <f>HYPERLINK("http://www.twitter.com/NathanBLawrence/status/980507768133246976", "980507768133246976")</f>
        <v/>
      </c>
      <c r="B1583" s="2" t="n">
        <v>43191.75744212963</v>
      </c>
      <c r="C1583" t="n">
        <v>0</v>
      </c>
      <c r="D1583" t="n">
        <v>367</v>
      </c>
      <c r="E1583" t="s">
        <v>1588</v>
      </c>
      <c r="F1583">
        <f>HYPERLINK("http://pbs.twimg.com/media/DZi1jnIXUAAXYw6.jpg", "http://pbs.twimg.com/media/DZi1jnIXUAAXYw6.jpg")</f>
        <v/>
      </c>
      <c r="G1583">
        <f>HYPERLINK("http://pbs.twimg.com/media/DZi1jnBWAAIemwu.jpg", "http://pbs.twimg.com/media/DZi1jnBWAAIemwu.jpg")</f>
        <v/>
      </c>
      <c r="H1583" t="s"/>
      <c r="I1583" t="s"/>
      <c r="J1583" t="n">
        <v>0</v>
      </c>
      <c r="K1583" t="n">
        <v>0</v>
      </c>
      <c r="L1583" t="n">
        <v>1</v>
      </c>
      <c r="M1583" t="n">
        <v>0</v>
      </c>
    </row>
    <row r="1584" spans="1:13">
      <c r="A1584" s="1">
        <f>HYPERLINK("http://www.twitter.com/NathanBLawrence/status/980507685207592961", "980507685207592961")</f>
        <v/>
      </c>
      <c r="B1584" s="2" t="n">
        <v>43191.75721064815</v>
      </c>
      <c r="C1584" t="n">
        <v>2</v>
      </c>
      <c r="D1584" t="n">
        <v>0</v>
      </c>
      <c r="E1584" t="s">
        <v>1589</v>
      </c>
      <c r="F1584" t="s"/>
      <c r="G1584" t="s"/>
      <c r="H1584" t="s"/>
      <c r="I1584" t="s"/>
      <c r="J1584" t="n">
        <v>0</v>
      </c>
      <c r="K1584" t="n">
        <v>0</v>
      </c>
      <c r="L1584" t="n">
        <v>1</v>
      </c>
      <c r="M1584" t="n">
        <v>0</v>
      </c>
    </row>
    <row r="1585" spans="1:13">
      <c r="A1585" s="1">
        <f>HYPERLINK("http://www.twitter.com/NathanBLawrence/status/980507578995224576", "980507578995224576")</f>
        <v/>
      </c>
      <c r="B1585" s="2" t="n">
        <v>43191.7569212963</v>
      </c>
      <c r="C1585" t="n">
        <v>0</v>
      </c>
      <c r="D1585" t="n">
        <v>1</v>
      </c>
      <c r="E1585" t="s">
        <v>1590</v>
      </c>
      <c r="F1585" t="s"/>
      <c r="G1585" t="s"/>
      <c r="H1585" t="s"/>
      <c r="I1585" t="s"/>
      <c r="J1585" t="n">
        <v>0</v>
      </c>
      <c r="K1585" t="n">
        <v>0</v>
      </c>
      <c r="L1585" t="n">
        <v>1</v>
      </c>
      <c r="M1585" t="n">
        <v>0</v>
      </c>
    </row>
    <row r="1586" spans="1:13">
      <c r="A1586" s="1">
        <f>HYPERLINK("http://www.twitter.com/NathanBLawrence/status/980481555507367938", "980481555507367938")</f>
        <v/>
      </c>
      <c r="B1586" s="2" t="n">
        <v>43191.68510416667</v>
      </c>
      <c r="C1586" t="n">
        <v>1</v>
      </c>
      <c r="D1586" t="n">
        <v>0</v>
      </c>
      <c r="E1586" t="s">
        <v>1591</v>
      </c>
      <c r="F1586" t="s"/>
      <c r="G1586" t="s"/>
      <c r="H1586" t="s"/>
      <c r="I1586" t="s"/>
      <c r="J1586" t="n">
        <v>0</v>
      </c>
      <c r="K1586" t="n">
        <v>0</v>
      </c>
      <c r="L1586" t="n">
        <v>1</v>
      </c>
      <c r="M1586" t="n">
        <v>0</v>
      </c>
    </row>
    <row r="1587" spans="1:13">
      <c r="A1587" s="1">
        <f>HYPERLINK("http://www.twitter.com/NathanBLawrence/status/980481221426900993", "980481221426900993")</f>
        <v/>
      </c>
      <c r="B1587" s="2" t="n">
        <v>43191.68418981481</v>
      </c>
      <c r="C1587" t="n">
        <v>0</v>
      </c>
      <c r="D1587" t="n">
        <v>3</v>
      </c>
      <c r="E1587" t="s">
        <v>1592</v>
      </c>
      <c r="F1587">
        <f>HYPERLINK("http://pbs.twimg.com/media/DZtd0RmU8AAnwgW.jpg", "http://pbs.twimg.com/media/DZtd0RmU8AAnwgW.jpg")</f>
        <v/>
      </c>
      <c r="G1587" t="s"/>
      <c r="H1587" t="s"/>
      <c r="I1587" t="s"/>
      <c r="J1587" t="n">
        <v>0.8122</v>
      </c>
      <c r="K1587" t="n">
        <v>0</v>
      </c>
      <c r="L1587" t="n">
        <v>0.67</v>
      </c>
      <c r="M1587" t="n">
        <v>0.33</v>
      </c>
    </row>
    <row r="1588" spans="1:13">
      <c r="A1588" s="1">
        <f>HYPERLINK("http://www.twitter.com/NathanBLawrence/status/980067791821770753", "980067791821770753")</f>
        <v/>
      </c>
      <c r="B1588" s="2" t="n">
        <v>43190.5433449074</v>
      </c>
      <c r="C1588" t="n">
        <v>0</v>
      </c>
      <c r="D1588" t="n">
        <v>6</v>
      </c>
      <c r="E1588" t="s">
        <v>1593</v>
      </c>
      <c r="F1588" t="s"/>
      <c r="G1588" t="s"/>
      <c r="H1588" t="s"/>
      <c r="I1588" t="s"/>
      <c r="J1588" t="n">
        <v>-0.296</v>
      </c>
      <c r="K1588" t="n">
        <v>0.091</v>
      </c>
      <c r="L1588" t="n">
        <v>0.909</v>
      </c>
      <c r="M1588" t="n">
        <v>0</v>
      </c>
    </row>
    <row r="1589" spans="1:13">
      <c r="A1589" s="1">
        <f>HYPERLINK("http://www.twitter.com/NathanBLawrence/status/980067681566187520", "980067681566187520")</f>
        <v/>
      </c>
      <c r="B1589" s="2" t="n">
        <v>43190.5430324074</v>
      </c>
      <c r="C1589" t="n">
        <v>0</v>
      </c>
      <c r="D1589" t="n">
        <v>1168</v>
      </c>
      <c r="E1589" t="s">
        <v>1594</v>
      </c>
      <c r="F1589" t="s"/>
      <c r="G1589" t="s"/>
      <c r="H1589" t="s"/>
      <c r="I1589" t="s"/>
      <c r="J1589" t="n">
        <v>0.0516</v>
      </c>
      <c r="K1589" t="n">
        <v>0.089</v>
      </c>
      <c r="L1589" t="n">
        <v>0.8149999999999999</v>
      </c>
      <c r="M1589" t="n">
        <v>0.096</v>
      </c>
    </row>
    <row r="1590" spans="1:13">
      <c r="A1590" s="1">
        <f>HYPERLINK("http://www.twitter.com/NathanBLawrence/status/980067569813151744", "980067569813151744")</f>
        <v/>
      </c>
      <c r="B1590" s="2" t="n">
        <v>43190.54273148148</v>
      </c>
      <c r="C1590" t="n">
        <v>0</v>
      </c>
      <c r="D1590" t="n">
        <v>4</v>
      </c>
      <c r="E1590" t="s">
        <v>1595</v>
      </c>
      <c r="F1590" t="s"/>
      <c r="G1590" t="s"/>
      <c r="H1590" t="s"/>
      <c r="I1590" t="s"/>
      <c r="J1590" t="n">
        <v>0.5106000000000001</v>
      </c>
      <c r="K1590" t="n">
        <v>0</v>
      </c>
      <c r="L1590" t="n">
        <v>0.87</v>
      </c>
      <c r="M1590" t="n">
        <v>0.13</v>
      </c>
    </row>
    <row r="1591" spans="1:13">
      <c r="A1591" s="1">
        <f>HYPERLINK("http://www.twitter.com/NathanBLawrence/status/980067479241228288", "980067479241228288")</f>
        <v/>
      </c>
      <c r="B1591" s="2" t="n">
        <v>43190.54247685185</v>
      </c>
      <c r="C1591" t="n">
        <v>0</v>
      </c>
      <c r="D1591" t="n">
        <v>658</v>
      </c>
      <c r="E1591" t="s">
        <v>1596</v>
      </c>
      <c r="F1591" t="s"/>
      <c r="G1591" t="s"/>
      <c r="H1591" t="s"/>
      <c r="I1591" t="s"/>
      <c r="J1591" t="n">
        <v>-0.4767</v>
      </c>
      <c r="K1591" t="n">
        <v>0.161</v>
      </c>
      <c r="L1591" t="n">
        <v>0.78</v>
      </c>
      <c r="M1591" t="n">
        <v>0.059</v>
      </c>
    </row>
    <row r="1592" spans="1:13">
      <c r="A1592" s="1">
        <f>HYPERLINK("http://www.twitter.com/NathanBLawrence/status/980067453073068032", "980067453073068032")</f>
        <v/>
      </c>
      <c r="B1592" s="2" t="n">
        <v>43190.54240740741</v>
      </c>
      <c r="C1592" t="n">
        <v>0</v>
      </c>
      <c r="D1592" t="n">
        <v>1</v>
      </c>
      <c r="E1592" t="s">
        <v>1597</v>
      </c>
      <c r="F1592" t="s"/>
      <c r="G1592" t="s"/>
      <c r="H1592" t="s"/>
      <c r="I1592" t="s"/>
      <c r="J1592" t="n">
        <v>0</v>
      </c>
      <c r="K1592" t="n">
        <v>0</v>
      </c>
      <c r="L1592" t="n">
        <v>1</v>
      </c>
      <c r="M1592" t="n">
        <v>0</v>
      </c>
    </row>
    <row r="1593" spans="1:13">
      <c r="A1593" s="1">
        <f>HYPERLINK("http://www.twitter.com/NathanBLawrence/status/980067392918351872", "980067392918351872")</f>
        <v/>
      </c>
      <c r="B1593" s="2" t="n">
        <v>43190.5422337963</v>
      </c>
      <c r="C1593" t="n">
        <v>0</v>
      </c>
      <c r="D1593" t="n">
        <v>387</v>
      </c>
      <c r="E1593" t="s">
        <v>1598</v>
      </c>
      <c r="F1593" t="s"/>
      <c r="G1593" t="s"/>
      <c r="H1593" t="s"/>
      <c r="I1593" t="s"/>
      <c r="J1593" t="n">
        <v>-0.5994</v>
      </c>
      <c r="K1593" t="n">
        <v>0.187</v>
      </c>
      <c r="L1593" t="n">
        <v>0.8129999999999999</v>
      </c>
      <c r="M1593" t="n">
        <v>0</v>
      </c>
    </row>
    <row r="1594" spans="1:13">
      <c r="A1594" s="1">
        <f>HYPERLINK("http://www.twitter.com/NathanBLawrence/status/980067334722342913", "980067334722342913")</f>
        <v/>
      </c>
      <c r="B1594" s="2" t="n">
        <v>43190.54208333333</v>
      </c>
      <c r="C1594" t="n">
        <v>0</v>
      </c>
      <c r="D1594" t="n">
        <v>21258</v>
      </c>
      <c r="E1594" t="s">
        <v>1599</v>
      </c>
      <c r="F1594" t="s"/>
      <c r="G1594" t="s"/>
      <c r="H1594" t="s"/>
      <c r="I1594" t="s"/>
      <c r="J1594" t="n">
        <v>-0.4019</v>
      </c>
      <c r="K1594" t="n">
        <v>0.097</v>
      </c>
      <c r="L1594" t="n">
        <v>0.903</v>
      </c>
      <c r="M1594" t="n">
        <v>0</v>
      </c>
    </row>
    <row r="1595" spans="1:13">
      <c r="A1595" s="1">
        <f>HYPERLINK("http://www.twitter.com/NathanBLawrence/status/980067291781128192", "980067291781128192")</f>
        <v/>
      </c>
      <c r="B1595" s="2" t="n">
        <v>43190.54195601852</v>
      </c>
      <c r="C1595" t="n">
        <v>0</v>
      </c>
      <c r="D1595" t="n">
        <v>2</v>
      </c>
      <c r="E1595" t="s">
        <v>1600</v>
      </c>
      <c r="F1595" t="s"/>
      <c r="G1595" t="s"/>
      <c r="H1595" t="s"/>
      <c r="I1595" t="s"/>
      <c r="J1595" t="n">
        <v>-0.4939</v>
      </c>
      <c r="K1595" t="n">
        <v>0.158</v>
      </c>
      <c r="L1595" t="n">
        <v>0.842</v>
      </c>
      <c r="M1595" t="n">
        <v>0</v>
      </c>
    </row>
    <row r="1596" spans="1:13">
      <c r="A1596" s="1">
        <f>HYPERLINK("http://www.twitter.com/NathanBLawrence/status/980067059181776896", "980067059181776896")</f>
        <v/>
      </c>
      <c r="B1596" s="2" t="n">
        <v>43190.54131944444</v>
      </c>
      <c r="C1596" t="n">
        <v>0</v>
      </c>
      <c r="D1596" t="n">
        <v>393</v>
      </c>
      <c r="E1596" t="s">
        <v>1601</v>
      </c>
      <c r="F1596" t="s"/>
      <c r="G1596" t="s"/>
      <c r="H1596" t="s"/>
      <c r="I1596" t="s"/>
      <c r="J1596" t="n">
        <v>0</v>
      </c>
      <c r="K1596" t="n">
        <v>0</v>
      </c>
      <c r="L1596" t="n">
        <v>1</v>
      </c>
      <c r="M1596" t="n">
        <v>0</v>
      </c>
    </row>
    <row r="1597" spans="1:13">
      <c r="A1597" s="1">
        <f>HYPERLINK("http://www.twitter.com/NathanBLawrence/status/980066998217510915", "980066998217510915")</f>
        <v/>
      </c>
      <c r="B1597" s="2" t="n">
        <v>43190.54114583333</v>
      </c>
      <c r="C1597" t="n">
        <v>0</v>
      </c>
      <c r="D1597" t="n">
        <v>46110</v>
      </c>
      <c r="E1597" t="s">
        <v>1602</v>
      </c>
      <c r="F1597" t="s"/>
      <c r="G1597" t="s"/>
      <c r="H1597" t="s"/>
      <c r="I1597" t="s"/>
      <c r="J1597" t="n">
        <v>-0.2023</v>
      </c>
      <c r="K1597" t="n">
        <v>0.204</v>
      </c>
      <c r="L1597" t="n">
        <v>0.657</v>
      </c>
      <c r="M1597" t="n">
        <v>0.139</v>
      </c>
    </row>
    <row r="1598" spans="1:13">
      <c r="A1598" s="1">
        <f>HYPERLINK("http://www.twitter.com/NathanBLawrence/status/980066977984270338", "980066977984270338")</f>
        <v/>
      </c>
      <c r="B1598" s="2" t="n">
        <v>43190.54108796296</v>
      </c>
      <c r="C1598" t="n">
        <v>0</v>
      </c>
      <c r="D1598" t="n">
        <v>83</v>
      </c>
      <c r="E1598" t="s">
        <v>1603</v>
      </c>
      <c r="F1598" t="s"/>
      <c r="G1598" t="s"/>
      <c r="H1598" t="s"/>
      <c r="I1598" t="s"/>
      <c r="J1598" t="n">
        <v>0.7019</v>
      </c>
      <c r="K1598" t="n">
        <v>0</v>
      </c>
      <c r="L1598" t="n">
        <v>0.779</v>
      </c>
      <c r="M1598" t="n">
        <v>0.221</v>
      </c>
    </row>
    <row r="1599" spans="1:13">
      <c r="A1599" s="1">
        <f>HYPERLINK("http://www.twitter.com/NathanBLawrence/status/980066882312200193", "980066882312200193")</f>
        <v/>
      </c>
      <c r="B1599" s="2" t="n">
        <v>43190.54083333333</v>
      </c>
      <c r="C1599" t="n">
        <v>0</v>
      </c>
      <c r="D1599" t="n">
        <v>17002</v>
      </c>
      <c r="E1599" t="s">
        <v>1604</v>
      </c>
      <c r="F1599" t="s"/>
      <c r="G1599" t="s"/>
      <c r="H1599" t="s"/>
      <c r="I1599" t="s"/>
      <c r="J1599" t="n">
        <v>-0.5266999999999999</v>
      </c>
      <c r="K1599" t="n">
        <v>0.18</v>
      </c>
      <c r="L1599" t="n">
        <v>0.82</v>
      </c>
      <c r="M1599" t="n">
        <v>0</v>
      </c>
    </row>
    <row r="1600" spans="1:13">
      <c r="A1600" s="1">
        <f>HYPERLINK("http://www.twitter.com/NathanBLawrence/status/979565426668720129", "979565426668720129")</f>
        <v/>
      </c>
      <c r="B1600" s="2" t="n">
        <v>43189.15707175926</v>
      </c>
      <c r="C1600" t="n">
        <v>0</v>
      </c>
      <c r="D1600" t="n">
        <v>6</v>
      </c>
      <c r="E1600" t="s">
        <v>1605</v>
      </c>
      <c r="F1600">
        <f>HYPERLINK("http://pbs.twimg.com/media/DZY90qiVAAYsydw.jpg", "http://pbs.twimg.com/media/DZY90qiVAAYsydw.jpg")</f>
        <v/>
      </c>
      <c r="G1600" t="s"/>
      <c r="H1600" t="s"/>
      <c r="I1600" t="s"/>
      <c r="J1600" t="n">
        <v>-0.4199</v>
      </c>
      <c r="K1600" t="n">
        <v>0.108</v>
      </c>
      <c r="L1600" t="n">
        <v>0.892</v>
      </c>
      <c r="M1600" t="n">
        <v>0</v>
      </c>
    </row>
    <row r="1601" spans="1:13">
      <c r="A1601" s="1">
        <f>HYPERLINK("http://www.twitter.com/NathanBLawrence/status/978818740103122944", "978818740103122944")</f>
        <v/>
      </c>
      <c r="B1601" s="2" t="n">
        <v>43187.0966087963</v>
      </c>
      <c r="C1601" t="n">
        <v>0</v>
      </c>
      <c r="D1601" t="n">
        <v>3385</v>
      </c>
      <c r="E1601" t="s">
        <v>1606</v>
      </c>
      <c r="F1601" t="s"/>
      <c r="G1601" t="s"/>
      <c r="H1601" t="s"/>
      <c r="I1601" t="s"/>
      <c r="J1601" t="n">
        <v>0.6988</v>
      </c>
      <c r="K1601" t="n">
        <v>0</v>
      </c>
      <c r="L1601" t="n">
        <v>0.511</v>
      </c>
      <c r="M1601" t="n">
        <v>0.489</v>
      </c>
    </row>
    <row r="1602" spans="1:13">
      <c r="A1602" s="1">
        <f>HYPERLINK("http://www.twitter.com/NathanBLawrence/status/978818714303909888", "978818714303909888")</f>
        <v/>
      </c>
      <c r="B1602" s="2" t="n">
        <v>43187.09653935185</v>
      </c>
      <c r="C1602" t="n">
        <v>0</v>
      </c>
      <c r="D1602" t="n">
        <v>3443</v>
      </c>
      <c r="E1602" t="s">
        <v>1607</v>
      </c>
      <c r="F1602">
        <f>HYPERLINK("http://pbs.twimg.com/media/DZVhCPKW0AEJFL8.jpg", "http://pbs.twimg.com/media/DZVhCPKW0AEJFL8.jpg")</f>
        <v/>
      </c>
      <c r="G1602" t="s"/>
      <c r="H1602" t="s"/>
      <c r="I1602" t="s"/>
      <c r="J1602" t="n">
        <v>0.7707000000000001</v>
      </c>
      <c r="K1602" t="n">
        <v>0</v>
      </c>
      <c r="L1602" t="n">
        <v>0.75</v>
      </c>
      <c r="M1602" t="n">
        <v>0.25</v>
      </c>
    </row>
    <row r="1603" spans="1:13">
      <c r="A1603" s="1">
        <f>HYPERLINK("http://www.twitter.com/NathanBLawrence/status/978818630220681216", "978818630220681216")</f>
        <v/>
      </c>
      <c r="B1603" s="2" t="n">
        <v>43187.09630787037</v>
      </c>
      <c r="C1603" t="n">
        <v>0</v>
      </c>
      <c r="D1603" t="n">
        <v>3381</v>
      </c>
      <c r="E1603" t="s">
        <v>1608</v>
      </c>
      <c r="F1603">
        <f>HYPERLINK("http://pbs.twimg.com/media/DZVfpyaWsAMMLth.jpg", "http://pbs.twimg.com/media/DZVfpyaWsAMMLth.jpg")</f>
        <v/>
      </c>
      <c r="G1603" t="s"/>
      <c r="H1603" t="s"/>
      <c r="I1603" t="s"/>
      <c r="J1603" t="n">
        <v>0.9156</v>
      </c>
      <c r="K1603" t="n">
        <v>0</v>
      </c>
      <c r="L1603" t="n">
        <v>0.5590000000000001</v>
      </c>
      <c r="M1603" t="n">
        <v>0.441</v>
      </c>
    </row>
    <row r="1604" spans="1:13">
      <c r="A1604" s="1">
        <f>HYPERLINK("http://www.twitter.com/NathanBLawrence/status/978818322430156801", "978818322430156801")</f>
        <v/>
      </c>
      <c r="B1604" s="2" t="n">
        <v>43187.09546296296</v>
      </c>
      <c r="C1604" t="n">
        <v>0</v>
      </c>
      <c r="D1604" t="n">
        <v>1588</v>
      </c>
      <c r="E1604" t="s">
        <v>1609</v>
      </c>
      <c r="F1604" t="s"/>
      <c r="G1604" t="s"/>
      <c r="H1604" t="s"/>
      <c r="I1604" t="s"/>
      <c r="J1604" t="n">
        <v>0.5574</v>
      </c>
      <c r="K1604" t="n">
        <v>0</v>
      </c>
      <c r="L1604" t="n">
        <v>0.739</v>
      </c>
      <c r="M1604" t="n">
        <v>0.261</v>
      </c>
    </row>
    <row r="1605" spans="1:13">
      <c r="A1605" s="1">
        <f>HYPERLINK("http://www.twitter.com/NathanBLawrence/status/978818056347701248", "978818056347701248")</f>
        <v/>
      </c>
      <c r="B1605" s="2" t="n">
        <v>43187.09472222222</v>
      </c>
      <c r="C1605" t="n">
        <v>2</v>
      </c>
      <c r="D1605" t="n">
        <v>0</v>
      </c>
      <c r="E1605" t="s">
        <v>1610</v>
      </c>
      <c r="F1605" t="s"/>
      <c r="G1605" t="s"/>
      <c r="H1605" t="s"/>
      <c r="I1605" t="s"/>
      <c r="J1605" t="n">
        <v>-0.4951</v>
      </c>
      <c r="K1605" t="n">
        <v>0.198</v>
      </c>
      <c r="L1605" t="n">
        <v>0.802</v>
      </c>
      <c r="M1605" t="n">
        <v>0</v>
      </c>
    </row>
    <row r="1606" spans="1:13">
      <c r="A1606" s="1">
        <f>HYPERLINK("http://www.twitter.com/NathanBLawrence/status/978815775829086208", "978815775829086208")</f>
        <v/>
      </c>
      <c r="B1606" s="2" t="n">
        <v>43187.0884375</v>
      </c>
      <c r="C1606" t="n">
        <v>1</v>
      </c>
      <c r="D1606" t="n">
        <v>0</v>
      </c>
      <c r="E1606" t="s">
        <v>1611</v>
      </c>
      <c r="F1606" t="s"/>
      <c r="G1606" t="s"/>
      <c r="H1606" t="s"/>
      <c r="I1606" t="s"/>
      <c r="J1606" t="n">
        <v>0.5244</v>
      </c>
      <c r="K1606" t="n">
        <v>0</v>
      </c>
      <c r="L1606" t="n">
        <v>0.596</v>
      </c>
      <c r="M1606" t="n">
        <v>0.404</v>
      </c>
    </row>
    <row r="1607" spans="1:13">
      <c r="A1607" s="1">
        <f>HYPERLINK("http://www.twitter.com/NathanBLawrence/status/978815689531318272", "978815689531318272")</f>
        <v/>
      </c>
      <c r="B1607" s="2" t="n">
        <v>43187.08819444444</v>
      </c>
      <c r="C1607" t="n">
        <v>0</v>
      </c>
      <c r="D1607" t="n">
        <v>1</v>
      </c>
      <c r="E1607" t="s">
        <v>1612</v>
      </c>
      <c r="F1607" t="s"/>
      <c r="G1607" t="s"/>
      <c r="H1607" t="s"/>
      <c r="I1607" t="s"/>
      <c r="J1607" t="n">
        <v>0.4215</v>
      </c>
      <c r="K1607" t="n">
        <v>0</v>
      </c>
      <c r="L1607" t="n">
        <v>0.851</v>
      </c>
      <c r="M1607" t="n">
        <v>0.149</v>
      </c>
    </row>
    <row r="1608" spans="1:13">
      <c r="A1608" s="1">
        <f>HYPERLINK("http://www.twitter.com/NathanBLawrence/status/978809918777118720", "978809918777118720")</f>
        <v/>
      </c>
      <c r="B1608" s="2" t="n">
        <v>43187.07226851852</v>
      </c>
      <c r="C1608" t="n">
        <v>0</v>
      </c>
      <c r="D1608" t="n">
        <v>29</v>
      </c>
      <c r="E1608" t="s">
        <v>1613</v>
      </c>
      <c r="F1608" t="s"/>
      <c r="G1608" t="s"/>
      <c r="H1608" t="s"/>
      <c r="I1608" t="s"/>
      <c r="J1608" t="n">
        <v>0</v>
      </c>
      <c r="K1608" t="n">
        <v>0</v>
      </c>
      <c r="L1608" t="n">
        <v>1</v>
      </c>
      <c r="M1608" t="n">
        <v>0</v>
      </c>
    </row>
    <row r="1609" spans="1:13">
      <c r="A1609" s="1">
        <f>HYPERLINK("http://www.twitter.com/NathanBLawrence/status/978809827836223488", "978809827836223488")</f>
        <v/>
      </c>
      <c r="B1609" s="2" t="n">
        <v>43187.07202546296</v>
      </c>
      <c r="C1609" t="n">
        <v>11</v>
      </c>
      <c r="D1609" t="n">
        <v>1</v>
      </c>
      <c r="E1609" t="s">
        <v>1614</v>
      </c>
      <c r="F1609" t="s"/>
      <c r="G1609" t="s"/>
      <c r="H1609" t="s"/>
      <c r="I1609" t="s"/>
      <c r="J1609" t="n">
        <v>0.3987</v>
      </c>
      <c r="K1609" t="n">
        <v>0</v>
      </c>
      <c r="L1609" t="n">
        <v>0.882</v>
      </c>
      <c r="M1609" t="n">
        <v>0.118</v>
      </c>
    </row>
    <row r="1610" spans="1:13">
      <c r="A1610" s="1">
        <f>HYPERLINK("http://www.twitter.com/NathanBLawrence/status/978807786191515648", "978807786191515648")</f>
        <v/>
      </c>
      <c r="B1610" s="2" t="n">
        <v>43187.06638888889</v>
      </c>
      <c r="C1610" t="n">
        <v>3</v>
      </c>
      <c r="D1610" t="n">
        <v>0</v>
      </c>
      <c r="E1610" t="s">
        <v>1615</v>
      </c>
      <c r="F1610" t="s"/>
      <c r="G1610" t="s"/>
      <c r="H1610" t="s"/>
      <c r="I1610" t="s"/>
      <c r="J1610" t="n">
        <v>0</v>
      </c>
      <c r="K1610" t="n">
        <v>0</v>
      </c>
      <c r="L1610" t="n">
        <v>1</v>
      </c>
      <c r="M1610" t="n">
        <v>0</v>
      </c>
    </row>
    <row r="1611" spans="1:13">
      <c r="A1611" s="1">
        <f>HYPERLINK("http://www.twitter.com/NathanBLawrence/status/978807421618540545", "978807421618540545")</f>
        <v/>
      </c>
      <c r="B1611" s="2" t="n">
        <v>43187.06538194444</v>
      </c>
      <c r="C1611" t="n">
        <v>0</v>
      </c>
      <c r="D1611" t="n">
        <v>17</v>
      </c>
      <c r="E1611" t="s">
        <v>1616</v>
      </c>
      <c r="F1611">
        <f>HYPERLINK("http://pbs.twimg.com/media/DZTc3cnXcAUEHZ_.jpg", "http://pbs.twimg.com/media/DZTc3cnXcAUEHZ_.jpg")</f>
        <v/>
      </c>
      <c r="G1611">
        <f>HYPERLINK("http://pbs.twimg.com/media/DZTc3cuWAAEEV65.jpg", "http://pbs.twimg.com/media/DZTc3cuWAAEEV65.jpg")</f>
        <v/>
      </c>
      <c r="H1611" t="s"/>
      <c r="I1611" t="s"/>
      <c r="J1611" t="n">
        <v>0</v>
      </c>
      <c r="K1611" t="n">
        <v>0</v>
      </c>
      <c r="L1611" t="n">
        <v>1</v>
      </c>
      <c r="M1611" t="n">
        <v>0</v>
      </c>
    </row>
    <row r="1612" spans="1:13">
      <c r="A1612" s="1">
        <f>HYPERLINK("http://www.twitter.com/NathanBLawrence/status/978807202151649291", "978807202151649291")</f>
        <v/>
      </c>
      <c r="B1612" s="2" t="n">
        <v>43187.06478009259</v>
      </c>
      <c r="C1612" t="n">
        <v>0</v>
      </c>
      <c r="D1612" t="n">
        <v>8</v>
      </c>
      <c r="E1612" t="s">
        <v>1617</v>
      </c>
      <c r="F1612" t="s"/>
      <c r="G1612" t="s"/>
      <c r="H1612" t="s"/>
      <c r="I1612" t="s"/>
      <c r="J1612" t="n">
        <v>0.6219</v>
      </c>
      <c r="K1612" t="n">
        <v>0</v>
      </c>
      <c r="L1612" t="n">
        <v>0.849</v>
      </c>
      <c r="M1612" t="n">
        <v>0.151</v>
      </c>
    </row>
    <row r="1613" spans="1:13">
      <c r="A1613" s="1">
        <f>HYPERLINK("http://www.twitter.com/NathanBLawrence/status/978806670351654913", "978806670351654913")</f>
        <v/>
      </c>
      <c r="B1613" s="2" t="n">
        <v>43187.06331018519</v>
      </c>
      <c r="C1613" t="n">
        <v>1</v>
      </c>
      <c r="D1613" t="n">
        <v>0</v>
      </c>
      <c r="E1613" t="s">
        <v>1618</v>
      </c>
      <c r="F1613" t="s"/>
      <c r="G1613" t="s"/>
      <c r="H1613" t="s"/>
      <c r="I1613" t="s"/>
      <c r="J1613" t="n">
        <v>0.3016</v>
      </c>
      <c r="K1613" t="n">
        <v>0</v>
      </c>
      <c r="L1613" t="n">
        <v>0.554</v>
      </c>
      <c r="M1613" t="n">
        <v>0.446</v>
      </c>
    </row>
    <row r="1614" spans="1:13">
      <c r="A1614" s="1">
        <f>HYPERLINK("http://www.twitter.com/NathanBLawrence/status/978806329598005248", "978806329598005248")</f>
        <v/>
      </c>
      <c r="B1614" s="2" t="n">
        <v>43187.06236111111</v>
      </c>
      <c r="C1614" t="n">
        <v>0</v>
      </c>
      <c r="D1614" t="n">
        <v>6</v>
      </c>
      <c r="E1614" t="s">
        <v>1619</v>
      </c>
      <c r="F1614" t="s"/>
      <c r="G1614" t="s"/>
      <c r="H1614" t="s"/>
      <c r="I1614" t="s"/>
      <c r="J1614" t="n">
        <v>-0.4466</v>
      </c>
      <c r="K1614" t="n">
        <v>0.246</v>
      </c>
      <c r="L1614" t="n">
        <v>0.754</v>
      </c>
      <c r="M1614" t="n">
        <v>0</v>
      </c>
    </row>
    <row r="1615" spans="1:13">
      <c r="A1615" s="1">
        <f>HYPERLINK("http://www.twitter.com/NathanBLawrence/status/978806254276620288", "978806254276620288")</f>
        <v/>
      </c>
      <c r="B1615" s="2" t="n">
        <v>43187.06216435185</v>
      </c>
      <c r="C1615" t="n">
        <v>0</v>
      </c>
      <c r="D1615" t="n">
        <v>0</v>
      </c>
      <c r="E1615" t="s">
        <v>1620</v>
      </c>
      <c r="F1615" t="s"/>
      <c r="G1615" t="s"/>
      <c r="H1615" t="s"/>
      <c r="I1615" t="s"/>
      <c r="J1615" t="n">
        <v>-0.5719</v>
      </c>
      <c r="K1615" t="n">
        <v>0.152</v>
      </c>
      <c r="L1615" t="n">
        <v>0.788</v>
      </c>
      <c r="M1615" t="n">
        <v>0.06</v>
      </c>
    </row>
    <row r="1616" spans="1:13">
      <c r="A1616" s="1">
        <f>HYPERLINK("http://www.twitter.com/NathanBLawrence/status/978805685109624832", "978805685109624832")</f>
        <v/>
      </c>
      <c r="B1616" s="2" t="n">
        <v>43187.06059027778</v>
      </c>
      <c r="C1616" t="n">
        <v>0</v>
      </c>
      <c r="D1616" t="n">
        <v>0</v>
      </c>
      <c r="E1616" t="s">
        <v>1621</v>
      </c>
      <c r="F1616" t="s"/>
      <c r="G1616" t="s"/>
      <c r="H1616" t="s"/>
      <c r="I1616" t="s"/>
      <c r="J1616" t="n">
        <v>0.9136</v>
      </c>
      <c r="K1616" t="n">
        <v>0</v>
      </c>
      <c r="L1616" t="n">
        <v>0.415</v>
      </c>
      <c r="M1616" t="n">
        <v>0.585</v>
      </c>
    </row>
    <row r="1617" spans="1:13">
      <c r="A1617" s="1">
        <f>HYPERLINK("http://www.twitter.com/NathanBLawrence/status/978804872912015362", "978804872912015362")</f>
        <v/>
      </c>
      <c r="B1617" s="2" t="n">
        <v>43187.0583449074</v>
      </c>
      <c r="C1617" t="n">
        <v>0</v>
      </c>
      <c r="D1617" t="n">
        <v>0</v>
      </c>
      <c r="E1617" t="s">
        <v>1622</v>
      </c>
      <c r="F1617" t="s"/>
      <c r="G1617" t="s"/>
      <c r="H1617" t="s"/>
      <c r="I1617" t="s"/>
      <c r="J1617" t="n">
        <v>0</v>
      </c>
      <c r="K1617" t="n">
        <v>0</v>
      </c>
      <c r="L1617" t="n">
        <v>1</v>
      </c>
      <c r="M1617" t="n">
        <v>0</v>
      </c>
    </row>
    <row r="1618" spans="1:13">
      <c r="A1618" s="1">
        <f>HYPERLINK("http://www.twitter.com/NathanBLawrence/status/978804567143043072", "978804567143043072")</f>
        <v/>
      </c>
      <c r="B1618" s="2" t="n">
        <v>43187.0575</v>
      </c>
      <c r="C1618" t="n">
        <v>0</v>
      </c>
      <c r="D1618" t="n">
        <v>0</v>
      </c>
      <c r="E1618" t="s">
        <v>1623</v>
      </c>
      <c r="F1618" t="s"/>
      <c r="G1618" t="s"/>
      <c r="H1618" t="s"/>
      <c r="I1618" t="s"/>
      <c r="J1618" t="n">
        <v>0.5574</v>
      </c>
      <c r="K1618" t="n">
        <v>0</v>
      </c>
      <c r="L1618" t="n">
        <v>0.827</v>
      </c>
      <c r="M1618" t="n">
        <v>0.173</v>
      </c>
    </row>
    <row r="1619" spans="1:13">
      <c r="A1619" s="1">
        <f>HYPERLINK("http://www.twitter.com/NathanBLawrence/status/978803738566709250", "978803738566709250")</f>
        <v/>
      </c>
      <c r="B1619" s="2" t="n">
        <v>43187.05521990741</v>
      </c>
      <c r="C1619" t="n">
        <v>0</v>
      </c>
      <c r="D1619" t="n">
        <v>0</v>
      </c>
      <c r="E1619" t="s">
        <v>1624</v>
      </c>
      <c r="F1619" t="s"/>
      <c r="G1619" t="s"/>
      <c r="H1619" t="s"/>
      <c r="I1619" t="s"/>
      <c r="J1619" t="n">
        <v>-0.6956</v>
      </c>
      <c r="K1619" t="n">
        <v>0.284</v>
      </c>
      <c r="L1619" t="n">
        <v>0.716</v>
      </c>
      <c r="M1619" t="n">
        <v>0</v>
      </c>
    </row>
    <row r="1620" spans="1:13">
      <c r="A1620" s="1">
        <f>HYPERLINK("http://www.twitter.com/NathanBLawrence/status/978801455493722114", "978801455493722114")</f>
        <v/>
      </c>
      <c r="B1620" s="2" t="n">
        <v>43187.04891203704</v>
      </c>
      <c r="C1620" t="n">
        <v>0</v>
      </c>
      <c r="D1620" t="n">
        <v>2</v>
      </c>
      <c r="E1620" t="s">
        <v>1625</v>
      </c>
      <c r="F1620" t="s"/>
      <c r="G1620" t="s"/>
      <c r="H1620" t="s"/>
      <c r="I1620" t="s"/>
      <c r="J1620" t="n">
        <v>0</v>
      </c>
      <c r="K1620" t="n">
        <v>0</v>
      </c>
      <c r="L1620" t="n">
        <v>1</v>
      </c>
      <c r="M1620" t="n">
        <v>0</v>
      </c>
    </row>
    <row r="1621" spans="1:13">
      <c r="A1621" s="1">
        <f>HYPERLINK("http://www.twitter.com/NathanBLawrence/status/978801407125016576", "978801407125016576")</f>
        <v/>
      </c>
      <c r="B1621" s="2" t="n">
        <v>43187.04878472222</v>
      </c>
      <c r="C1621" t="n">
        <v>0</v>
      </c>
      <c r="D1621" t="n">
        <v>1</v>
      </c>
      <c r="E1621" t="s">
        <v>1626</v>
      </c>
      <c r="F1621" t="s"/>
      <c r="G1621" t="s"/>
      <c r="H1621" t="s"/>
      <c r="I1621" t="s"/>
      <c r="J1621" t="n">
        <v>-0.5815</v>
      </c>
      <c r="K1621" t="n">
        <v>0.255</v>
      </c>
      <c r="L1621" t="n">
        <v>0.745</v>
      </c>
      <c r="M1621" t="n">
        <v>0</v>
      </c>
    </row>
    <row r="1622" spans="1:13">
      <c r="A1622" s="1">
        <f>HYPERLINK("http://www.twitter.com/NathanBLawrence/status/978801371251126272", "978801371251126272")</f>
        <v/>
      </c>
      <c r="B1622" s="2" t="n">
        <v>43187.04868055556</v>
      </c>
      <c r="C1622" t="n">
        <v>0</v>
      </c>
      <c r="D1622" t="n">
        <v>1</v>
      </c>
      <c r="E1622" t="s">
        <v>1627</v>
      </c>
      <c r="F1622" t="s"/>
      <c r="G1622" t="s"/>
      <c r="H1622" t="s"/>
      <c r="I1622" t="s"/>
      <c r="J1622" t="n">
        <v>0</v>
      </c>
      <c r="K1622" t="n">
        <v>0</v>
      </c>
      <c r="L1622" t="n">
        <v>1</v>
      </c>
      <c r="M1622" t="n">
        <v>0</v>
      </c>
    </row>
    <row r="1623" spans="1:13">
      <c r="A1623" s="1">
        <f>HYPERLINK("http://www.twitter.com/NathanBLawrence/status/978801235607343105", "978801235607343105")</f>
        <v/>
      </c>
      <c r="B1623" s="2" t="n">
        <v>43187.04831018519</v>
      </c>
      <c r="C1623" t="n">
        <v>2</v>
      </c>
      <c r="D1623" t="n">
        <v>0</v>
      </c>
      <c r="E1623" t="s">
        <v>1628</v>
      </c>
      <c r="F1623" t="s"/>
      <c r="G1623" t="s"/>
      <c r="H1623" t="s"/>
      <c r="I1623" t="s"/>
      <c r="J1623" t="n">
        <v>-0.508</v>
      </c>
      <c r="K1623" t="n">
        <v>0.396</v>
      </c>
      <c r="L1623" t="n">
        <v>0.604</v>
      </c>
      <c r="M1623" t="n">
        <v>0</v>
      </c>
    </row>
    <row r="1624" spans="1:13">
      <c r="A1624" s="1">
        <f>HYPERLINK("http://www.twitter.com/NathanBLawrence/status/978801091872780289", "978801091872780289")</f>
        <v/>
      </c>
      <c r="B1624" s="2" t="n">
        <v>43187.04791666667</v>
      </c>
      <c r="C1624" t="n">
        <v>0</v>
      </c>
      <c r="D1624" t="n">
        <v>9</v>
      </c>
      <c r="E1624" t="s">
        <v>1629</v>
      </c>
      <c r="F1624" t="s"/>
      <c r="G1624" t="s"/>
      <c r="H1624" t="s"/>
      <c r="I1624" t="s"/>
      <c r="J1624" t="n">
        <v>0.3612</v>
      </c>
      <c r="K1624" t="n">
        <v>0</v>
      </c>
      <c r="L1624" t="n">
        <v>0.884</v>
      </c>
      <c r="M1624" t="n">
        <v>0.116</v>
      </c>
    </row>
    <row r="1625" spans="1:13">
      <c r="A1625" s="1">
        <f>HYPERLINK("http://www.twitter.com/NathanBLawrence/status/978795595753238530", "978795595753238530")</f>
        <v/>
      </c>
      <c r="B1625" s="2" t="n">
        <v>43187.03274305556</v>
      </c>
      <c r="C1625" t="n">
        <v>3</v>
      </c>
      <c r="D1625" t="n">
        <v>0</v>
      </c>
      <c r="E1625" t="s">
        <v>1630</v>
      </c>
      <c r="F1625" t="s"/>
      <c r="G1625" t="s"/>
      <c r="H1625" t="s"/>
      <c r="I1625" t="s"/>
      <c r="J1625" t="n">
        <v>0.4926</v>
      </c>
      <c r="K1625" t="n">
        <v>0</v>
      </c>
      <c r="L1625" t="n">
        <v>0.61</v>
      </c>
      <c r="M1625" t="n">
        <v>0.39</v>
      </c>
    </row>
    <row r="1626" spans="1:13">
      <c r="A1626" s="1">
        <f>HYPERLINK("http://www.twitter.com/NathanBLawrence/status/978795349589491712", "978795349589491712")</f>
        <v/>
      </c>
      <c r="B1626" s="2" t="n">
        <v>43187.03207175926</v>
      </c>
      <c r="C1626" t="n">
        <v>0</v>
      </c>
      <c r="D1626" t="n">
        <v>0</v>
      </c>
      <c r="E1626" t="s">
        <v>1631</v>
      </c>
      <c r="F1626" t="s"/>
      <c r="G1626" t="s"/>
      <c r="H1626" t="s"/>
      <c r="I1626" t="s"/>
      <c r="J1626" t="n">
        <v>0.4019</v>
      </c>
      <c r="K1626" t="n">
        <v>0</v>
      </c>
      <c r="L1626" t="n">
        <v>0.748</v>
      </c>
      <c r="M1626" t="n">
        <v>0.252</v>
      </c>
    </row>
    <row r="1627" spans="1:13">
      <c r="A1627" s="1">
        <f>HYPERLINK("http://www.twitter.com/NathanBLawrence/status/978795122631544837", "978795122631544837")</f>
        <v/>
      </c>
      <c r="B1627" s="2" t="n">
        <v>43187.03144675926</v>
      </c>
      <c r="C1627" t="n">
        <v>0</v>
      </c>
      <c r="D1627" t="n">
        <v>30</v>
      </c>
      <c r="E1627" t="s">
        <v>1632</v>
      </c>
      <c r="F1627" t="s"/>
      <c r="G1627" t="s"/>
      <c r="H1627" t="s"/>
      <c r="I1627" t="s"/>
      <c r="J1627" t="n">
        <v>0.7946</v>
      </c>
      <c r="K1627" t="n">
        <v>0</v>
      </c>
      <c r="L1627" t="n">
        <v>0.609</v>
      </c>
      <c r="M1627" t="n">
        <v>0.391</v>
      </c>
    </row>
    <row r="1628" spans="1:13">
      <c r="A1628" s="1">
        <f>HYPERLINK("http://www.twitter.com/NathanBLawrence/status/978794895388368897", "978794895388368897")</f>
        <v/>
      </c>
      <c r="B1628" s="2" t="n">
        <v>43187.03081018518</v>
      </c>
      <c r="C1628" t="n">
        <v>0</v>
      </c>
      <c r="D1628" t="n">
        <v>4</v>
      </c>
      <c r="E1628" t="s">
        <v>1633</v>
      </c>
      <c r="F1628" t="s"/>
      <c r="G1628" t="s"/>
      <c r="H1628" t="s"/>
      <c r="I1628" t="s"/>
      <c r="J1628" t="n">
        <v>0.6892</v>
      </c>
      <c r="K1628" t="n">
        <v>0</v>
      </c>
      <c r="L1628" t="n">
        <v>0.631</v>
      </c>
      <c r="M1628" t="n">
        <v>0.369</v>
      </c>
    </row>
    <row r="1629" spans="1:13">
      <c r="A1629" s="1">
        <f>HYPERLINK("http://www.twitter.com/NathanBLawrence/status/978794828002746368", "978794828002746368")</f>
        <v/>
      </c>
      <c r="B1629" s="2" t="n">
        <v>43187.030625</v>
      </c>
      <c r="C1629" t="n">
        <v>0</v>
      </c>
      <c r="D1629" t="n">
        <v>9</v>
      </c>
      <c r="E1629" t="s">
        <v>1634</v>
      </c>
      <c r="F1629" t="s"/>
      <c r="G1629" t="s"/>
      <c r="H1629" t="s"/>
      <c r="I1629" t="s"/>
      <c r="J1629" t="n">
        <v>0.6145</v>
      </c>
      <c r="K1629" t="n">
        <v>0</v>
      </c>
      <c r="L1629" t="n">
        <v>0.499</v>
      </c>
      <c r="M1629" t="n">
        <v>0.501</v>
      </c>
    </row>
    <row r="1630" spans="1:13">
      <c r="A1630" s="1">
        <f>HYPERLINK("http://www.twitter.com/NathanBLawrence/status/978794813901496320", "978794813901496320")</f>
        <v/>
      </c>
      <c r="B1630" s="2" t="n">
        <v>43187.03059027778</v>
      </c>
      <c r="C1630" t="n">
        <v>1</v>
      </c>
      <c r="D1630" t="n">
        <v>0</v>
      </c>
      <c r="E1630" t="s">
        <v>1635</v>
      </c>
      <c r="F1630" t="s"/>
      <c r="G1630" t="s"/>
      <c r="H1630" t="s"/>
      <c r="I1630" t="s"/>
      <c r="J1630" t="n">
        <v>0</v>
      </c>
      <c r="K1630" t="n">
        <v>0</v>
      </c>
      <c r="L1630" t="n">
        <v>1</v>
      </c>
      <c r="M1630" t="n">
        <v>0</v>
      </c>
    </row>
    <row r="1631" spans="1:13">
      <c r="A1631" s="1">
        <f>HYPERLINK("http://www.twitter.com/NathanBLawrence/status/978794788278423552", "978794788278423552")</f>
        <v/>
      </c>
      <c r="B1631" s="2" t="n">
        <v>43187.03052083333</v>
      </c>
      <c r="C1631" t="n">
        <v>0</v>
      </c>
      <c r="D1631" t="n">
        <v>26</v>
      </c>
      <c r="E1631" t="s">
        <v>1636</v>
      </c>
      <c r="F1631" t="s"/>
      <c r="G1631" t="s"/>
      <c r="H1631" t="s"/>
      <c r="I1631" t="s"/>
      <c r="J1631" t="n">
        <v>0.636</v>
      </c>
      <c r="K1631" t="n">
        <v>0</v>
      </c>
      <c r="L1631" t="n">
        <v>0.625</v>
      </c>
      <c r="M1631" t="n">
        <v>0.375</v>
      </c>
    </row>
    <row r="1632" spans="1:13">
      <c r="A1632" s="1">
        <f>HYPERLINK("http://www.twitter.com/NathanBLawrence/status/978794677712424960", "978794677712424960")</f>
        <v/>
      </c>
      <c r="B1632" s="2" t="n">
        <v>43187.03020833333</v>
      </c>
      <c r="C1632" t="n">
        <v>3</v>
      </c>
      <c r="D1632" t="n">
        <v>0</v>
      </c>
      <c r="E1632" t="s">
        <v>1637</v>
      </c>
      <c r="F1632" t="s"/>
      <c r="G1632" t="s"/>
      <c r="H1632" t="s"/>
      <c r="I1632" t="s"/>
      <c r="J1632" t="n">
        <v>-0.8214</v>
      </c>
      <c r="K1632" t="n">
        <v>0.368</v>
      </c>
      <c r="L1632" t="n">
        <v>0.632</v>
      </c>
      <c r="M1632" t="n">
        <v>0</v>
      </c>
    </row>
    <row r="1633" spans="1:13">
      <c r="A1633" s="1">
        <f>HYPERLINK("http://www.twitter.com/NathanBLawrence/status/978794312585621504", "978794312585621504")</f>
        <v/>
      </c>
      <c r="B1633" s="2" t="n">
        <v>43187.02920138889</v>
      </c>
      <c r="C1633" t="n">
        <v>0</v>
      </c>
      <c r="D1633" t="n">
        <v>0</v>
      </c>
      <c r="E1633" t="s">
        <v>1638</v>
      </c>
      <c r="F1633" t="s"/>
      <c r="G1633" t="s"/>
      <c r="H1633" t="s"/>
      <c r="I1633" t="s"/>
      <c r="J1633" t="n">
        <v>-0.4404</v>
      </c>
      <c r="K1633" t="n">
        <v>0.229</v>
      </c>
      <c r="L1633" t="n">
        <v>0.64</v>
      </c>
      <c r="M1633" t="n">
        <v>0.131</v>
      </c>
    </row>
    <row r="1634" spans="1:13">
      <c r="A1634" s="1">
        <f>HYPERLINK("http://www.twitter.com/NathanBLawrence/status/978781446243483648", "978781446243483648")</f>
        <v/>
      </c>
      <c r="B1634" s="2" t="n">
        <v>43186.9937037037</v>
      </c>
      <c r="C1634" t="n">
        <v>0</v>
      </c>
      <c r="D1634" t="n">
        <v>2501</v>
      </c>
      <c r="E1634" t="s">
        <v>1639</v>
      </c>
      <c r="F1634">
        <f>HYPERLINK("http://pbs.twimg.com/media/DZTdG_PVMAAsNPS.jpg", "http://pbs.twimg.com/media/DZTdG_PVMAAsNPS.jpg")</f>
        <v/>
      </c>
      <c r="G1634" t="s"/>
      <c r="H1634" t="s"/>
      <c r="I1634" t="s"/>
      <c r="J1634" t="n">
        <v>-0.296</v>
      </c>
      <c r="K1634" t="n">
        <v>0.099</v>
      </c>
      <c r="L1634" t="n">
        <v>0.901</v>
      </c>
      <c r="M1634" t="n">
        <v>0</v>
      </c>
    </row>
    <row r="1635" spans="1:13">
      <c r="A1635" s="1">
        <f>HYPERLINK("http://www.twitter.com/NathanBLawrence/status/978781431798358016", "978781431798358016")</f>
        <v/>
      </c>
      <c r="B1635" s="2" t="n">
        <v>43186.99365740741</v>
      </c>
      <c r="C1635" t="n">
        <v>1</v>
      </c>
      <c r="D1635" t="n">
        <v>0</v>
      </c>
      <c r="E1635" t="s">
        <v>1640</v>
      </c>
      <c r="F1635" t="s"/>
      <c r="G1635" t="s"/>
      <c r="H1635" t="s"/>
      <c r="I1635" t="s"/>
      <c r="J1635" t="n">
        <v>0.6369</v>
      </c>
      <c r="K1635" t="n">
        <v>0</v>
      </c>
      <c r="L1635" t="n">
        <v>0.724</v>
      </c>
      <c r="M1635" t="n">
        <v>0.276</v>
      </c>
    </row>
    <row r="1636" spans="1:13">
      <c r="A1636" s="1">
        <f>HYPERLINK("http://www.twitter.com/NathanBLawrence/status/978781115954663426", "978781115954663426")</f>
        <v/>
      </c>
      <c r="B1636" s="2" t="n">
        <v>43186.99278935185</v>
      </c>
      <c r="C1636" t="n">
        <v>0</v>
      </c>
      <c r="D1636" t="n">
        <v>2644</v>
      </c>
      <c r="E1636" t="s">
        <v>1641</v>
      </c>
      <c r="F1636">
        <f>HYPERLINK("https://video.twimg.com/amplify_video/978670823211806720/vid/1280x720/r03Y9M7VNc7j3D1i.mp4", "https://video.twimg.com/amplify_video/978670823211806720/vid/1280x720/r03Y9M7VNc7j3D1i.mp4")</f>
        <v/>
      </c>
      <c r="G1636" t="s"/>
      <c r="H1636" t="s"/>
      <c r="I1636" t="s"/>
      <c r="J1636" t="n">
        <v>-0.8227</v>
      </c>
      <c r="K1636" t="n">
        <v>0.312</v>
      </c>
      <c r="L1636" t="n">
        <v>0.6879999999999999</v>
      </c>
      <c r="M1636" t="n">
        <v>0</v>
      </c>
    </row>
    <row r="1637" spans="1:13">
      <c r="A1637" s="1">
        <f>HYPERLINK("http://www.twitter.com/NathanBLawrence/status/978780678388178944", "978780678388178944")</f>
        <v/>
      </c>
      <c r="B1637" s="2" t="n">
        <v>43186.99158564815</v>
      </c>
      <c r="C1637" t="n">
        <v>0</v>
      </c>
      <c r="D1637" t="n">
        <v>0</v>
      </c>
      <c r="E1637" t="s">
        <v>1642</v>
      </c>
      <c r="F1637" t="s"/>
      <c r="G1637" t="s"/>
      <c r="H1637" t="s"/>
      <c r="I1637" t="s"/>
      <c r="J1637" t="n">
        <v>0.4404</v>
      </c>
      <c r="K1637" t="n">
        <v>0</v>
      </c>
      <c r="L1637" t="n">
        <v>0.256</v>
      </c>
      <c r="M1637" t="n">
        <v>0.744</v>
      </c>
    </row>
    <row r="1638" spans="1:13">
      <c r="A1638" s="1">
        <f>HYPERLINK("http://www.twitter.com/NathanBLawrence/status/978780502646841345", "978780502646841345")</f>
        <v/>
      </c>
      <c r="B1638" s="2" t="n">
        <v>43186.99109953704</v>
      </c>
      <c r="C1638" t="n">
        <v>1</v>
      </c>
      <c r="D1638" t="n">
        <v>0</v>
      </c>
      <c r="E1638" t="s">
        <v>1643</v>
      </c>
      <c r="F1638" t="s"/>
      <c r="G1638" t="s"/>
      <c r="H1638" t="s"/>
      <c r="I1638" t="s"/>
      <c r="J1638" t="n">
        <v>-0.7151</v>
      </c>
      <c r="K1638" t="n">
        <v>0.388</v>
      </c>
      <c r="L1638" t="n">
        <v>0.612</v>
      </c>
      <c r="M1638" t="n">
        <v>0</v>
      </c>
    </row>
    <row r="1639" spans="1:13">
      <c r="A1639" s="1">
        <f>HYPERLINK("http://www.twitter.com/NathanBLawrence/status/978779677081985026", "978779677081985026")</f>
        <v/>
      </c>
      <c r="B1639" s="2" t="n">
        <v>43186.98881944444</v>
      </c>
      <c r="C1639" t="n">
        <v>0</v>
      </c>
      <c r="D1639" t="n">
        <v>57</v>
      </c>
      <c r="E1639" t="s">
        <v>1644</v>
      </c>
      <c r="F1639">
        <f>HYPERLINK("http://pbs.twimg.com/media/DZKoTdYV4AATFg7.jpg", "http://pbs.twimg.com/media/DZKoTdYV4AATFg7.jpg")</f>
        <v/>
      </c>
      <c r="G1639" t="s"/>
      <c r="H1639" t="s"/>
      <c r="I1639" t="s"/>
      <c r="J1639" t="n">
        <v>0.7269</v>
      </c>
      <c r="K1639" t="n">
        <v>0.074</v>
      </c>
      <c r="L1639" t="n">
        <v>0.582</v>
      </c>
      <c r="M1639" t="n">
        <v>0.344</v>
      </c>
    </row>
    <row r="1640" spans="1:13">
      <c r="A1640" s="1">
        <f>HYPERLINK("http://www.twitter.com/NathanBLawrence/status/978779572496986112", "978779572496986112")</f>
        <v/>
      </c>
      <c r="B1640" s="2" t="n">
        <v>43186.9885300926</v>
      </c>
      <c r="C1640" t="n">
        <v>1</v>
      </c>
      <c r="D1640" t="n">
        <v>0</v>
      </c>
      <c r="E1640" t="s">
        <v>1645</v>
      </c>
      <c r="F1640" t="s"/>
      <c r="G1640" t="s"/>
      <c r="H1640" t="s"/>
      <c r="I1640" t="s"/>
      <c r="J1640" t="n">
        <v>0</v>
      </c>
      <c r="K1640" t="n">
        <v>0</v>
      </c>
      <c r="L1640" t="n">
        <v>1</v>
      </c>
      <c r="M1640" t="n">
        <v>0</v>
      </c>
    </row>
    <row r="1641" spans="1:13">
      <c r="A1641" s="1">
        <f>HYPERLINK("http://www.twitter.com/NathanBLawrence/status/978779323162415104", "978779323162415104")</f>
        <v/>
      </c>
      <c r="B1641" s="2" t="n">
        <v>43186.98784722222</v>
      </c>
      <c r="C1641" t="n">
        <v>0</v>
      </c>
      <c r="D1641" t="n">
        <v>43</v>
      </c>
      <c r="E1641" t="s">
        <v>1646</v>
      </c>
      <c r="F1641" t="s"/>
      <c r="G1641" t="s"/>
      <c r="H1641" t="s"/>
      <c r="I1641" t="s"/>
      <c r="J1641" t="n">
        <v>-0.5574</v>
      </c>
      <c r="K1641" t="n">
        <v>0.175</v>
      </c>
      <c r="L1641" t="n">
        <v>0.825</v>
      </c>
      <c r="M1641" t="n">
        <v>0</v>
      </c>
    </row>
    <row r="1642" spans="1:13">
      <c r="A1642" s="1">
        <f>HYPERLINK("http://www.twitter.com/NathanBLawrence/status/978777870679138306", "978777870679138306")</f>
        <v/>
      </c>
      <c r="B1642" s="2" t="n">
        <v>43186.98383101852</v>
      </c>
      <c r="C1642" t="n">
        <v>0</v>
      </c>
      <c r="D1642" t="n">
        <v>21</v>
      </c>
      <c r="E1642" t="s">
        <v>1647</v>
      </c>
      <c r="F1642">
        <f>HYPERLINK("http://pbs.twimg.com/media/DZTCmUvXkAA9wY3.jpg", "http://pbs.twimg.com/media/DZTCmUvXkAA9wY3.jpg")</f>
        <v/>
      </c>
      <c r="G1642" t="s"/>
      <c r="H1642" t="s"/>
      <c r="I1642" t="s"/>
      <c r="J1642" t="n">
        <v>0.7701</v>
      </c>
      <c r="K1642" t="n">
        <v>0</v>
      </c>
      <c r="L1642" t="n">
        <v>0.677</v>
      </c>
      <c r="M1642" t="n">
        <v>0.323</v>
      </c>
    </row>
    <row r="1643" spans="1:13">
      <c r="A1643" s="1">
        <f>HYPERLINK("http://www.twitter.com/NathanBLawrence/status/978772436291383296", "978772436291383296")</f>
        <v/>
      </c>
      <c r="B1643" s="2" t="n">
        <v>43186.96884259259</v>
      </c>
      <c r="C1643" t="n">
        <v>0</v>
      </c>
      <c r="D1643" t="n">
        <v>379</v>
      </c>
      <c r="E1643" t="s">
        <v>1648</v>
      </c>
      <c r="F1643">
        <f>HYPERLINK("http://pbs.twimg.com/media/DZUNAHXWAAAKvAc.jpg", "http://pbs.twimg.com/media/DZUNAHXWAAAKvAc.jpg")</f>
        <v/>
      </c>
      <c r="G1643" t="s"/>
      <c r="H1643" t="s"/>
      <c r="I1643" t="s"/>
      <c r="J1643" t="n">
        <v>0</v>
      </c>
      <c r="K1643" t="n">
        <v>0</v>
      </c>
      <c r="L1643" t="n">
        <v>1</v>
      </c>
      <c r="M1643" t="n">
        <v>0</v>
      </c>
    </row>
    <row r="1644" spans="1:13">
      <c r="A1644" s="1">
        <f>HYPERLINK("http://www.twitter.com/NathanBLawrence/status/978771409190125568", "978771409190125568")</f>
        <v/>
      </c>
      <c r="B1644" s="2" t="n">
        <v>43186.96600694444</v>
      </c>
      <c r="C1644" t="n">
        <v>0</v>
      </c>
      <c r="D1644" t="n">
        <v>1230</v>
      </c>
      <c r="E1644" t="s">
        <v>1649</v>
      </c>
      <c r="F1644" t="s"/>
      <c r="G1644" t="s"/>
      <c r="H1644" t="s"/>
      <c r="I1644" t="s"/>
      <c r="J1644" t="n">
        <v>0.2732</v>
      </c>
      <c r="K1644" t="n">
        <v>0</v>
      </c>
      <c r="L1644" t="n">
        <v>0.87</v>
      </c>
      <c r="M1644" t="n">
        <v>0.13</v>
      </c>
    </row>
    <row r="1645" spans="1:13">
      <c r="A1645" s="1">
        <f>HYPERLINK("http://www.twitter.com/NathanBLawrence/status/978770894687490048", "978770894687490048")</f>
        <v/>
      </c>
      <c r="B1645" s="2" t="n">
        <v>43186.96458333333</v>
      </c>
      <c r="C1645" t="n">
        <v>1</v>
      </c>
      <c r="D1645" t="n">
        <v>0</v>
      </c>
      <c r="E1645" t="s">
        <v>1650</v>
      </c>
      <c r="F1645" t="s"/>
      <c r="G1645" t="s"/>
      <c r="H1645" t="s"/>
      <c r="I1645" t="s"/>
      <c r="J1645" t="n">
        <v>0.3612</v>
      </c>
      <c r="K1645" t="n">
        <v>0</v>
      </c>
      <c r="L1645" t="n">
        <v>0.706</v>
      </c>
      <c r="M1645" t="n">
        <v>0.294</v>
      </c>
    </row>
    <row r="1646" spans="1:13">
      <c r="A1646" s="1">
        <f>HYPERLINK("http://www.twitter.com/NathanBLawrence/status/978770747698089985", "978770747698089985")</f>
        <v/>
      </c>
      <c r="B1646" s="2" t="n">
        <v>43186.96417824074</v>
      </c>
      <c r="C1646" t="n">
        <v>0</v>
      </c>
      <c r="D1646" t="n">
        <v>1</v>
      </c>
      <c r="E1646" t="s">
        <v>1651</v>
      </c>
      <c r="F1646" t="s"/>
      <c r="G1646" t="s"/>
      <c r="H1646" t="s"/>
      <c r="I1646" t="s"/>
      <c r="J1646" t="n">
        <v>-0.3818</v>
      </c>
      <c r="K1646" t="n">
        <v>0.133</v>
      </c>
      <c r="L1646" t="n">
        <v>0.867</v>
      </c>
      <c r="M1646" t="n">
        <v>0</v>
      </c>
    </row>
    <row r="1647" spans="1:13">
      <c r="A1647" s="1">
        <f>HYPERLINK("http://www.twitter.com/NathanBLawrence/status/978770511378436101", "978770511378436101")</f>
        <v/>
      </c>
      <c r="B1647" s="2" t="n">
        <v>43186.96353009259</v>
      </c>
      <c r="C1647" t="n">
        <v>0</v>
      </c>
      <c r="D1647" t="n">
        <v>7</v>
      </c>
      <c r="E1647" t="s">
        <v>1652</v>
      </c>
      <c r="F1647" t="s"/>
      <c r="G1647" t="s"/>
      <c r="H1647" t="s"/>
      <c r="I1647" t="s"/>
      <c r="J1647" t="n">
        <v>0.8176</v>
      </c>
      <c r="K1647" t="n">
        <v>0</v>
      </c>
      <c r="L1647" t="n">
        <v>0.6909999999999999</v>
      </c>
      <c r="M1647" t="n">
        <v>0.309</v>
      </c>
    </row>
    <row r="1648" spans="1:13">
      <c r="A1648" s="1">
        <f>HYPERLINK("http://www.twitter.com/NathanBLawrence/status/978770227352821760", "978770227352821760")</f>
        <v/>
      </c>
      <c r="B1648" s="2" t="n">
        <v>43186.96274305556</v>
      </c>
      <c r="C1648" t="n">
        <v>0</v>
      </c>
      <c r="D1648" t="n">
        <v>298</v>
      </c>
      <c r="E1648" t="s">
        <v>1653</v>
      </c>
      <c r="F1648">
        <f>HYPERLINK("http://pbs.twimg.com/media/DZQfPSsWkAAeH-i.jpg", "http://pbs.twimg.com/media/DZQfPSsWkAAeH-i.jpg")</f>
        <v/>
      </c>
      <c r="G1648" t="s"/>
      <c r="H1648" t="s"/>
      <c r="I1648" t="s"/>
      <c r="J1648" t="n">
        <v>-0.5994</v>
      </c>
      <c r="K1648" t="n">
        <v>0.259</v>
      </c>
      <c r="L1648" t="n">
        <v>0.741</v>
      </c>
      <c r="M1648" t="n">
        <v>0</v>
      </c>
    </row>
    <row r="1649" spans="1:13">
      <c r="A1649" s="1">
        <f>HYPERLINK("http://www.twitter.com/NathanBLawrence/status/978769619589779456", "978769619589779456")</f>
        <v/>
      </c>
      <c r="B1649" s="2" t="n">
        <v>43186.96106481482</v>
      </c>
      <c r="C1649" t="n">
        <v>0</v>
      </c>
      <c r="D1649" t="n">
        <v>0</v>
      </c>
      <c r="E1649" t="s">
        <v>1654</v>
      </c>
      <c r="F1649" t="s"/>
      <c r="G1649" t="s"/>
      <c r="H1649" t="s"/>
      <c r="I1649" t="s"/>
      <c r="J1649" t="n">
        <v>0.8542</v>
      </c>
      <c r="K1649" t="n">
        <v>0</v>
      </c>
      <c r="L1649" t="n">
        <v>0.645</v>
      </c>
      <c r="M1649" t="n">
        <v>0.355</v>
      </c>
    </row>
    <row r="1650" spans="1:13">
      <c r="A1650" s="1">
        <f>HYPERLINK("http://www.twitter.com/NathanBLawrence/status/978766538105909249", "978766538105909249")</f>
        <v/>
      </c>
      <c r="B1650" s="2" t="n">
        <v>43186.95255787037</v>
      </c>
      <c r="C1650" t="n">
        <v>0</v>
      </c>
      <c r="D1650" t="n">
        <v>2</v>
      </c>
      <c r="E1650" t="s">
        <v>1655</v>
      </c>
      <c r="F1650" t="s"/>
      <c r="G1650" t="s"/>
      <c r="H1650" t="s"/>
      <c r="I1650" t="s"/>
      <c r="J1650" t="n">
        <v>0</v>
      </c>
      <c r="K1650" t="n">
        <v>0</v>
      </c>
      <c r="L1650" t="n">
        <v>1</v>
      </c>
      <c r="M1650" t="n">
        <v>0</v>
      </c>
    </row>
    <row r="1651" spans="1:13">
      <c r="A1651" s="1">
        <f>HYPERLINK("http://www.twitter.com/NathanBLawrence/status/978764864138211329", "978764864138211329")</f>
        <v/>
      </c>
      <c r="B1651" s="2" t="n">
        <v>43186.94793981482</v>
      </c>
      <c r="C1651" t="n">
        <v>1</v>
      </c>
      <c r="D1651" t="n">
        <v>0</v>
      </c>
      <c r="E1651" t="s">
        <v>1656</v>
      </c>
      <c r="F1651" t="s"/>
      <c r="G1651" t="s"/>
      <c r="H1651" t="s"/>
      <c r="I1651" t="s"/>
      <c r="J1651" t="n">
        <v>0.7639</v>
      </c>
      <c r="K1651" t="n">
        <v>0</v>
      </c>
      <c r="L1651" t="n">
        <v>0.233</v>
      </c>
      <c r="M1651" t="n">
        <v>0.767</v>
      </c>
    </row>
    <row r="1652" spans="1:13">
      <c r="A1652" s="1">
        <f>HYPERLINK("http://www.twitter.com/NathanBLawrence/status/978764813995315200", "978764813995315200")</f>
        <v/>
      </c>
      <c r="B1652" s="2" t="n">
        <v>43186.94780092593</v>
      </c>
      <c r="C1652" t="n">
        <v>0</v>
      </c>
      <c r="D1652" t="n">
        <v>1</v>
      </c>
      <c r="E1652" t="s">
        <v>1657</v>
      </c>
      <c r="F1652" t="s"/>
      <c r="G1652" t="s"/>
      <c r="H1652" t="s"/>
      <c r="I1652" t="s"/>
      <c r="J1652" t="n">
        <v>0</v>
      </c>
      <c r="K1652" t="n">
        <v>0</v>
      </c>
      <c r="L1652" t="n">
        <v>1</v>
      </c>
      <c r="M1652" t="n">
        <v>0</v>
      </c>
    </row>
    <row r="1653" spans="1:13">
      <c r="A1653" s="1">
        <f>HYPERLINK("http://www.twitter.com/NathanBLawrence/status/978764446100279297", "978764446100279297")</f>
        <v/>
      </c>
      <c r="B1653" s="2" t="n">
        <v>43186.94679398148</v>
      </c>
      <c r="C1653" t="n">
        <v>0</v>
      </c>
      <c r="D1653" t="n">
        <v>1</v>
      </c>
      <c r="E1653" t="s">
        <v>1658</v>
      </c>
      <c r="F1653" t="s"/>
      <c r="G1653" t="s"/>
      <c r="H1653" t="s"/>
      <c r="I1653" t="s"/>
      <c r="J1653" t="n">
        <v>-0.7351</v>
      </c>
      <c r="K1653" t="n">
        <v>0.258</v>
      </c>
      <c r="L1653" t="n">
        <v>0.697</v>
      </c>
      <c r="M1653" t="n">
        <v>0.045</v>
      </c>
    </row>
    <row r="1654" spans="1:13">
      <c r="A1654" s="1">
        <f>HYPERLINK("http://www.twitter.com/NathanBLawrence/status/978764387975614464", "978764387975614464")</f>
        <v/>
      </c>
      <c r="B1654" s="2" t="n">
        <v>43186.94663194445</v>
      </c>
      <c r="C1654" t="n">
        <v>0</v>
      </c>
      <c r="D1654" t="n">
        <v>0</v>
      </c>
      <c r="E1654" t="s">
        <v>1659</v>
      </c>
      <c r="F1654" t="s"/>
      <c r="G1654" t="s"/>
      <c r="H1654" t="s"/>
      <c r="I1654" t="s"/>
      <c r="J1654" t="n">
        <v>-0.9201</v>
      </c>
      <c r="K1654" t="n">
        <v>0.482</v>
      </c>
      <c r="L1654" t="n">
        <v>0.518</v>
      </c>
      <c r="M1654" t="n">
        <v>0</v>
      </c>
    </row>
    <row r="1655" spans="1:13">
      <c r="A1655" s="1">
        <f>HYPERLINK("http://www.twitter.com/NathanBLawrence/status/978762240265515014", "978762240265515014")</f>
        <v/>
      </c>
      <c r="B1655" s="2" t="n">
        <v>43186.94070601852</v>
      </c>
      <c r="C1655" t="n">
        <v>1</v>
      </c>
      <c r="D1655" t="n">
        <v>0</v>
      </c>
      <c r="E1655" t="s">
        <v>1660</v>
      </c>
      <c r="F1655" t="s"/>
      <c r="G1655" t="s"/>
      <c r="H1655" t="s"/>
      <c r="I1655" t="s"/>
      <c r="J1655" t="n">
        <v>0.4939</v>
      </c>
      <c r="K1655" t="n">
        <v>0</v>
      </c>
      <c r="L1655" t="n">
        <v>0.738</v>
      </c>
      <c r="M1655" t="n">
        <v>0.262</v>
      </c>
    </row>
    <row r="1656" spans="1:13">
      <c r="A1656" s="1">
        <f>HYPERLINK("http://www.twitter.com/NathanBLawrence/status/978742840045039617", "978742840045039617")</f>
        <v/>
      </c>
      <c r="B1656" s="2" t="n">
        <v>43186.88716435185</v>
      </c>
      <c r="C1656" t="n">
        <v>0</v>
      </c>
      <c r="D1656" t="n">
        <v>0</v>
      </c>
      <c r="E1656" t="s">
        <v>1661</v>
      </c>
      <c r="F1656" t="s"/>
      <c r="G1656" t="s"/>
      <c r="H1656" t="s"/>
      <c r="I1656" t="s"/>
      <c r="J1656" t="n">
        <v>0.6467000000000001</v>
      </c>
      <c r="K1656" t="n">
        <v>0</v>
      </c>
      <c r="L1656" t="n">
        <v>0.318</v>
      </c>
      <c r="M1656" t="n">
        <v>0.6820000000000001</v>
      </c>
    </row>
    <row r="1657" spans="1:13">
      <c r="A1657" s="1">
        <f>HYPERLINK("http://www.twitter.com/NathanBLawrence/status/978742797338636289", "978742797338636289")</f>
        <v/>
      </c>
      <c r="B1657" s="2" t="n">
        <v>43186.88704861111</v>
      </c>
      <c r="C1657" t="n">
        <v>0</v>
      </c>
      <c r="D1657" t="n">
        <v>1</v>
      </c>
      <c r="E1657" t="s">
        <v>1662</v>
      </c>
      <c r="F1657" t="s"/>
      <c r="G1657" t="s"/>
      <c r="H1657" t="s"/>
      <c r="I1657" t="s"/>
      <c r="J1657" t="n">
        <v>0.2023</v>
      </c>
      <c r="K1657" t="n">
        <v>0.081</v>
      </c>
      <c r="L1657" t="n">
        <v>0.8080000000000001</v>
      </c>
      <c r="M1657" t="n">
        <v>0.112</v>
      </c>
    </row>
    <row r="1658" spans="1:13">
      <c r="A1658" s="1">
        <f>HYPERLINK("http://www.twitter.com/NathanBLawrence/status/978742237243863040", "978742237243863040")</f>
        <v/>
      </c>
      <c r="B1658" s="2" t="n">
        <v>43186.88550925926</v>
      </c>
      <c r="C1658" t="n">
        <v>2</v>
      </c>
      <c r="D1658" t="n">
        <v>0</v>
      </c>
      <c r="E1658" t="s">
        <v>1663</v>
      </c>
      <c r="F1658" t="s"/>
      <c r="G1658" t="s"/>
      <c r="H1658" t="s"/>
      <c r="I1658" t="s"/>
      <c r="J1658" t="n">
        <v>-0.8591</v>
      </c>
      <c r="K1658" t="n">
        <v>0.487</v>
      </c>
      <c r="L1658" t="n">
        <v>0.513</v>
      </c>
      <c r="M1658" t="n">
        <v>0</v>
      </c>
    </row>
    <row r="1659" spans="1:13">
      <c r="A1659" s="1">
        <f>HYPERLINK("http://www.twitter.com/NathanBLawrence/status/978741858900889600", "978741858900889600")</f>
        <v/>
      </c>
      <c r="B1659" s="2" t="n">
        <v>43186.88445601852</v>
      </c>
      <c r="C1659" t="n">
        <v>0</v>
      </c>
      <c r="D1659" t="n">
        <v>4</v>
      </c>
      <c r="E1659" t="s">
        <v>1664</v>
      </c>
      <c r="F1659">
        <f>HYPERLINK("http://pbs.twimg.com/media/BlsvfaQIUAA-4kz.jpg", "http://pbs.twimg.com/media/BlsvfaQIUAA-4kz.jpg")</f>
        <v/>
      </c>
      <c r="G1659" t="s"/>
      <c r="H1659" t="s"/>
      <c r="I1659" t="s"/>
      <c r="J1659" t="n">
        <v>0</v>
      </c>
      <c r="K1659" t="n">
        <v>0</v>
      </c>
      <c r="L1659" t="n">
        <v>1</v>
      </c>
      <c r="M1659" t="n">
        <v>0</v>
      </c>
    </row>
    <row r="1660" spans="1:13">
      <c r="A1660" s="1">
        <f>HYPERLINK("http://www.twitter.com/NathanBLawrence/status/978741452585959424", "978741452585959424")</f>
        <v/>
      </c>
      <c r="B1660" s="2" t="n">
        <v>43186.88334490741</v>
      </c>
      <c r="C1660" t="n">
        <v>0</v>
      </c>
      <c r="D1660" t="n">
        <v>0</v>
      </c>
      <c r="E1660" t="s">
        <v>1665</v>
      </c>
      <c r="F1660" t="s"/>
      <c r="G1660" t="s"/>
      <c r="H1660" t="s"/>
      <c r="I1660" t="s"/>
      <c r="J1660" t="n">
        <v>-0.1023</v>
      </c>
      <c r="K1660" t="n">
        <v>0.162</v>
      </c>
      <c r="L1660" t="n">
        <v>0.695</v>
      </c>
      <c r="M1660" t="n">
        <v>0.143</v>
      </c>
    </row>
    <row r="1661" spans="1:13">
      <c r="A1661" s="1">
        <f>HYPERLINK("http://www.twitter.com/NathanBLawrence/status/978740870345314304", "978740870345314304")</f>
        <v/>
      </c>
      <c r="B1661" s="2" t="n">
        <v>43186.88173611111</v>
      </c>
      <c r="C1661" t="n">
        <v>2</v>
      </c>
      <c r="D1661" t="n">
        <v>0</v>
      </c>
      <c r="E1661" t="s">
        <v>1666</v>
      </c>
      <c r="F1661" t="s"/>
      <c r="G1661" t="s"/>
      <c r="H1661" t="s"/>
      <c r="I1661" t="s"/>
      <c r="J1661" t="n">
        <v>0</v>
      </c>
      <c r="K1661" t="n">
        <v>0</v>
      </c>
      <c r="L1661" t="n">
        <v>1</v>
      </c>
      <c r="M1661" t="n">
        <v>0</v>
      </c>
    </row>
    <row r="1662" spans="1:13">
      <c r="A1662" s="1">
        <f>HYPERLINK("http://www.twitter.com/NathanBLawrence/status/978740554434580480", "978740554434580480")</f>
        <v/>
      </c>
      <c r="B1662" s="2" t="n">
        <v>43186.88085648148</v>
      </c>
      <c r="C1662" t="n">
        <v>0</v>
      </c>
      <c r="D1662" t="n">
        <v>0</v>
      </c>
      <c r="E1662" t="s">
        <v>1667</v>
      </c>
      <c r="F1662" t="s"/>
      <c r="G1662" t="s"/>
      <c r="H1662" t="s"/>
      <c r="I1662" t="s"/>
      <c r="J1662" t="n">
        <v>0.3595</v>
      </c>
      <c r="K1662" t="n">
        <v>0</v>
      </c>
      <c r="L1662" t="n">
        <v>0.707</v>
      </c>
      <c r="M1662" t="n">
        <v>0.293</v>
      </c>
    </row>
    <row r="1663" spans="1:13">
      <c r="A1663" s="1">
        <f>HYPERLINK("http://www.twitter.com/NathanBLawrence/status/978740401183100928", "978740401183100928")</f>
        <v/>
      </c>
      <c r="B1663" s="2" t="n">
        <v>43186.88043981481</v>
      </c>
      <c r="C1663" t="n">
        <v>0</v>
      </c>
      <c r="D1663" t="n">
        <v>22</v>
      </c>
      <c r="E1663" t="s">
        <v>1668</v>
      </c>
      <c r="F1663" t="s"/>
      <c r="G1663" t="s"/>
      <c r="H1663" t="s"/>
      <c r="I1663" t="s"/>
      <c r="J1663" t="n">
        <v>-0.2869</v>
      </c>
      <c r="K1663" t="n">
        <v>0.152</v>
      </c>
      <c r="L1663" t="n">
        <v>0.747</v>
      </c>
      <c r="M1663" t="n">
        <v>0.101</v>
      </c>
    </row>
    <row r="1664" spans="1:13">
      <c r="A1664" s="1">
        <f>HYPERLINK("http://www.twitter.com/NathanBLawrence/status/978739996004945921", "978739996004945921")</f>
        <v/>
      </c>
      <c r="B1664" s="2" t="n">
        <v>43186.87931712963</v>
      </c>
      <c r="C1664" t="n">
        <v>1</v>
      </c>
      <c r="D1664" t="n">
        <v>0</v>
      </c>
      <c r="E1664" t="s">
        <v>1669</v>
      </c>
      <c r="F1664" t="s"/>
      <c r="G1664" t="s"/>
      <c r="H1664" t="s"/>
      <c r="I1664" t="s"/>
      <c r="J1664" t="n">
        <v>0</v>
      </c>
      <c r="K1664" t="n">
        <v>0</v>
      </c>
      <c r="L1664" t="n">
        <v>1</v>
      </c>
      <c r="M1664" t="n">
        <v>0</v>
      </c>
    </row>
    <row r="1665" spans="1:13">
      <c r="A1665" s="1">
        <f>HYPERLINK("http://www.twitter.com/NathanBLawrence/status/978738384226091009", "978738384226091009")</f>
        <v/>
      </c>
      <c r="B1665" s="2" t="n">
        <v>43186.87487268518</v>
      </c>
      <c r="C1665" t="n">
        <v>1</v>
      </c>
      <c r="D1665" t="n">
        <v>0</v>
      </c>
      <c r="E1665" t="s">
        <v>1670</v>
      </c>
      <c r="F1665" t="s"/>
      <c r="G1665" t="s"/>
      <c r="H1665" t="s"/>
      <c r="I1665" t="s"/>
      <c r="J1665" t="n">
        <v>0.5399</v>
      </c>
      <c r="K1665" t="n">
        <v>0</v>
      </c>
      <c r="L1665" t="n">
        <v>0.534</v>
      </c>
      <c r="M1665" t="n">
        <v>0.466</v>
      </c>
    </row>
    <row r="1666" spans="1:13">
      <c r="A1666" s="1">
        <f>HYPERLINK("http://www.twitter.com/NathanBLawrence/status/978738326625837056", "978738326625837056")</f>
        <v/>
      </c>
      <c r="B1666" s="2" t="n">
        <v>43186.87471064815</v>
      </c>
      <c r="C1666" t="n">
        <v>0</v>
      </c>
      <c r="D1666" t="n">
        <v>18</v>
      </c>
      <c r="E1666" t="s">
        <v>1671</v>
      </c>
      <c r="F1666">
        <f>HYPERLINK("http://pbs.twimg.com/media/DZUmHyoVQAA1bGi.jpg", "http://pbs.twimg.com/media/DZUmHyoVQAA1bGi.jpg")</f>
        <v/>
      </c>
      <c r="G1666" t="s"/>
      <c r="H1666" t="s"/>
      <c r="I1666" t="s"/>
      <c r="J1666" t="n">
        <v>0.6269</v>
      </c>
      <c r="K1666" t="n">
        <v>0</v>
      </c>
      <c r="L1666" t="n">
        <v>0.836</v>
      </c>
      <c r="M1666" t="n">
        <v>0.164</v>
      </c>
    </row>
    <row r="1667" spans="1:13">
      <c r="A1667" s="1">
        <f>HYPERLINK("http://www.twitter.com/NathanBLawrence/status/978738024380092417", "978738024380092417")</f>
        <v/>
      </c>
      <c r="B1667" s="2" t="n">
        <v>43186.87387731481</v>
      </c>
      <c r="C1667" t="n">
        <v>1</v>
      </c>
      <c r="D1667" t="n">
        <v>0</v>
      </c>
      <c r="E1667" t="s">
        <v>1672</v>
      </c>
      <c r="F1667" t="s"/>
      <c r="G1667" t="s"/>
      <c r="H1667" t="s"/>
      <c r="I1667" t="s"/>
      <c r="J1667" t="n">
        <v>0.4588</v>
      </c>
      <c r="K1667" t="n">
        <v>0</v>
      </c>
      <c r="L1667" t="n">
        <v>0.7</v>
      </c>
      <c r="M1667" t="n">
        <v>0.3</v>
      </c>
    </row>
    <row r="1668" spans="1:13">
      <c r="A1668" s="1">
        <f>HYPERLINK("http://www.twitter.com/NathanBLawrence/status/978737649363103744", "978737649363103744")</f>
        <v/>
      </c>
      <c r="B1668" s="2" t="n">
        <v>43186.87284722222</v>
      </c>
      <c r="C1668" t="n">
        <v>0</v>
      </c>
      <c r="D1668" t="n">
        <v>0</v>
      </c>
      <c r="E1668" t="s">
        <v>1673</v>
      </c>
      <c r="F1668" t="s"/>
      <c r="G1668" t="s"/>
      <c r="H1668" t="s"/>
      <c r="I1668" t="s"/>
      <c r="J1668" t="n">
        <v>-0.2732</v>
      </c>
      <c r="K1668" t="n">
        <v>0.147</v>
      </c>
      <c r="L1668" t="n">
        <v>0.767</v>
      </c>
      <c r="M1668" t="n">
        <v>0.08599999999999999</v>
      </c>
    </row>
    <row r="1669" spans="1:13">
      <c r="A1669" s="1">
        <f>HYPERLINK("http://www.twitter.com/NathanBLawrence/status/978733724287283203", "978733724287283203")</f>
        <v/>
      </c>
      <c r="B1669" s="2" t="n">
        <v>43186.86201388889</v>
      </c>
      <c r="C1669" t="n">
        <v>1</v>
      </c>
      <c r="D1669" t="n">
        <v>0</v>
      </c>
      <c r="E1669" t="s">
        <v>1674</v>
      </c>
      <c r="F1669" t="s"/>
      <c r="G1669" t="s"/>
      <c r="H1669" t="s"/>
      <c r="I1669" t="s"/>
      <c r="J1669" t="n">
        <v>-0.899</v>
      </c>
      <c r="K1669" t="n">
        <v>0.456</v>
      </c>
      <c r="L1669" t="n">
        <v>0.475</v>
      </c>
      <c r="M1669" t="n">
        <v>0.06900000000000001</v>
      </c>
    </row>
    <row r="1670" spans="1:13">
      <c r="A1670" s="1">
        <f>HYPERLINK("http://www.twitter.com/NathanBLawrence/status/978733570331234304", "978733570331234304")</f>
        <v/>
      </c>
      <c r="B1670" s="2" t="n">
        <v>43186.86158564815</v>
      </c>
      <c r="C1670" t="n">
        <v>0</v>
      </c>
      <c r="D1670" t="n">
        <v>1</v>
      </c>
      <c r="E1670" t="s">
        <v>1675</v>
      </c>
      <c r="F1670" t="s"/>
      <c r="G1670" t="s"/>
      <c r="H1670" t="s"/>
      <c r="I1670" t="s"/>
      <c r="J1670" t="n">
        <v>-0.5574</v>
      </c>
      <c r="K1670" t="n">
        <v>0.217</v>
      </c>
      <c r="L1670" t="n">
        <v>0.783</v>
      </c>
      <c r="M1670" t="n">
        <v>0</v>
      </c>
    </row>
    <row r="1671" spans="1:13">
      <c r="A1671" s="1">
        <f>HYPERLINK("http://www.twitter.com/NathanBLawrence/status/978733505965445121", "978733505965445121")</f>
        <v/>
      </c>
      <c r="B1671" s="2" t="n">
        <v>43186.86141203704</v>
      </c>
      <c r="C1671" t="n">
        <v>3</v>
      </c>
      <c r="D1671" t="n">
        <v>0</v>
      </c>
      <c r="E1671" t="s">
        <v>1676</v>
      </c>
      <c r="F1671" t="s"/>
      <c r="G1671" t="s"/>
      <c r="H1671" t="s"/>
      <c r="I1671" t="s"/>
      <c r="J1671" t="n">
        <v>-0.8176</v>
      </c>
      <c r="K1671" t="n">
        <v>0.333</v>
      </c>
      <c r="L1671" t="n">
        <v>0.667</v>
      </c>
      <c r="M1671" t="n">
        <v>0</v>
      </c>
    </row>
    <row r="1672" spans="1:13">
      <c r="A1672" s="1">
        <f>HYPERLINK("http://www.twitter.com/NathanBLawrence/status/978732958969401346", "978732958969401346")</f>
        <v/>
      </c>
      <c r="B1672" s="2" t="n">
        <v>43186.85990740741</v>
      </c>
      <c r="C1672" t="n">
        <v>0</v>
      </c>
      <c r="D1672" t="n">
        <v>0</v>
      </c>
      <c r="E1672" t="s">
        <v>1677</v>
      </c>
      <c r="F1672" t="s"/>
      <c r="G1672" t="s"/>
      <c r="H1672" t="s"/>
      <c r="I1672" t="s"/>
      <c r="J1672" t="n">
        <v>0.4215</v>
      </c>
      <c r="K1672" t="n">
        <v>0</v>
      </c>
      <c r="L1672" t="n">
        <v>0.823</v>
      </c>
      <c r="M1672" t="n">
        <v>0.177</v>
      </c>
    </row>
    <row r="1673" spans="1:13">
      <c r="A1673" s="1">
        <f>HYPERLINK("http://www.twitter.com/NathanBLawrence/status/978732595679768576", "978732595679768576")</f>
        <v/>
      </c>
      <c r="B1673" s="2" t="n">
        <v>43186.85890046296</v>
      </c>
      <c r="C1673" t="n">
        <v>0</v>
      </c>
      <c r="D1673" t="n">
        <v>0</v>
      </c>
      <c r="E1673" t="s">
        <v>1678</v>
      </c>
      <c r="F1673" t="s"/>
      <c r="G1673" t="s"/>
      <c r="H1673" t="s"/>
      <c r="I1673" t="s"/>
      <c r="J1673" t="n">
        <v>0.3612</v>
      </c>
      <c r="K1673" t="n">
        <v>0</v>
      </c>
      <c r="L1673" t="n">
        <v>0.839</v>
      </c>
      <c r="M1673" t="n">
        <v>0.161</v>
      </c>
    </row>
    <row r="1674" spans="1:13">
      <c r="A1674" s="1">
        <f>HYPERLINK("http://www.twitter.com/NathanBLawrence/status/978731312411545606", "978731312411545606")</f>
        <v/>
      </c>
      <c r="B1674" s="2" t="n">
        <v>43186.8553587963</v>
      </c>
      <c r="C1674" t="n">
        <v>0</v>
      </c>
      <c r="D1674" t="n">
        <v>1003</v>
      </c>
      <c r="E1674" t="s">
        <v>1679</v>
      </c>
      <c r="F1674" t="s"/>
      <c r="G1674" t="s"/>
      <c r="H1674" t="s"/>
      <c r="I1674" t="s"/>
      <c r="J1674" t="n">
        <v>0</v>
      </c>
      <c r="K1674" t="n">
        <v>0</v>
      </c>
      <c r="L1674" t="n">
        <v>1</v>
      </c>
      <c r="M1674" t="n">
        <v>0</v>
      </c>
    </row>
    <row r="1675" spans="1:13">
      <c r="A1675" s="1">
        <f>HYPERLINK("http://www.twitter.com/NathanBLawrence/status/978730786567475206", "978730786567475206")</f>
        <v/>
      </c>
      <c r="B1675" s="2" t="n">
        <v>43186.85391203704</v>
      </c>
      <c r="C1675" t="n">
        <v>3</v>
      </c>
      <c r="D1675" t="n">
        <v>0</v>
      </c>
      <c r="E1675" t="s">
        <v>1680</v>
      </c>
      <c r="F1675" t="s"/>
      <c r="G1675" t="s"/>
      <c r="H1675" t="s"/>
      <c r="I1675" t="s"/>
      <c r="J1675" t="n">
        <v>-0.7351</v>
      </c>
      <c r="K1675" t="n">
        <v>0.14</v>
      </c>
      <c r="L1675" t="n">
        <v>0.86</v>
      </c>
      <c r="M1675" t="n">
        <v>0</v>
      </c>
    </row>
    <row r="1676" spans="1:13">
      <c r="A1676" s="1">
        <f>HYPERLINK("http://www.twitter.com/NathanBLawrence/status/978729535389749248", "978729535389749248")</f>
        <v/>
      </c>
      <c r="B1676" s="2" t="n">
        <v>43186.85045138889</v>
      </c>
      <c r="C1676" t="n">
        <v>3</v>
      </c>
      <c r="D1676" t="n">
        <v>0</v>
      </c>
      <c r="E1676" t="s">
        <v>1681</v>
      </c>
      <c r="F1676" t="s"/>
      <c r="G1676" t="s"/>
      <c r="H1676" t="s"/>
      <c r="I1676" t="s"/>
      <c r="J1676" t="n">
        <v>-0.4184</v>
      </c>
      <c r="K1676" t="n">
        <v>0.258</v>
      </c>
      <c r="L1676" t="n">
        <v>0.742</v>
      </c>
      <c r="M1676" t="n">
        <v>0</v>
      </c>
    </row>
    <row r="1677" spans="1:13">
      <c r="A1677" s="1">
        <f>HYPERLINK("http://www.twitter.com/NathanBLawrence/status/978729425104789505", "978729425104789505")</f>
        <v/>
      </c>
      <c r="B1677" s="2" t="n">
        <v>43186.85015046296</v>
      </c>
      <c r="C1677" t="n">
        <v>0</v>
      </c>
      <c r="D1677" t="n">
        <v>1</v>
      </c>
      <c r="E1677" t="s">
        <v>1682</v>
      </c>
      <c r="F1677" t="s"/>
      <c r="G1677" t="s"/>
      <c r="H1677" t="s"/>
      <c r="I1677" t="s"/>
      <c r="J1677" t="n">
        <v>0</v>
      </c>
      <c r="K1677" t="n">
        <v>0</v>
      </c>
      <c r="L1677" t="n">
        <v>1</v>
      </c>
      <c r="M1677" t="n">
        <v>0</v>
      </c>
    </row>
    <row r="1678" spans="1:13">
      <c r="A1678" s="1">
        <f>HYPERLINK("http://www.twitter.com/NathanBLawrence/status/978728426692599808", "978728426692599808")</f>
        <v/>
      </c>
      <c r="B1678" s="2" t="n">
        <v>43186.84739583333</v>
      </c>
      <c r="C1678" t="n">
        <v>0</v>
      </c>
      <c r="D1678" t="n">
        <v>331</v>
      </c>
      <c r="E1678" t="s">
        <v>1683</v>
      </c>
      <c r="F1678">
        <f>HYPERLINK("http://pbs.twimg.com/media/DZS41YlUMAERFkG.jpg", "http://pbs.twimg.com/media/DZS41YlUMAERFkG.jpg")</f>
        <v/>
      </c>
      <c r="G1678" t="s"/>
      <c r="H1678" t="s"/>
      <c r="I1678" t="s"/>
      <c r="J1678" t="n">
        <v>-0.8807</v>
      </c>
      <c r="K1678" t="n">
        <v>0.338</v>
      </c>
      <c r="L1678" t="n">
        <v>0.662</v>
      </c>
      <c r="M1678" t="n">
        <v>0</v>
      </c>
    </row>
    <row r="1679" spans="1:13">
      <c r="A1679" s="1">
        <f>HYPERLINK("http://www.twitter.com/NathanBLawrence/status/978728138678161409", "978728138678161409")</f>
        <v/>
      </c>
      <c r="B1679" s="2" t="n">
        <v>43186.84659722223</v>
      </c>
      <c r="C1679" t="n">
        <v>0</v>
      </c>
      <c r="D1679" t="n">
        <v>1</v>
      </c>
      <c r="E1679" t="s">
        <v>1684</v>
      </c>
      <c r="F1679" t="s"/>
      <c r="G1679" t="s"/>
      <c r="H1679" t="s"/>
      <c r="I1679" t="s"/>
      <c r="J1679" t="n">
        <v>-0.2732</v>
      </c>
      <c r="K1679" t="n">
        <v>0.104</v>
      </c>
      <c r="L1679" t="n">
        <v>0.896</v>
      </c>
      <c r="M1679" t="n">
        <v>0</v>
      </c>
    </row>
    <row r="1680" spans="1:13">
      <c r="A1680" s="1">
        <f>HYPERLINK("http://www.twitter.com/NathanBLawrence/status/978727875296800768", "978727875296800768")</f>
        <v/>
      </c>
      <c r="B1680" s="2" t="n">
        <v>43186.84587962963</v>
      </c>
      <c r="C1680" t="n">
        <v>0</v>
      </c>
      <c r="D1680" t="n">
        <v>8</v>
      </c>
      <c r="E1680" t="s">
        <v>1685</v>
      </c>
      <c r="F1680" t="s"/>
      <c r="G1680" t="s"/>
      <c r="H1680" t="s"/>
      <c r="I1680" t="s"/>
      <c r="J1680" t="n">
        <v>0</v>
      </c>
      <c r="K1680" t="n">
        <v>0</v>
      </c>
      <c r="L1680" t="n">
        <v>1</v>
      </c>
      <c r="M1680" t="n">
        <v>0</v>
      </c>
    </row>
    <row r="1681" spans="1:13">
      <c r="A1681" s="1">
        <f>HYPERLINK("http://www.twitter.com/NathanBLawrence/status/978727834058481667", "978727834058481667")</f>
        <v/>
      </c>
      <c r="B1681" s="2" t="n">
        <v>43186.84576388889</v>
      </c>
      <c r="C1681" t="n">
        <v>0</v>
      </c>
      <c r="D1681" t="n">
        <v>7</v>
      </c>
      <c r="E1681" t="s">
        <v>1686</v>
      </c>
      <c r="F1681" t="s"/>
      <c r="G1681" t="s"/>
      <c r="H1681" t="s"/>
      <c r="I1681" t="s"/>
      <c r="J1681" t="n">
        <v>0</v>
      </c>
      <c r="K1681" t="n">
        <v>0</v>
      </c>
      <c r="L1681" t="n">
        <v>1</v>
      </c>
      <c r="M1681" t="n">
        <v>0</v>
      </c>
    </row>
    <row r="1682" spans="1:13">
      <c r="A1682" s="1">
        <f>HYPERLINK("http://www.twitter.com/NathanBLawrence/status/978727580692987905", "978727580692987905")</f>
        <v/>
      </c>
      <c r="B1682" s="2" t="n">
        <v>43186.84505787037</v>
      </c>
      <c r="C1682" t="n">
        <v>0</v>
      </c>
      <c r="D1682" t="n">
        <v>14</v>
      </c>
      <c r="E1682" t="s">
        <v>1687</v>
      </c>
      <c r="F1682" t="s"/>
      <c r="G1682" t="s"/>
      <c r="H1682" t="s"/>
      <c r="I1682" t="s"/>
      <c r="J1682" t="n">
        <v>-0.8627</v>
      </c>
      <c r="K1682" t="n">
        <v>0.348</v>
      </c>
      <c r="L1682" t="n">
        <v>0.652</v>
      </c>
      <c r="M1682" t="n">
        <v>0</v>
      </c>
    </row>
    <row r="1683" spans="1:13">
      <c r="A1683" s="1">
        <f>HYPERLINK("http://www.twitter.com/NathanBLawrence/status/978727492205862912", "978727492205862912")</f>
        <v/>
      </c>
      <c r="B1683" s="2" t="n">
        <v>43186.84481481482</v>
      </c>
      <c r="C1683" t="n">
        <v>0</v>
      </c>
      <c r="D1683" t="n">
        <v>7</v>
      </c>
      <c r="E1683" t="s">
        <v>1688</v>
      </c>
      <c r="F1683" t="s"/>
      <c r="G1683" t="s"/>
      <c r="H1683" t="s"/>
      <c r="I1683" t="s"/>
      <c r="J1683" t="n">
        <v>-0.2755</v>
      </c>
      <c r="K1683" t="n">
        <v>0.105</v>
      </c>
      <c r="L1683" t="n">
        <v>0.895</v>
      </c>
      <c r="M1683" t="n">
        <v>0</v>
      </c>
    </row>
    <row r="1684" spans="1:13">
      <c r="A1684" s="1">
        <f>HYPERLINK("http://www.twitter.com/NathanBLawrence/status/978727333879312391", "978727333879312391")</f>
        <v/>
      </c>
      <c r="B1684" s="2" t="n">
        <v>43186.844375</v>
      </c>
      <c r="C1684" t="n">
        <v>0</v>
      </c>
      <c r="D1684" t="n">
        <v>1</v>
      </c>
      <c r="E1684" t="s">
        <v>1689</v>
      </c>
      <c r="F1684" t="s"/>
      <c r="G1684" t="s"/>
      <c r="H1684" t="s"/>
      <c r="I1684" t="s"/>
      <c r="J1684" t="n">
        <v>-0.8139</v>
      </c>
      <c r="K1684" t="n">
        <v>0.515</v>
      </c>
      <c r="L1684" t="n">
        <v>0.485</v>
      </c>
      <c r="M1684" t="n">
        <v>0</v>
      </c>
    </row>
    <row r="1685" spans="1:13">
      <c r="A1685" s="1">
        <f>HYPERLINK("http://www.twitter.com/NathanBLawrence/status/978727263473684481", "978727263473684481")</f>
        <v/>
      </c>
      <c r="B1685" s="2" t="n">
        <v>43186.84418981482</v>
      </c>
      <c r="C1685" t="n">
        <v>0</v>
      </c>
      <c r="D1685" t="n">
        <v>27</v>
      </c>
      <c r="E1685" t="s">
        <v>1690</v>
      </c>
      <c r="F1685">
        <f>HYPERLINK("https://video.twimg.com/ext_tw_video/978540306592419840/pu/vid/358x640/CuxvnUchDStTAo_9.mp4", "https://video.twimg.com/ext_tw_video/978540306592419840/pu/vid/358x640/CuxvnUchDStTAo_9.mp4")</f>
        <v/>
      </c>
      <c r="G1685" t="s"/>
      <c r="H1685" t="s"/>
      <c r="I1685" t="s"/>
      <c r="J1685" t="n">
        <v>0</v>
      </c>
      <c r="K1685" t="n">
        <v>0</v>
      </c>
      <c r="L1685" t="n">
        <v>1</v>
      </c>
      <c r="M1685" t="n">
        <v>0</v>
      </c>
    </row>
    <row r="1686" spans="1:13">
      <c r="A1686" s="1">
        <f>HYPERLINK("http://www.twitter.com/NathanBLawrence/status/978727235707461633", "978727235707461633")</f>
        <v/>
      </c>
      <c r="B1686" s="2" t="n">
        <v>43186.84410879629</v>
      </c>
      <c r="C1686" t="n">
        <v>0</v>
      </c>
      <c r="D1686" t="n">
        <v>15</v>
      </c>
      <c r="E1686" t="s">
        <v>1691</v>
      </c>
      <c r="F1686" t="s"/>
      <c r="G1686" t="s"/>
      <c r="H1686" t="s"/>
      <c r="I1686" t="s"/>
      <c r="J1686" t="n">
        <v>0.0121</v>
      </c>
      <c r="K1686" t="n">
        <v>0.117</v>
      </c>
      <c r="L1686" t="n">
        <v>0.762</v>
      </c>
      <c r="M1686" t="n">
        <v>0.121</v>
      </c>
    </row>
    <row r="1687" spans="1:13">
      <c r="A1687" s="1">
        <f>HYPERLINK("http://www.twitter.com/NathanBLawrence/status/978727197556006912", "978727197556006912")</f>
        <v/>
      </c>
      <c r="B1687" s="2" t="n">
        <v>43186.84400462963</v>
      </c>
      <c r="C1687" t="n">
        <v>0</v>
      </c>
      <c r="D1687" t="n">
        <v>3600</v>
      </c>
      <c r="E1687" t="s">
        <v>1692</v>
      </c>
      <c r="F1687">
        <f>HYPERLINK("https://video.twimg.com/ext_tw_video/978536971298582528/pu/vid/640x360/7EVPoxdMOcgPlkzz.mp4", "https://video.twimg.com/ext_tw_video/978536971298582528/pu/vid/640x360/7EVPoxdMOcgPlkzz.mp4")</f>
        <v/>
      </c>
      <c r="G1687" t="s"/>
      <c r="H1687" t="s"/>
      <c r="I1687" t="s"/>
      <c r="J1687" t="n">
        <v>0.0772</v>
      </c>
      <c r="K1687" t="n">
        <v>0.13</v>
      </c>
      <c r="L1687" t="n">
        <v>0.73</v>
      </c>
      <c r="M1687" t="n">
        <v>0.141</v>
      </c>
    </row>
    <row r="1688" spans="1:13">
      <c r="A1688" s="1">
        <f>HYPERLINK("http://www.twitter.com/NathanBLawrence/status/978726773667057666", "978726773667057666")</f>
        <v/>
      </c>
      <c r="B1688" s="2" t="n">
        <v>43186.84283564815</v>
      </c>
      <c r="C1688" t="n">
        <v>3</v>
      </c>
      <c r="D1688" t="n">
        <v>0</v>
      </c>
      <c r="E1688" t="s">
        <v>1693</v>
      </c>
      <c r="F1688" t="s"/>
      <c r="G1688" t="s"/>
      <c r="H1688" t="s"/>
      <c r="I1688" t="s"/>
      <c r="J1688" t="n">
        <v>0</v>
      </c>
      <c r="K1688" t="n">
        <v>0</v>
      </c>
      <c r="L1688" t="n">
        <v>1</v>
      </c>
      <c r="M1688" t="n">
        <v>0</v>
      </c>
    </row>
    <row r="1689" spans="1:13">
      <c r="A1689" s="1">
        <f>HYPERLINK("http://www.twitter.com/NathanBLawrence/status/978726318081789953", "978726318081789953")</f>
        <v/>
      </c>
      <c r="B1689" s="2" t="n">
        <v>43186.84157407407</v>
      </c>
      <c r="C1689" t="n">
        <v>2</v>
      </c>
      <c r="D1689" t="n">
        <v>0</v>
      </c>
      <c r="E1689" t="s">
        <v>1694</v>
      </c>
      <c r="F1689" t="s"/>
      <c r="G1689" t="s"/>
      <c r="H1689" t="s"/>
      <c r="I1689" t="s"/>
      <c r="J1689" t="n">
        <v>-0.5423</v>
      </c>
      <c r="K1689" t="n">
        <v>0.179</v>
      </c>
      <c r="L1689" t="n">
        <v>0.821</v>
      </c>
      <c r="M1689" t="n">
        <v>0</v>
      </c>
    </row>
    <row r="1690" spans="1:13">
      <c r="A1690" s="1">
        <f>HYPERLINK("http://www.twitter.com/NathanBLawrence/status/978725929571799041", "978725929571799041")</f>
        <v/>
      </c>
      <c r="B1690" s="2" t="n">
        <v>43186.84050925926</v>
      </c>
      <c r="C1690" t="n">
        <v>0</v>
      </c>
      <c r="D1690" t="n">
        <v>1</v>
      </c>
      <c r="E1690" t="s">
        <v>1695</v>
      </c>
      <c r="F1690" t="s"/>
      <c r="G1690" t="s"/>
      <c r="H1690" t="s"/>
      <c r="I1690" t="s"/>
      <c r="J1690" t="n">
        <v>-0.3998</v>
      </c>
      <c r="K1690" t="n">
        <v>0.246</v>
      </c>
      <c r="L1690" t="n">
        <v>0.62</v>
      </c>
      <c r="M1690" t="n">
        <v>0.134</v>
      </c>
    </row>
    <row r="1691" spans="1:13">
      <c r="A1691" s="1">
        <f>HYPERLINK("http://www.twitter.com/NathanBLawrence/status/978725258659356672", "978725258659356672")</f>
        <v/>
      </c>
      <c r="B1691" s="2" t="n">
        <v>43186.83865740741</v>
      </c>
      <c r="C1691" t="n">
        <v>0</v>
      </c>
      <c r="D1691" t="n">
        <v>1</v>
      </c>
      <c r="E1691" t="s">
        <v>1696</v>
      </c>
      <c r="F1691" t="s"/>
      <c r="G1691" t="s"/>
      <c r="H1691" t="s"/>
      <c r="I1691" t="s"/>
      <c r="J1691" t="n">
        <v>0</v>
      </c>
      <c r="K1691" t="n">
        <v>0</v>
      </c>
      <c r="L1691" t="n">
        <v>1</v>
      </c>
      <c r="M1691" t="n">
        <v>0</v>
      </c>
    </row>
    <row r="1692" spans="1:13">
      <c r="A1692" s="1">
        <f>HYPERLINK("http://www.twitter.com/NathanBLawrence/status/978725205144145927", "978725205144145927")</f>
        <v/>
      </c>
      <c r="B1692" s="2" t="n">
        <v>43186.83850694444</v>
      </c>
      <c r="C1692" t="n">
        <v>0</v>
      </c>
      <c r="D1692" t="n">
        <v>1</v>
      </c>
      <c r="E1692" t="s">
        <v>1697</v>
      </c>
      <c r="F1692" t="s"/>
      <c r="G1692" t="s"/>
      <c r="H1692" t="s"/>
      <c r="I1692" t="s"/>
      <c r="J1692" t="n">
        <v>0</v>
      </c>
      <c r="K1692" t="n">
        <v>0</v>
      </c>
      <c r="L1692" t="n">
        <v>1</v>
      </c>
      <c r="M1692" t="n">
        <v>0</v>
      </c>
    </row>
    <row r="1693" spans="1:13">
      <c r="A1693" s="1">
        <f>HYPERLINK("http://www.twitter.com/NathanBLawrence/status/978725071643701248", "978725071643701248")</f>
        <v/>
      </c>
      <c r="B1693" s="2" t="n">
        <v>43186.83813657407</v>
      </c>
      <c r="C1693" t="n">
        <v>0</v>
      </c>
      <c r="D1693" t="n">
        <v>1</v>
      </c>
      <c r="E1693" t="s">
        <v>1698</v>
      </c>
      <c r="F1693" t="s"/>
      <c r="G1693" t="s"/>
      <c r="H1693" t="s"/>
      <c r="I1693" t="s"/>
      <c r="J1693" t="n">
        <v>-0.4404</v>
      </c>
      <c r="K1693" t="n">
        <v>0.146</v>
      </c>
      <c r="L1693" t="n">
        <v>0.854</v>
      </c>
      <c r="M1693" t="n">
        <v>0</v>
      </c>
    </row>
    <row r="1694" spans="1:13">
      <c r="A1694" s="1">
        <f>HYPERLINK("http://www.twitter.com/NathanBLawrence/status/978724885907361792", "978724885907361792")</f>
        <v/>
      </c>
      <c r="B1694" s="2" t="n">
        <v>43186.83762731482</v>
      </c>
      <c r="C1694" t="n">
        <v>0</v>
      </c>
      <c r="D1694" t="n">
        <v>0</v>
      </c>
      <c r="E1694" t="s">
        <v>1699</v>
      </c>
      <c r="F1694" t="s"/>
      <c r="G1694" t="s"/>
      <c r="H1694" t="s"/>
      <c r="I1694" t="s"/>
      <c r="J1694" t="n">
        <v>-0.2263</v>
      </c>
      <c r="K1694" t="n">
        <v>0.16</v>
      </c>
      <c r="L1694" t="n">
        <v>0.84</v>
      </c>
      <c r="M1694" t="n">
        <v>0</v>
      </c>
    </row>
    <row r="1695" spans="1:13">
      <c r="A1695" s="1">
        <f>HYPERLINK("http://www.twitter.com/NathanBLawrence/status/978724758492762112", "978724758492762112")</f>
        <v/>
      </c>
      <c r="B1695" s="2" t="n">
        <v>43186.83726851852</v>
      </c>
      <c r="C1695" t="n">
        <v>0</v>
      </c>
      <c r="D1695" t="n">
        <v>1</v>
      </c>
      <c r="E1695" t="s">
        <v>1700</v>
      </c>
      <c r="F1695" t="s"/>
      <c r="G1695" t="s"/>
      <c r="H1695" t="s"/>
      <c r="I1695" t="s"/>
      <c r="J1695" t="n">
        <v>0.6659</v>
      </c>
      <c r="K1695" t="n">
        <v>0</v>
      </c>
      <c r="L1695" t="n">
        <v>0.623</v>
      </c>
      <c r="M1695" t="n">
        <v>0.377</v>
      </c>
    </row>
    <row r="1696" spans="1:13">
      <c r="A1696" s="1">
        <f>HYPERLINK("http://www.twitter.com/NathanBLawrence/status/978724699571130368", "978724699571130368")</f>
        <v/>
      </c>
      <c r="B1696" s="2" t="n">
        <v>43186.83710648148</v>
      </c>
      <c r="C1696" t="n">
        <v>0</v>
      </c>
      <c r="D1696" t="n">
        <v>0</v>
      </c>
      <c r="E1696" t="s">
        <v>1701</v>
      </c>
      <c r="F1696" t="s"/>
      <c r="G1696" t="s"/>
      <c r="H1696" t="s"/>
      <c r="I1696" t="s"/>
      <c r="J1696" t="n">
        <v>-0.7826</v>
      </c>
      <c r="K1696" t="n">
        <v>0.374</v>
      </c>
      <c r="L1696" t="n">
        <v>0.407</v>
      </c>
      <c r="M1696" t="n">
        <v>0.219</v>
      </c>
    </row>
    <row r="1697" spans="1:13">
      <c r="A1697" s="1">
        <f>HYPERLINK("http://www.twitter.com/NathanBLawrence/status/978723956273418241", "978723956273418241")</f>
        <v/>
      </c>
      <c r="B1697" s="2" t="n">
        <v>43186.83505787037</v>
      </c>
      <c r="C1697" t="n">
        <v>0</v>
      </c>
      <c r="D1697" t="n">
        <v>0</v>
      </c>
      <c r="E1697" t="s">
        <v>1702</v>
      </c>
      <c r="F1697" t="s"/>
      <c r="G1697" t="s"/>
      <c r="H1697" t="s"/>
      <c r="I1697" t="s"/>
      <c r="J1697" t="n">
        <v>-0.6371</v>
      </c>
      <c r="K1697" t="n">
        <v>0.583</v>
      </c>
      <c r="L1697" t="n">
        <v>0.417</v>
      </c>
      <c r="M1697" t="n">
        <v>0</v>
      </c>
    </row>
    <row r="1698" spans="1:13">
      <c r="A1698" s="1">
        <f>HYPERLINK("http://www.twitter.com/NathanBLawrence/status/978723826405138436", "978723826405138436")</f>
        <v/>
      </c>
      <c r="B1698" s="2" t="n">
        <v>43186.83469907408</v>
      </c>
      <c r="C1698" t="n">
        <v>0</v>
      </c>
      <c r="D1698" t="n">
        <v>4849</v>
      </c>
      <c r="E1698" t="s">
        <v>1703</v>
      </c>
      <c r="F1698" t="s"/>
      <c r="G1698" t="s"/>
      <c r="H1698" t="s"/>
      <c r="I1698" t="s"/>
      <c r="J1698" t="n">
        <v>-0.7579</v>
      </c>
      <c r="K1698" t="n">
        <v>0.289</v>
      </c>
      <c r="L1698" t="n">
        <v>0.711</v>
      </c>
      <c r="M1698" t="n">
        <v>0</v>
      </c>
    </row>
    <row r="1699" spans="1:13">
      <c r="A1699" s="1">
        <f>HYPERLINK("http://www.twitter.com/NathanBLawrence/status/978723721455206400", "978723721455206400")</f>
        <v/>
      </c>
      <c r="B1699" s="2" t="n">
        <v>43186.83440972222</v>
      </c>
      <c r="C1699" t="n">
        <v>1</v>
      </c>
      <c r="D1699" t="n">
        <v>0</v>
      </c>
      <c r="E1699" t="s">
        <v>1704</v>
      </c>
      <c r="F1699" t="s"/>
      <c r="G1699" t="s"/>
      <c r="H1699" t="s"/>
      <c r="I1699" t="s"/>
      <c r="J1699" t="n">
        <v>-0.296</v>
      </c>
      <c r="K1699" t="n">
        <v>0.104</v>
      </c>
      <c r="L1699" t="n">
        <v>0.896</v>
      </c>
      <c r="M1699" t="n">
        <v>0</v>
      </c>
    </row>
    <row r="1700" spans="1:13">
      <c r="A1700" s="1">
        <f>HYPERLINK("http://www.twitter.com/NathanBLawrence/status/978722316099125248", "978722316099125248")</f>
        <v/>
      </c>
      <c r="B1700" s="2" t="n">
        <v>43186.83053240741</v>
      </c>
      <c r="C1700" t="n">
        <v>0</v>
      </c>
      <c r="D1700" t="n">
        <v>0</v>
      </c>
      <c r="E1700" t="s">
        <v>1705</v>
      </c>
      <c r="F1700" t="s"/>
      <c r="G1700" t="s"/>
      <c r="H1700" t="s"/>
      <c r="I1700" t="s"/>
      <c r="J1700" t="n">
        <v>0.7302999999999999</v>
      </c>
      <c r="K1700" t="n">
        <v>0</v>
      </c>
      <c r="L1700" t="n">
        <v>0.704</v>
      </c>
      <c r="M1700" t="n">
        <v>0.296</v>
      </c>
    </row>
    <row r="1701" spans="1:13">
      <c r="A1701" s="1">
        <f>HYPERLINK("http://www.twitter.com/NathanBLawrence/status/978721931347283969", "978721931347283969")</f>
        <v/>
      </c>
      <c r="B1701" s="2" t="n">
        <v>43186.82946759259</v>
      </c>
      <c r="C1701" t="n">
        <v>0</v>
      </c>
      <c r="D1701" t="n">
        <v>3</v>
      </c>
      <c r="E1701" t="s">
        <v>1706</v>
      </c>
      <c r="F1701">
        <f>HYPERLINK("http://pbs.twimg.com/media/DZUVruLUMAAz8p5.jpg", "http://pbs.twimg.com/media/DZUVruLUMAAz8p5.jpg")</f>
        <v/>
      </c>
      <c r="G1701" t="s"/>
      <c r="H1701" t="s"/>
      <c r="I1701" t="s"/>
      <c r="J1701" t="n">
        <v>0</v>
      </c>
      <c r="K1701" t="n">
        <v>0</v>
      </c>
      <c r="L1701" t="n">
        <v>1</v>
      </c>
      <c r="M1701" t="n">
        <v>0</v>
      </c>
    </row>
    <row r="1702" spans="1:13">
      <c r="A1702" s="1">
        <f>HYPERLINK("http://www.twitter.com/NathanBLawrence/status/978721911793479681", "978721911793479681")</f>
        <v/>
      </c>
      <c r="B1702" s="2" t="n">
        <v>43186.82942129629</v>
      </c>
      <c r="C1702" t="n">
        <v>0</v>
      </c>
      <c r="D1702" t="n">
        <v>6</v>
      </c>
      <c r="E1702" t="s">
        <v>1707</v>
      </c>
      <c r="F1702">
        <f>HYPERLINK("http://pbs.twimg.com/media/DZUWaG3VQAABmnC.jpg", "http://pbs.twimg.com/media/DZUWaG3VQAABmnC.jpg")</f>
        <v/>
      </c>
      <c r="G1702" t="s"/>
      <c r="H1702" t="s"/>
      <c r="I1702" t="s"/>
      <c r="J1702" t="n">
        <v>0</v>
      </c>
      <c r="K1702" t="n">
        <v>0.132</v>
      </c>
      <c r="L1702" t="n">
        <v>0.736</v>
      </c>
      <c r="M1702" t="n">
        <v>0.132</v>
      </c>
    </row>
    <row r="1703" spans="1:13">
      <c r="A1703" s="1">
        <f>HYPERLINK("http://www.twitter.com/NathanBLawrence/status/978721803416764423", "978721803416764423")</f>
        <v/>
      </c>
      <c r="B1703" s="2" t="n">
        <v>43186.82912037037</v>
      </c>
      <c r="C1703" t="n">
        <v>0</v>
      </c>
      <c r="D1703" t="n">
        <v>6</v>
      </c>
      <c r="E1703" t="s">
        <v>1708</v>
      </c>
      <c r="F1703">
        <f>HYPERLINK("http://pbs.twimg.com/media/DZUUP8MWAAEjmoM.jpg", "http://pbs.twimg.com/media/DZUUP8MWAAEjmoM.jpg")</f>
        <v/>
      </c>
      <c r="G1703" t="s"/>
      <c r="H1703" t="s"/>
      <c r="I1703" t="s"/>
      <c r="J1703" t="n">
        <v>-0.5106000000000001</v>
      </c>
      <c r="K1703" t="n">
        <v>0.225</v>
      </c>
      <c r="L1703" t="n">
        <v>0.674</v>
      </c>
      <c r="M1703" t="n">
        <v>0.101</v>
      </c>
    </row>
    <row r="1704" spans="1:13">
      <c r="A1704" s="1">
        <f>HYPERLINK("http://www.twitter.com/NathanBLawrence/status/978697895888195584", "978697895888195584")</f>
        <v/>
      </c>
      <c r="B1704" s="2" t="n">
        <v>43186.76314814815</v>
      </c>
      <c r="C1704" t="n">
        <v>0</v>
      </c>
      <c r="D1704" t="n">
        <v>1</v>
      </c>
      <c r="E1704" t="s">
        <v>1709</v>
      </c>
      <c r="F1704" t="s"/>
      <c r="G1704" t="s"/>
      <c r="H1704" t="s"/>
      <c r="I1704" t="s"/>
      <c r="J1704" t="n">
        <v>0</v>
      </c>
      <c r="K1704" t="n">
        <v>0</v>
      </c>
      <c r="L1704" t="n">
        <v>1</v>
      </c>
      <c r="M1704" t="n">
        <v>0</v>
      </c>
    </row>
    <row r="1705" spans="1:13">
      <c r="A1705" s="1">
        <f>HYPERLINK("http://www.twitter.com/NathanBLawrence/status/978695980706037761", "978695980706037761")</f>
        <v/>
      </c>
      <c r="B1705" s="2" t="n">
        <v>43186.7578587963</v>
      </c>
      <c r="C1705" t="n">
        <v>0</v>
      </c>
      <c r="D1705" t="n">
        <v>12</v>
      </c>
      <c r="E1705" t="s">
        <v>1710</v>
      </c>
      <c r="F1705" t="s"/>
      <c r="G1705" t="s"/>
      <c r="H1705" t="s"/>
      <c r="I1705" t="s"/>
      <c r="J1705" t="n">
        <v>-0.2263</v>
      </c>
      <c r="K1705" t="n">
        <v>0.195</v>
      </c>
      <c r="L1705" t="n">
        <v>0.698</v>
      </c>
      <c r="M1705" t="n">
        <v>0.107</v>
      </c>
    </row>
    <row r="1706" spans="1:13">
      <c r="A1706" s="1">
        <f>HYPERLINK("http://www.twitter.com/NathanBLawrence/status/978694084863938562", "978694084863938562")</f>
        <v/>
      </c>
      <c r="B1706" s="2" t="n">
        <v>43186.75262731482</v>
      </c>
      <c r="C1706" t="n">
        <v>0</v>
      </c>
      <c r="D1706" t="n">
        <v>1</v>
      </c>
      <c r="E1706" t="s">
        <v>1711</v>
      </c>
      <c r="F1706" t="s"/>
      <c r="G1706" t="s"/>
      <c r="H1706" t="s"/>
      <c r="I1706" t="s"/>
      <c r="J1706" t="n">
        <v>0</v>
      </c>
      <c r="K1706" t="n">
        <v>0</v>
      </c>
      <c r="L1706" t="n">
        <v>1</v>
      </c>
      <c r="M1706" t="n">
        <v>0</v>
      </c>
    </row>
    <row r="1707" spans="1:13">
      <c r="A1707" s="1">
        <f>HYPERLINK("http://www.twitter.com/NathanBLawrence/status/978687308907057153", "978687308907057153")</f>
        <v/>
      </c>
      <c r="B1707" s="2" t="n">
        <v>43186.73393518518</v>
      </c>
      <c r="C1707" t="n">
        <v>0</v>
      </c>
      <c r="D1707" t="n">
        <v>5</v>
      </c>
      <c r="E1707" t="s">
        <v>1712</v>
      </c>
      <c r="F1707" t="s"/>
      <c r="G1707" t="s"/>
      <c r="H1707" t="s"/>
      <c r="I1707" t="s"/>
      <c r="J1707" t="n">
        <v>-0.0772</v>
      </c>
      <c r="K1707" t="n">
        <v>0.117</v>
      </c>
      <c r="L1707" t="n">
        <v>0.777</v>
      </c>
      <c r="M1707" t="n">
        <v>0.106</v>
      </c>
    </row>
    <row r="1708" spans="1:13">
      <c r="A1708" s="1">
        <f>HYPERLINK("http://www.twitter.com/NathanBLawrence/status/978676727156297729", "978676727156297729")</f>
        <v/>
      </c>
      <c r="B1708" s="2" t="n">
        <v>43186.70473379629</v>
      </c>
      <c r="C1708" t="n">
        <v>0</v>
      </c>
      <c r="D1708" t="n">
        <v>2</v>
      </c>
      <c r="E1708" t="s">
        <v>1713</v>
      </c>
      <c r="F1708" t="s"/>
      <c r="G1708" t="s"/>
      <c r="H1708" t="s"/>
      <c r="I1708" t="s"/>
      <c r="J1708" t="n">
        <v>0</v>
      </c>
      <c r="K1708" t="n">
        <v>0</v>
      </c>
      <c r="L1708" t="n">
        <v>1</v>
      </c>
      <c r="M1708" t="n">
        <v>0</v>
      </c>
    </row>
    <row r="1709" spans="1:13">
      <c r="A1709" s="1">
        <f>HYPERLINK("http://www.twitter.com/NathanBLawrence/status/978676319104970754", "978676319104970754")</f>
        <v/>
      </c>
      <c r="B1709" s="2" t="n">
        <v>43186.70361111111</v>
      </c>
      <c r="C1709" t="n">
        <v>0</v>
      </c>
      <c r="D1709" t="n">
        <v>2</v>
      </c>
      <c r="E1709" t="s">
        <v>1714</v>
      </c>
      <c r="F1709" t="s"/>
      <c r="G1709" t="s"/>
      <c r="H1709" t="s"/>
      <c r="I1709" t="s"/>
      <c r="J1709" t="n">
        <v>0.2023</v>
      </c>
      <c r="K1709" t="n">
        <v>0.114</v>
      </c>
      <c r="L1709" t="n">
        <v>0.723</v>
      </c>
      <c r="M1709" t="n">
        <v>0.163</v>
      </c>
    </row>
    <row r="1710" spans="1:13">
      <c r="A1710" s="1">
        <f>HYPERLINK("http://www.twitter.com/NathanBLawrence/status/978667821491159042", "978667821491159042")</f>
        <v/>
      </c>
      <c r="B1710" s="2" t="n">
        <v>43186.68016203704</v>
      </c>
      <c r="C1710" t="n">
        <v>0</v>
      </c>
      <c r="D1710" t="n">
        <v>1</v>
      </c>
      <c r="E1710" t="s">
        <v>1715</v>
      </c>
      <c r="F1710" t="s"/>
      <c r="G1710" t="s"/>
      <c r="H1710" t="s"/>
      <c r="I1710" t="s"/>
      <c r="J1710" t="n">
        <v>-0.5859</v>
      </c>
      <c r="K1710" t="n">
        <v>0.432</v>
      </c>
      <c r="L1710" t="n">
        <v>0.5679999999999999</v>
      </c>
      <c r="M1710" t="n">
        <v>0</v>
      </c>
    </row>
    <row r="1711" spans="1:13">
      <c r="A1711" s="1">
        <f>HYPERLINK("http://www.twitter.com/NathanBLawrence/status/978667153091162112", "978667153091162112")</f>
        <v/>
      </c>
      <c r="B1711" s="2" t="n">
        <v>43186.67831018518</v>
      </c>
      <c r="C1711" t="n">
        <v>3</v>
      </c>
      <c r="D1711" t="n">
        <v>1</v>
      </c>
      <c r="E1711" t="s">
        <v>1716</v>
      </c>
      <c r="F1711" t="s"/>
      <c r="G1711" t="s"/>
      <c r="H1711" t="s"/>
      <c r="I1711" t="s"/>
      <c r="J1711" t="n">
        <v>-0.25</v>
      </c>
      <c r="K1711" t="n">
        <v>0.15</v>
      </c>
      <c r="L1711" t="n">
        <v>0.85</v>
      </c>
      <c r="M1711" t="n">
        <v>0</v>
      </c>
    </row>
    <row r="1712" spans="1:13">
      <c r="A1712" s="1">
        <f>HYPERLINK("http://www.twitter.com/NathanBLawrence/status/978665388824285185", "978665388824285185")</f>
        <v/>
      </c>
      <c r="B1712" s="2" t="n">
        <v>43186.67344907407</v>
      </c>
      <c r="C1712" t="n">
        <v>0</v>
      </c>
      <c r="D1712" t="n">
        <v>13</v>
      </c>
      <c r="E1712" t="s">
        <v>1605</v>
      </c>
      <c r="F1712">
        <f>HYPERLINK("http://pbs.twimg.com/media/DZTjDmnV4AE-Li_.jpg", "http://pbs.twimg.com/media/DZTjDmnV4AE-Li_.jpg")</f>
        <v/>
      </c>
      <c r="G1712" t="s"/>
      <c r="H1712" t="s"/>
      <c r="I1712" t="s"/>
      <c r="J1712" t="n">
        <v>-0.4199</v>
      </c>
      <c r="K1712" t="n">
        <v>0.108</v>
      </c>
      <c r="L1712" t="n">
        <v>0.892</v>
      </c>
      <c r="M1712" t="n">
        <v>0</v>
      </c>
    </row>
    <row r="1713" spans="1:13">
      <c r="A1713" s="1">
        <f>HYPERLINK("http://www.twitter.com/NathanBLawrence/status/978664526672551937", "978664526672551937")</f>
        <v/>
      </c>
      <c r="B1713" s="2" t="n">
        <v>43186.67106481481</v>
      </c>
      <c r="C1713" t="n">
        <v>0</v>
      </c>
      <c r="D1713" t="n">
        <v>7</v>
      </c>
      <c r="E1713" t="s">
        <v>1717</v>
      </c>
      <c r="F1713" t="s"/>
      <c r="G1713" t="s"/>
      <c r="H1713" t="s"/>
      <c r="I1713" t="s"/>
      <c r="J1713" t="n">
        <v>0.504</v>
      </c>
      <c r="K1713" t="n">
        <v>0</v>
      </c>
      <c r="L1713" t="n">
        <v>0.866</v>
      </c>
      <c r="M1713" t="n">
        <v>0.134</v>
      </c>
    </row>
    <row r="1714" spans="1:13">
      <c r="A1714" s="1">
        <f>HYPERLINK("http://www.twitter.com/NathanBLawrence/status/978664050082177028", "978664050082177028")</f>
        <v/>
      </c>
      <c r="B1714" s="2" t="n">
        <v>43186.66974537037</v>
      </c>
      <c r="C1714" t="n">
        <v>0</v>
      </c>
      <c r="D1714" t="n">
        <v>1</v>
      </c>
      <c r="E1714" t="s">
        <v>1718</v>
      </c>
      <c r="F1714" t="s"/>
      <c r="G1714" t="s"/>
      <c r="H1714" t="s"/>
      <c r="I1714" t="s"/>
      <c r="J1714" t="n">
        <v>-0.4019</v>
      </c>
      <c r="K1714" t="n">
        <v>0.231</v>
      </c>
      <c r="L1714" t="n">
        <v>0.769</v>
      </c>
      <c r="M1714" t="n">
        <v>0</v>
      </c>
    </row>
    <row r="1715" spans="1:13">
      <c r="A1715" s="1">
        <f>HYPERLINK("http://www.twitter.com/NathanBLawrence/status/978663871618699265", "978663871618699265")</f>
        <v/>
      </c>
      <c r="B1715" s="2" t="n">
        <v>43186.66925925926</v>
      </c>
      <c r="C1715" t="n">
        <v>0</v>
      </c>
      <c r="D1715" t="n">
        <v>572</v>
      </c>
      <c r="E1715" t="s">
        <v>1719</v>
      </c>
      <c r="F1715" t="s"/>
      <c r="G1715" t="s"/>
      <c r="H1715" t="s"/>
      <c r="I1715" t="s"/>
      <c r="J1715" t="n">
        <v>0</v>
      </c>
      <c r="K1715" t="n">
        <v>0</v>
      </c>
      <c r="L1715" t="n">
        <v>1</v>
      </c>
      <c r="M1715" t="n">
        <v>0</v>
      </c>
    </row>
    <row r="1716" spans="1:13">
      <c r="A1716" s="1">
        <f>HYPERLINK("http://www.twitter.com/NathanBLawrence/status/978663764802318337", "978663764802318337")</f>
        <v/>
      </c>
      <c r="B1716" s="2" t="n">
        <v>43186.66895833334</v>
      </c>
      <c r="C1716" t="n">
        <v>0</v>
      </c>
      <c r="D1716" t="n">
        <v>3</v>
      </c>
      <c r="E1716" t="s">
        <v>1720</v>
      </c>
      <c r="F1716" t="s"/>
      <c r="G1716" t="s"/>
      <c r="H1716" t="s"/>
      <c r="I1716" t="s"/>
      <c r="J1716" t="n">
        <v>0</v>
      </c>
      <c r="K1716" t="n">
        <v>0.146</v>
      </c>
      <c r="L1716" t="n">
        <v>0.707</v>
      </c>
      <c r="M1716" t="n">
        <v>0.146</v>
      </c>
    </row>
    <row r="1717" spans="1:13">
      <c r="A1717" s="1">
        <f>HYPERLINK("http://www.twitter.com/NathanBLawrence/status/978663554306932737", "978663554306932737")</f>
        <v/>
      </c>
      <c r="B1717" s="2" t="n">
        <v>43186.66837962963</v>
      </c>
      <c r="C1717" t="n">
        <v>0</v>
      </c>
      <c r="D1717" t="n">
        <v>4</v>
      </c>
      <c r="E1717" t="s">
        <v>1721</v>
      </c>
      <c r="F1717" t="s"/>
      <c r="G1717" t="s"/>
      <c r="H1717" t="s"/>
      <c r="I1717" t="s"/>
      <c r="J1717" t="n">
        <v>0</v>
      </c>
      <c r="K1717" t="n">
        <v>0</v>
      </c>
      <c r="L1717" t="n">
        <v>1</v>
      </c>
      <c r="M1717" t="n">
        <v>0</v>
      </c>
    </row>
    <row r="1718" spans="1:13">
      <c r="A1718" s="1">
        <f>HYPERLINK("http://www.twitter.com/NathanBLawrence/status/978662174330703874", "978662174330703874")</f>
        <v/>
      </c>
      <c r="B1718" s="2" t="n">
        <v>43186.66457175926</v>
      </c>
      <c r="C1718" t="n">
        <v>0</v>
      </c>
      <c r="D1718" t="n">
        <v>3</v>
      </c>
      <c r="E1718" t="s">
        <v>1722</v>
      </c>
      <c r="F1718" t="s"/>
      <c r="G1718" t="s"/>
      <c r="H1718" t="s"/>
      <c r="I1718" t="s"/>
      <c r="J1718" t="n">
        <v>0</v>
      </c>
      <c r="K1718" t="n">
        <v>0</v>
      </c>
      <c r="L1718" t="n">
        <v>1</v>
      </c>
      <c r="M1718" t="n">
        <v>0</v>
      </c>
    </row>
    <row r="1719" spans="1:13">
      <c r="A1719" s="1">
        <f>HYPERLINK("http://www.twitter.com/NathanBLawrence/status/978661587736322048", "978661587736322048")</f>
        <v/>
      </c>
      <c r="B1719" s="2" t="n">
        <v>43186.66295138889</v>
      </c>
      <c r="C1719" t="n">
        <v>3</v>
      </c>
      <c r="D1719" t="n">
        <v>1</v>
      </c>
      <c r="E1719" t="s">
        <v>1723</v>
      </c>
      <c r="F1719" t="s"/>
      <c r="G1719" t="s"/>
      <c r="H1719" t="s"/>
      <c r="I1719" t="s"/>
      <c r="J1719" t="n">
        <v>0</v>
      </c>
      <c r="K1719" t="n">
        <v>0</v>
      </c>
      <c r="L1719" t="n">
        <v>1</v>
      </c>
      <c r="M1719" t="n">
        <v>0</v>
      </c>
    </row>
    <row r="1720" spans="1:13">
      <c r="A1720" s="1">
        <f>HYPERLINK("http://www.twitter.com/NathanBLawrence/status/978661242167545856", "978661242167545856")</f>
        <v/>
      </c>
      <c r="B1720" s="2" t="n">
        <v>43186.66200231481</v>
      </c>
      <c r="C1720" t="n">
        <v>0</v>
      </c>
      <c r="D1720" t="n">
        <v>4</v>
      </c>
      <c r="E1720" t="s">
        <v>1724</v>
      </c>
      <c r="F1720">
        <f>HYPERLINK("http://pbs.twimg.com/media/DZTmd-kUMAAKCpz.jpg", "http://pbs.twimg.com/media/DZTmd-kUMAAKCpz.jpg")</f>
        <v/>
      </c>
      <c r="G1720" t="s"/>
      <c r="H1720" t="s"/>
      <c r="I1720" t="s"/>
      <c r="J1720" t="n">
        <v>0</v>
      </c>
      <c r="K1720" t="n">
        <v>0</v>
      </c>
      <c r="L1720" t="n">
        <v>1</v>
      </c>
      <c r="M1720" t="n">
        <v>0</v>
      </c>
    </row>
    <row r="1721" spans="1:13">
      <c r="A1721" s="1">
        <f>HYPERLINK("http://www.twitter.com/NathanBLawrence/status/978661109468160001", "978661109468160001")</f>
        <v/>
      </c>
      <c r="B1721" s="2" t="n">
        <v>43186.66163194444</v>
      </c>
      <c r="C1721" t="n">
        <v>2</v>
      </c>
      <c r="D1721" t="n">
        <v>0</v>
      </c>
      <c r="E1721" t="s">
        <v>1725</v>
      </c>
      <c r="F1721" t="s"/>
      <c r="G1721" t="s"/>
      <c r="H1721" t="s"/>
      <c r="I1721" t="s"/>
      <c r="J1721" t="n">
        <v>0.3612</v>
      </c>
      <c r="K1721" t="n">
        <v>0</v>
      </c>
      <c r="L1721" t="n">
        <v>0.894</v>
      </c>
      <c r="M1721" t="n">
        <v>0.106</v>
      </c>
    </row>
    <row r="1722" spans="1:13">
      <c r="A1722" s="1">
        <f>HYPERLINK("http://www.twitter.com/NathanBLawrence/status/978660232581742592", "978660232581742592")</f>
        <v/>
      </c>
      <c r="B1722" s="2" t="n">
        <v>43186.65921296296</v>
      </c>
      <c r="C1722" t="n">
        <v>3</v>
      </c>
      <c r="D1722" t="n">
        <v>2</v>
      </c>
      <c r="E1722" t="s">
        <v>1726</v>
      </c>
      <c r="F1722" t="s"/>
      <c r="G1722" t="s"/>
      <c r="H1722" t="s"/>
      <c r="I1722" t="s"/>
      <c r="J1722" t="n">
        <v>-0.5719</v>
      </c>
      <c r="K1722" t="n">
        <v>0.217</v>
      </c>
      <c r="L1722" t="n">
        <v>0.783</v>
      </c>
      <c r="M1722" t="n">
        <v>0</v>
      </c>
    </row>
    <row r="1723" spans="1:13">
      <c r="A1723" s="1">
        <f>HYPERLINK("http://www.twitter.com/NathanBLawrence/status/978659546515365894", "978659546515365894")</f>
        <v/>
      </c>
      <c r="B1723" s="2" t="n">
        <v>43186.65732638889</v>
      </c>
      <c r="C1723" t="n">
        <v>0</v>
      </c>
      <c r="D1723" t="n">
        <v>0</v>
      </c>
      <c r="E1723" t="s">
        <v>1727</v>
      </c>
      <c r="F1723" t="s"/>
      <c r="G1723" t="s"/>
      <c r="H1723" t="s"/>
      <c r="I1723" t="s"/>
      <c r="J1723" t="n">
        <v>0.5686</v>
      </c>
      <c r="K1723" t="n">
        <v>0</v>
      </c>
      <c r="L1723" t="n">
        <v>0.656</v>
      </c>
      <c r="M1723" t="n">
        <v>0.344</v>
      </c>
    </row>
    <row r="1724" spans="1:13">
      <c r="A1724" s="1">
        <f>HYPERLINK("http://www.twitter.com/NathanBLawrence/status/978659452751622144", "978659452751622144")</f>
        <v/>
      </c>
      <c r="B1724" s="2" t="n">
        <v>43186.65706018519</v>
      </c>
      <c r="C1724" t="n">
        <v>0</v>
      </c>
      <c r="D1724" t="n">
        <v>8</v>
      </c>
      <c r="E1724" t="s">
        <v>1728</v>
      </c>
      <c r="F1724" t="s"/>
      <c r="G1724" t="s"/>
      <c r="H1724" t="s"/>
      <c r="I1724" t="s"/>
      <c r="J1724" t="n">
        <v>0</v>
      </c>
      <c r="K1724" t="n">
        <v>0</v>
      </c>
      <c r="L1724" t="n">
        <v>1</v>
      </c>
      <c r="M1724" t="n">
        <v>0</v>
      </c>
    </row>
    <row r="1725" spans="1:13">
      <c r="A1725" s="1">
        <f>HYPERLINK("http://www.twitter.com/NathanBLawrence/status/978657668696104960", "978657668696104960")</f>
        <v/>
      </c>
      <c r="B1725" s="2" t="n">
        <v>43186.6521412037</v>
      </c>
      <c r="C1725" t="n">
        <v>2</v>
      </c>
      <c r="D1725" t="n">
        <v>0</v>
      </c>
      <c r="E1725" t="s">
        <v>1729</v>
      </c>
      <c r="F1725" t="s"/>
      <c r="G1725" t="s"/>
      <c r="H1725" t="s"/>
      <c r="I1725" t="s"/>
      <c r="J1725" t="n">
        <v>0</v>
      </c>
      <c r="K1725" t="n">
        <v>0</v>
      </c>
      <c r="L1725" t="n">
        <v>1</v>
      </c>
      <c r="M1725" t="n">
        <v>0</v>
      </c>
    </row>
    <row r="1726" spans="1:13">
      <c r="A1726" s="1">
        <f>HYPERLINK("http://www.twitter.com/NathanBLawrence/status/978657498008838144", "978657498008838144")</f>
        <v/>
      </c>
      <c r="B1726" s="2" t="n">
        <v>43186.65166666666</v>
      </c>
      <c r="C1726" t="n">
        <v>0</v>
      </c>
      <c r="D1726" t="n">
        <v>3</v>
      </c>
      <c r="E1726" t="s">
        <v>1730</v>
      </c>
      <c r="F1726" t="s"/>
      <c r="G1726" t="s"/>
      <c r="H1726" t="s"/>
      <c r="I1726" t="s"/>
      <c r="J1726" t="n">
        <v>0</v>
      </c>
      <c r="K1726" t="n">
        <v>0</v>
      </c>
      <c r="L1726" t="n">
        <v>1</v>
      </c>
      <c r="M1726" t="n">
        <v>0</v>
      </c>
    </row>
    <row r="1727" spans="1:13">
      <c r="A1727" s="1">
        <f>HYPERLINK("http://www.twitter.com/NathanBLawrence/status/978657421416681474", "978657421416681474")</f>
        <v/>
      </c>
      <c r="B1727" s="2" t="n">
        <v>43186.65145833333</v>
      </c>
      <c r="C1727" t="n">
        <v>0</v>
      </c>
      <c r="D1727" t="n">
        <v>1</v>
      </c>
      <c r="E1727" t="s">
        <v>1731</v>
      </c>
      <c r="F1727" t="s"/>
      <c r="G1727" t="s"/>
      <c r="H1727" t="s"/>
      <c r="I1727" t="s"/>
      <c r="J1727" t="n">
        <v>0</v>
      </c>
      <c r="K1727" t="n">
        <v>0</v>
      </c>
      <c r="L1727" t="n">
        <v>1</v>
      </c>
      <c r="M1727" t="n">
        <v>0</v>
      </c>
    </row>
    <row r="1728" spans="1:13">
      <c r="A1728" s="1">
        <f>HYPERLINK("http://www.twitter.com/NathanBLawrence/status/978657331733987329", "978657331733987329")</f>
        <v/>
      </c>
      <c r="B1728" s="2" t="n">
        <v>43186.65121527778</v>
      </c>
      <c r="C1728" t="n">
        <v>1</v>
      </c>
      <c r="D1728" t="n">
        <v>0</v>
      </c>
      <c r="E1728" t="s">
        <v>1732</v>
      </c>
      <c r="F1728" t="s"/>
      <c r="G1728" t="s"/>
      <c r="H1728" t="s"/>
      <c r="I1728" t="s"/>
      <c r="J1728" t="n">
        <v>0.2263</v>
      </c>
      <c r="K1728" t="n">
        <v>0</v>
      </c>
      <c r="L1728" t="n">
        <v>0.913</v>
      </c>
      <c r="M1728" t="n">
        <v>0.08699999999999999</v>
      </c>
    </row>
    <row r="1729" spans="1:13">
      <c r="A1729" s="1">
        <f>HYPERLINK("http://www.twitter.com/NathanBLawrence/status/978656882637320193", "978656882637320193")</f>
        <v/>
      </c>
      <c r="B1729" s="2" t="n">
        <v>43186.64997685186</v>
      </c>
      <c r="C1729" t="n">
        <v>0</v>
      </c>
      <c r="D1729" t="n">
        <v>7</v>
      </c>
      <c r="E1729" t="s">
        <v>1733</v>
      </c>
      <c r="F1729" t="s"/>
      <c r="G1729" t="s"/>
      <c r="H1729" t="s"/>
      <c r="I1729" t="s"/>
      <c r="J1729" t="n">
        <v>-0.1027</v>
      </c>
      <c r="K1729" t="n">
        <v>0.07199999999999999</v>
      </c>
      <c r="L1729" t="n">
        <v>0.928</v>
      </c>
      <c r="M1729" t="n">
        <v>0</v>
      </c>
    </row>
    <row r="1730" spans="1:13">
      <c r="A1730" s="1">
        <f>HYPERLINK("http://www.twitter.com/NathanBLawrence/status/978656450414370816", "978656450414370816")</f>
        <v/>
      </c>
      <c r="B1730" s="2" t="n">
        <v>43186.64877314815</v>
      </c>
      <c r="C1730" t="n">
        <v>1</v>
      </c>
      <c r="D1730" t="n">
        <v>0</v>
      </c>
      <c r="E1730" t="s">
        <v>1734</v>
      </c>
      <c r="F1730" t="s"/>
      <c r="G1730" t="s"/>
      <c r="H1730" t="s"/>
      <c r="I1730" t="s"/>
      <c r="J1730" t="n">
        <v>0</v>
      </c>
      <c r="K1730" t="n">
        <v>0</v>
      </c>
      <c r="L1730" t="n">
        <v>1</v>
      </c>
      <c r="M1730" t="n">
        <v>0</v>
      </c>
    </row>
    <row r="1731" spans="1:13">
      <c r="A1731" s="1">
        <f>HYPERLINK("http://www.twitter.com/NathanBLawrence/status/978656387868872706", "978656387868872706")</f>
        <v/>
      </c>
      <c r="B1731" s="2" t="n">
        <v>43186.64861111111</v>
      </c>
      <c r="C1731" t="n">
        <v>0</v>
      </c>
      <c r="D1731" t="n">
        <v>2</v>
      </c>
      <c r="E1731" t="s">
        <v>1735</v>
      </c>
      <c r="F1731" t="s"/>
      <c r="G1731" t="s"/>
      <c r="H1731" t="s"/>
      <c r="I1731" t="s"/>
      <c r="J1731" t="n">
        <v>0</v>
      </c>
      <c r="K1731" t="n">
        <v>0</v>
      </c>
      <c r="L1731" t="n">
        <v>1</v>
      </c>
      <c r="M1731" t="n">
        <v>0</v>
      </c>
    </row>
    <row r="1732" spans="1:13">
      <c r="A1732" s="1">
        <f>HYPERLINK("http://www.twitter.com/NathanBLawrence/status/978654587187093504", "978654587187093504")</f>
        <v/>
      </c>
      <c r="B1732" s="2" t="n">
        <v>43186.64363425926</v>
      </c>
      <c r="C1732" t="n">
        <v>0</v>
      </c>
      <c r="D1732" t="n">
        <v>0</v>
      </c>
      <c r="E1732" t="s">
        <v>1736</v>
      </c>
      <c r="F1732" t="s"/>
      <c r="G1732" t="s"/>
      <c r="H1732" t="s"/>
      <c r="I1732" t="s"/>
      <c r="J1732" t="n">
        <v>0</v>
      </c>
      <c r="K1732" t="n">
        <v>0</v>
      </c>
      <c r="L1732" t="n">
        <v>1</v>
      </c>
      <c r="M1732" t="n">
        <v>0</v>
      </c>
    </row>
    <row r="1733" spans="1:13">
      <c r="A1733" s="1">
        <f>HYPERLINK("http://www.twitter.com/NathanBLawrence/status/978654346832424960", "978654346832424960")</f>
        <v/>
      </c>
      <c r="B1733" s="2" t="n">
        <v>43186.64297453704</v>
      </c>
      <c r="C1733" t="n">
        <v>4</v>
      </c>
      <c r="D1733" t="n">
        <v>2</v>
      </c>
      <c r="E1733" t="s">
        <v>1737</v>
      </c>
      <c r="F1733" t="s"/>
      <c r="G1733" t="s"/>
      <c r="H1733" t="s"/>
      <c r="I1733" t="s"/>
      <c r="J1733" t="n">
        <v>0</v>
      </c>
      <c r="K1733" t="n">
        <v>0</v>
      </c>
      <c r="L1733" t="n">
        <v>1</v>
      </c>
      <c r="M1733" t="n">
        <v>0</v>
      </c>
    </row>
    <row r="1734" spans="1:13">
      <c r="A1734" s="1">
        <f>HYPERLINK("http://www.twitter.com/NathanBLawrence/status/978654032288993281", "978654032288993281")</f>
        <v/>
      </c>
      <c r="B1734" s="2" t="n">
        <v>43186.64210648148</v>
      </c>
      <c r="C1734" t="n">
        <v>5</v>
      </c>
      <c r="D1734" t="n">
        <v>1</v>
      </c>
      <c r="E1734" t="s">
        <v>1738</v>
      </c>
      <c r="F1734" t="s"/>
      <c r="G1734" t="s"/>
      <c r="H1734" t="s"/>
      <c r="I1734" t="s"/>
      <c r="J1734" t="n">
        <v>0</v>
      </c>
      <c r="K1734" t="n">
        <v>0</v>
      </c>
      <c r="L1734" t="n">
        <v>1</v>
      </c>
      <c r="M1734" t="n">
        <v>0</v>
      </c>
    </row>
    <row r="1735" spans="1:13">
      <c r="A1735" s="1">
        <f>HYPERLINK("http://www.twitter.com/NathanBLawrence/status/978653522265812992", "978653522265812992")</f>
        <v/>
      </c>
      <c r="B1735" s="2" t="n">
        <v>43186.64069444445</v>
      </c>
      <c r="C1735" t="n">
        <v>5</v>
      </c>
      <c r="D1735" t="n">
        <v>1</v>
      </c>
      <c r="E1735" t="s">
        <v>1739</v>
      </c>
      <c r="F1735" t="s"/>
      <c r="G1735" t="s"/>
      <c r="H1735" t="s"/>
      <c r="I1735" t="s"/>
      <c r="J1735" t="n">
        <v>-0.5023</v>
      </c>
      <c r="K1735" t="n">
        <v>0.299</v>
      </c>
      <c r="L1735" t="n">
        <v>0.486</v>
      </c>
      <c r="M1735" t="n">
        <v>0.215</v>
      </c>
    </row>
    <row r="1736" spans="1:13">
      <c r="A1736" s="1">
        <f>HYPERLINK("http://www.twitter.com/NathanBLawrence/status/978652150204071938", "978652150204071938")</f>
        <v/>
      </c>
      <c r="B1736" s="2" t="n">
        <v>43186.63690972222</v>
      </c>
      <c r="C1736" t="n">
        <v>0</v>
      </c>
      <c r="D1736" t="n">
        <v>57</v>
      </c>
      <c r="E1736" t="s">
        <v>1740</v>
      </c>
      <c r="F1736" t="s"/>
      <c r="G1736" t="s"/>
      <c r="H1736" t="s"/>
      <c r="I1736" t="s"/>
      <c r="J1736" t="n">
        <v>0</v>
      </c>
      <c r="K1736" t="n">
        <v>0</v>
      </c>
      <c r="L1736" t="n">
        <v>1</v>
      </c>
      <c r="M1736" t="n">
        <v>0</v>
      </c>
    </row>
    <row r="1737" spans="1:13">
      <c r="A1737" s="1">
        <f>HYPERLINK("http://www.twitter.com/NathanBLawrence/status/978091639607611392", "978091639607611392")</f>
        <v/>
      </c>
      <c r="B1737" s="2" t="n">
        <v>43185.09019675926</v>
      </c>
      <c r="C1737" t="n">
        <v>0</v>
      </c>
      <c r="D1737" t="n">
        <v>35</v>
      </c>
      <c r="E1737" t="s">
        <v>1741</v>
      </c>
      <c r="F1737" t="s"/>
      <c r="G1737" t="s"/>
      <c r="H1737" t="s"/>
      <c r="I1737" t="s"/>
      <c r="J1737" t="n">
        <v>-0.6776</v>
      </c>
      <c r="K1737" t="n">
        <v>0.172</v>
      </c>
      <c r="L1737" t="n">
        <v>0.828</v>
      </c>
      <c r="M1737" t="n">
        <v>0</v>
      </c>
    </row>
    <row r="1738" spans="1:13">
      <c r="A1738" s="1">
        <f>HYPERLINK("http://www.twitter.com/NathanBLawrence/status/978091251852611585", "978091251852611585")</f>
        <v/>
      </c>
      <c r="B1738" s="2" t="n">
        <v>43185.08913194444</v>
      </c>
      <c r="C1738" t="n">
        <v>0</v>
      </c>
      <c r="D1738" t="n">
        <v>273</v>
      </c>
      <c r="E1738" t="s">
        <v>1742</v>
      </c>
      <c r="F1738" t="s"/>
      <c r="G1738" t="s"/>
      <c r="H1738" t="s"/>
      <c r="I1738" t="s"/>
      <c r="J1738" t="n">
        <v>0</v>
      </c>
      <c r="K1738" t="n">
        <v>0</v>
      </c>
      <c r="L1738" t="n">
        <v>1</v>
      </c>
      <c r="M1738" t="n">
        <v>0</v>
      </c>
    </row>
    <row r="1739" spans="1:13">
      <c r="A1739" s="1">
        <f>HYPERLINK("http://www.twitter.com/NathanBLawrence/status/978091155509403648", "978091155509403648")</f>
        <v/>
      </c>
      <c r="B1739" s="2" t="n">
        <v>43185.08886574074</v>
      </c>
      <c r="C1739" t="n">
        <v>0</v>
      </c>
      <c r="D1739" t="n">
        <v>8</v>
      </c>
      <c r="E1739" t="s">
        <v>1743</v>
      </c>
      <c r="F1739" t="s"/>
      <c r="G1739" t="s"/>
      <c r="H1739" t="s"/>
      <c r="I1739" t="s"/>
      <c r="J1739" t="n">
        <v>-0.6536999999999999</v>
      </c>
      <c r="K1739" t="n">
        <v>0.25</v>
      </c>
      <c r="L1739" t="n">
        <v>0.75</v>
      </c>
      <c r="M1739" t="n">
        <v>0</v>
      </c>
    </row>
    <row r="1740" spans="1:13">
      <c r="A1740" s="1">
        <f>HYPERLINK("http://www.twitter.com/NathanBLawrence/status/978091069643591680", "978091069643591680")</f>
        <v/>
      </c>
      <c r="B1740" s="2" t="n">
        <v>43185.08862268519</v>
      </c>
      <c r="C1740" t="n">
        <v>0</v>
      </c>
      <c r="D1740" t="n">
        <v>40</v>
      </c>
      <c r="E1740" t="s">
        <v>1744</v>
      </c>
      <c r="F1740" t="s"/>
      <c r="G1740" t="s"/>
      <c r="H1740" t="s"/>
      <c r="I1740" t="s"/>
      <c r="J1740" t="n">
        <v>0</v>
      </c>
      <c r="K1740" t="n">
        <v>0</v>
      </c>
      <c r="L1740" t="n">
        <v>1</v>
      </c>
      <c r="M1740" t="n">
        <v>0</v>
      </c>
    </row>
    <row r="1741" spans="1:13">
      <c r="A1741" s="1">
        <f>HYPERLINK("http://www.twitter.com/NathanBLawrence/status/978091021224566786", "978091021224566786")</f>
        <v/>
      </c>
      <c r="B1741" s="2" t="n">
        <v>43185.08849537037</v>
      </c>
      <c r="C1741" t="n">
        <v>0</v>
      </c>
      <c r="D1741" t="n">
        <v>19</v>
      </c>
      <c r="E1741" t="s">
        <v>1745</v>
      </c>
      <c r="F1741" t="s"/>
      <c r="G1741" t="s"/>
      <c r="H1741" t="s"/>
      <c r="I1741" t="s"/>
      <c r="J1741" t="n">
        <v>0</v>
      </c>
      <c r="K1741" t="n">
        <v>0</v>
      </c>
      <c r="L1741" t="n">
        <v>1</v>
      </c>
      <c r="M1741" t="n">
        <v>0</v>
      </c>
    </row>
    <row r="1742" spans="1:13">
      <c r="A1742" s="1">
        <f>HYPERLINK("http://www.twitter.com/NathanBLawrence/status/978090350232383489", "978090350232383489")</f>
        <v/>
      </c>
      <c r="B1742" s="2" t="n">
        <v>43185.08664351852</v>
      </c>
      <c r="C1742" t="n">
        <v>0</v>
      </c>
      <c r="D1742" t="n">
        <v>11</v>
      </c>
      <c r="E1742" t="s">
        <v>1746</v>
      </c>
      <c r="F1742" t="s"/>
      <c r="G1742" t="s"/>
      <c r="H1742" t="s"/>
      <c r="I1742" t="s"/>
      <c r="J1742" t="n">
        <v>-0.5106000000000001</v>
      </c>
      <c r="K1742" t="n">
        <v>0.171</v>
      </c>
      <c r="L1742" t="n">
        <v>0.829</v>
      </c>
      <c r="M1742" t="n">
        <v>0</v>
      </c>
    </row>
    <row r="1743" spans="1:13">
      <c r="A1743" s="1">
        <f>HYPERLINK("http://www.twitter.com/NathanBLawrence/status/978090139070226434", "978090139070226434")</f>
        <v/>
      </c>
      <c r="B1743" s="2" t="n">
        <v>43185.08605324074</v>
      </c>
      <c r="C1743" t="n">
        <v>0</v>
      </c>
      <c r="D1743" t="n">
        <v>22</v>
      </c>
      <c r="E1743" t="s">
        <v>1747</v>
      </c>
      <c r="F1743" t="s"/>
      <c r="G1743" t="s"/>
      <c r="H1743" t="s"/>
      <c r="I1743" t="s"/>
      <c r="J1743" t="n">
        <v>0</v>
      </c>
      <c r="K1743" t="n">
        <v>0</v>
      </c>
      <c r="L1743" t="n">
        <v>1</v>
      </c>
      <c r="M1743" t="n">
        <v>0</v>
      </c>
    </row>
    <row r="1744" spans="1:13">
      <c r="A1744" s="1">
        <f>HYPERLINK("http://www.twitter.com/NathanBLawrence/status/978088690873401345", "978088690873401345")</f>
        <v/>
      </c>
      <c r="B1744" s="2" t="n">
        <v>43185.08206018519</v>
      </c>
      <c r="C1744" t="n">
        <v>0</v>
      </c>
      <c r="D1744" t="n">
        <v>71</v>
      </c>
      <c r="E1744" t="s">
        <v>1748</v>
      </c>
      <c r="F1744" t="s"/>
      <c r="G1744" t="s"/>
      <c r="H1744" t="s"/>
      <c r="I1744" t="s"/>
      <c r="J1744" t="n">
        <v>0</v>
      </c>
      <c r="K1744" t="n">
        <v>0</v>
      </c>
      <c r="L1744" t="n">
        <v>1</v>
      </c>
      <c r="M1744" t="n">
        <v>0</v>
      </c>
    </row>
    <row r="1745" spans="1:13">
      <c r="A1745" s="1">
        <f>HYPERLINK("http://www.twitter.com/NathanBLawrence/status/978087656834895873", "978087656834895873")</f>
        <v/>
      </c>
      <c r="B1745" s="2" t="n">
        <v>43185.07921296296</v>
      </c>
      <c r="C1745" t="n">
        <v>0</v>
      </c>
      <c r="D1745" t="n">
        <v>285</v>
      </c>
      <c r="E1745" t="s">
        <v>1749</v>
      </c>
      <c r="F1745" t="s"/>
      <c r="G1745" t="s"/>
      <c r="H1745" t="s"/>
      <c r="I1745" t="s"/>
      <c r="J1745" t="n">
        <v>0.6369</v>
      </c>
      <c r="K1745" t="n">
        <v>0</v>
      </c>
      <c r="L1745" t="n">
        <v>0.741</v>
      </c>
      <c r="M1745" t="n">
        <v>0.259</v>
      </c>
    </row>
    <row r="1746" spans="1:13">
      <c r="A1746" s="1">
        <f>HYPERLINK("http://www.twitter.com/NathanBLawrence/status/978087608948490247", "978087608948490247")</f>
        <v/>
      </c>
      <c r="B1746" s="2" t="n">
        <v>43185.07907407408</v>
      </c>
      <c r="C1746" t="n">
        <v>0</v>
      </c>
      <c r="D1746" t="n">
        <v>90</v>
      </c>
      <c r="E1746" t="s">
        <v>1750</v>
      </c>
      <c r="F1746" t="s"/>
      <c r="G1746" t="s"/>
      <c r="H1746" t="s"/>
      <c r="I1746" t="s"/>
      <c r="J1746" t="n">
        <v>0.4404</v>
      </c>
      <c r="K1746" t="n">
        <v>0</v>
      </c>
      <c r="L1746" t="n">
        <v>0.838</v>
      </c>
      <c r="M1746" t="n">
        <v>0.162</v>
      </c>
    </row>
    <row r="1747" spans="1:13">
      <c r="A1747" s="1">
        <f>HYPERLINK("http://www.twitter.com/NathanBLawrence/status/978087021192327168", "978087021192327168")</f>
        <v/>
      </c>
      <c r="B1747" s="2" t="n">
        <v>43185.07745370371</v>
      </c>
      <c r="C1747" t="n">
        <v>0</v>
      </c>
      <c r="D1747" t="n">
        <v>1784</v>
      </c>
      <c r="E1747" t="s">
        <v>1751</v>
      </c>
      <c r="F1747">
        <f>HYPERLINK("https://video.twimg.com/ext_tw_video/978062267907432448/pu/vid/352x640/IhG-LWzaEkZUQQhs.mp4", "https://video.twimg.com/ext_tw_video/978062267907432448/pu/vid/352x640/IhG-LWzaEkZUQQhs.mp4")</f>
        <v/>
      </c>
      <c r="G1747" t="s"/>
      <c r="H1747" t="s"/>
      <c r="I1747" t="s"/>
      <c r="J1747" t="n">
        <v>0</v>
      </c>
      <c r="K1747" t="n">
        <v>0</v>
      </c>
      <c r="L1747" t="n">
        <v>1</v>
      </c>
      <c r="M1747" t="n">
        <v>0</v>
      </c>
    </row>
    <row r="1748" spans="1:13">
      <c r="A1748" s="1">
        <f>HYPERLINK("http://www.twitter.com/NathanBLawrence/status/978086874857295877", "978086874857295877")</f>
        <v/>
      </c>
      <c r="B1748" s="2" t="n">
        <v>43185.07704861111</v>
      </c>
      <c r="C1748" t="n">
        <v>0</v>
      </c>
      <c r="D1748" t="n">
        <v>3</v>
      </c>
      <c r="E1748" t="s">
        <v>1752</v>
      </c>
      <c r="F1748" t="s"/>
      <c r="G1748" t="s"/>
      <c r="H1748" t="s"/>
      <c r="I1748" t="s"/>
      <c r="J1748" t="n">
        <v>0</v>
      </c>
      <c r="K1748" t="n">
        <v>0</v>
      </c>
      <c r="L1748" t="n">
        <v>1</v>
      </c>
      <c r="M1748" t="n">
        <v>0</v>
      </c>
    </row>
    <row r="1749" spans="1:13">
      <c r="A1749" s="1">
        <f>HYPERLINK("http://www.twitter.com/NathanBLawrence/status/978086044880003072", "978086044880003072")</f>
        <v/>
      </c>
      <c r="B1749" s="2" t="n">
        <v>43185.07475694444</v>
      </c>
      <c r="C1749" t="n">
        <v>0</v>
      </c>
      <c r="D1749" t="n">
        <v>6</v>
      </c>
      <c r="E1749" t="s">
        <v>1753</v>
      </c>
      <c r="F1749" t="s"/>
      <c r="G1749" t="s"/>
      <c r="H1749" t="s"/>
      <c r="I1749" t="s"/>
      <c r="J1749" t="n">
        <v>-0.5266999999999999</v>
      </c>
      <c r="K1749" t="n">
        <v>0.268</v>
      </c>
      <c r="L1749" t="n">
        <v>0.732</v>
      </c>
      <c r="M1749" t="n">
        <v>0</v>
      </c>
    </row>
    <row r="1750" spans="1:13">
      <c r="A1750" s="1">
        <f>HYPERLINK("http://www.twitter.com/NathanBLawrence/status/978085941821755394", "978085941821755394")</f>
        <v/>
      </c>
      <c r="B1750" s="2" t="n">
        <v>43185.07447916667</v>
      </c>
      <c r="C1750" t="n">
        <v>0</v>
      </c>
      <c r="D1750" t="n">
        <v>6</v>
      </c>
      <c r="E1750" t="s">
        <v>1754</v>
      </c>
      <c r="F1750">
        <f>HYPERLINK("http://pbs.twimg.com/media/DZLbke5WAAEMbAu.jpg", "http://pbs.twimg.com/media/DZLbke5WAAEMbAu.jpg")</f>
        <v/>
      </c>
      <c r="G1750" t="s"/>
      <c r="H1750" t="s"/>
      <c r="I1750" t="s"/>
      <c r="J1750" t="n">
        <v>0</v>
      </c>
      <c r="K1750" t="n">
        <v>0</v>
      </c>
      <c r="L1750" t="n">
        <v>1</v>
      </c>
      <c r="M1750" t="n">
        <v>0</v>
      </c>
    </row>
    <row r="1751" spans="1:13">
      <c r="A1751" s="1">
        <f>HYPERLINK("http://www.twitter.com/NathanBLawrence/status/978085393789833217", "978085393789833217")</f>
        <v/>
      </c>
      <c r="B1751" s="2" t="n">
        <v>43185.07296296296</v>
      </c>
      <c r="C1751" t="n">
        <v>0</v>
      </c>
      <c r="D1751" t="n">
        <v>3819</v>
      </c>
      <c r="E1751" t="s">
        <v>1755</v>
      </c>
      <c r="F1751" t="s"/>
      <c r="G1751" t="s"/>
      <c r="H1751" t="s"/>
      <c r="I1751" t="s"/>
      <c r="J1751" t="n">
        <v>0.4019</v>
      </c>
      <c r="K1751" t="n">
        <v>0</v>
      </c>
      <c r="L1751" t="n">
        <v>0.881</v>
      </c>
      <c r="M1751" t="n">
        <v>0.119</v>
      </c>
    </row>
    <row r="1752" spans="1:13">
      <c r="A1752" s="1">
        <f>HYPERLINK("http://www.twitter.com/NathanBLawrence/status/978083921530441728", "978083921530441728")</f>
        <v/>
      </c>
      <c r="B1752" s="2" t="n">
        <v>43185.06890046296</v>
      </c>
      <c r="C1752" t="n">
        <v>0</v>
      </c>
      <c r="D1752" t="n">
        <v>3</v>
      </c>
      <c r="E1752" t="s">
        <v>1756</v>
      </c>
      <c r="F1752" t="s"/>
      <c r="G1752" t="s"/>
      <c r="H1752" t="s"/>
      <c r="I1752" t="s"/>
      <c r="J1752" t="n">
        <v>0</v>
      </c>
      <c r="K1752" t="n">
        <v>0</v>
      </c>
      <c r="L1752" t="n">
        <v>1</v>
      </c>
      <c r="M1752" t="n">
        <v>0</v>
      </c>
    </row>
    <row r="1753" spans="1:13">
      <c r="A1753" s="1">
        <f>HYPERLINK("http://www.twitter.com/NathanBLawrence/status/978082871540887552", "978082871540887552")</f>
        <v/>
      </c>
      <c r="B1753" s="2" t="n">
        <v>43185.06600694444</v>
      </c>
      <c r="C1753" t="n">
        <v>0</v>
      </c>
      <c r="D1753" t="n">
        <v>5</v>
      </c>
      <c r="E1753" t="s">
        <v>1757</v>
      </c>
      <c r="F1753" t="s"/>
      <c r="G1753" t="s"/>
      <c r="H1753" t="s"/>
      <c r="I1753" t="s"/>
      <c r="J1753" t="n">
        <v>0</v>
      </c>
      <c r="K1753" t="n">
        <v>0</v>
      </c>
      <c r="L1753" t="n">
        <v>1</v>
      </c>
      <c r="M1753" t="n">
        <v>0</v>
      </c>
    </row>
    <row r="1754" spans="1:13">
      <c r="A1754" s="1">
        <f>HYPERLINK("http://www.twitter.com/NathanBLawrence/status/978082670361174016", "978082670361174016")</f>
        <v/>
      </c>
      <c r="B1754" s="2" t="n">
        <v>43185.06545138889</v>
      </c>
      <c r="C1754" t="n">
        <v>0</v>
      </c>
      <c r="D1754" t="n">
        <v>71</v>
      </c>
      <c r="E1754" t="s">
        <v>1758</v>
      </c>
      <c r="F1754">
        <f>HYPERLINK("http://pbs.twimg.com/media/DY1Z-6yU0AAN3bg.jpg", "http://pbs.twimg.com/media/DY1Z-6yU0AAN3bg.jpg")</f>
        <v/>
      </c>
      <c r="G1754" t="s"/>
      <c r="H1754" t="s"/>
      <c r="I1754" t="s"/>
      <c r="J1754" t="n">
        <v>0.6588000000000001</v>
      </c>
      <c r="K1754" t="n">
        <v>0</v>
      </c>
      <c r="L1754" t="n">
        <v>0.672</v>
      </c>
      <c r="M1754" t="n">
        <v>0.328</v>
      </c>
    </row>
    <row r="1755" spans="1:13">
      <c r="A1755" s="1">
        <f>HYPERLINK("http://www.twitter.com/NathanBLawrence/status/978068371953651713", "978068371953651713")</f>
        <v/>
      </c>
      <c r="B1755" s="2" t="n">
        <v>43185.02599537037</v>
      </c>
      <c r="C1755" t="n">
        <v>0</v>
      </c>
      <c r="D1755" t="n">
        <v>3</v>
      </c>
      <c r="E1755" t="s">
        <v>1759</v>
      </c>
      <c r="F1755" t="s"/>
      <c r="G1755" t="s"/>
      <c r="H1755" t="s"/>
      <c r="I1755" t="s"/>
      <c r="J1755" t="n">
        <v>0</v>
      </c>
      <c r="K1755" t="n">
        <v>0</v>
      </c>
      <c r="L1755" t="n">
        <v>1</v>
      </c>
      <c r="M1755" t="n">
        <v>0</v>
      </c>
    </row>
    <row r="1756" spans="1:13">
      <c r="A1756" s="1">
        <f>HYPERLINK("http://www.twitter.com/NathanBLawrence/status/978068222930030592", "978068222930030592")</f>
        <v/>
      </c>
      <c r="B1756" s="2" t="n">
        <v>43185.0255787037</v>
      </c>
      <c r="C1756" t="n">
        <v>0</v>
      </c>
      <c r="D1756" t="n">
        <v>1</v>
      </c>
      <c r="E1756" t="s">
        <v>1760</v>
      </c>
      <c r="F1756" t="s"/>
      <c r="G1756" t="s"/>
      <c r="H1756" t="s"/>
      <c r="I1756" t="s"/>
      <c r="J1756" t="n">
        <v>0.5894</v>
      </c>
      <c r="K1756" t="n">
        <v>0.061</v>
      </c>
      <c r="L1756" t="n">
        <v>0.773</v>
      </c>
      <c r="M1756" t="n">
        <v>0.165</v>
      </c>
    </row>
    <row r="1757" spans="1:13">
      <c r="A1757" s="1">
        <f>HYPERLINK("http://www.twitter.com/NathanBLawrence/status/978067765004324864", "978067765004324864")</f>
        <v/>
      </c>
      <c r="B1757" s="2" t="n">
        <v>43185.02431712963</v>
      </c>
      <c r="C1757" t="n">
        <v>0</v>
      </c>
      <c r="D1757" t="n">
        <v>8</v>
      </c>
      <c r="E1757" t="s">
        <v>1761</v>
      </c>
      <c r="F1757">
        <f>HYPERLINK("http://pbs.twimg.com/media/DZKsD2tW0AYw0mw.jpg", "http://pbs.twimg.com/media/DZKsD2tW0AYw0mw.jpg")</f>
        <v/>
      </c>
      <c r="G1757" t="s"/>
      <c r="H1757" t="s"/>
      <c r="I1757" t="s"/>
      <c r="J1757" t="n">
        <v>0</v>
      </c>
      <c r="K1757" t="n">
        <v>0</v>
      </c>
      <c r="L1757" t="n">
        <v>1</v>
      </c>
      <c r="M1757" t="n">
        <v>0</v>
      </c>
    </row>
    <row r="1758" spans="1:13">
      <c r="A1758" s="1">
        <f>HYPERLINK("http://www.twitter.com/NathanBLawrence/status/978067500993863683", "978067500993863683")</f>
        <v/>
      </c>
      <c r="B1758" s="2" t="n">
        <v>43185.02358796296</v>
      </c>
      <c r="C1758" t="n">
        <v>0</v>
      </c>
      <c r="D1758" t="n">
        <v>0</v>
      </c>
      <c r="E1758" t="s">
        <v>1762</v>
      </c>
      <c r="F1758" t="s"/>
      <c r="G1758" t="s"/>
      <c r="H1758" t="s"/>
      <c r="I1758" t="s"/>
      <c r="J1758" t="n">
        <v>0.4714</v>
      </c>
      <c r="K1758" t="n">
        <v>0</v>
      </c>
      <c r="L1758" t="n">
        <v>0.746</v>
      </c>
      <c r="M1758" t="n">
        <v>0.254</v>
      </c>
    </row>
    <row r="1759" spans="1:13">
      <c r="A1759" s="1">
        <f>HYPERLINK("http://www.twitter.com/NathanBLawrence/status/978067245816582144", "978067245816582144")</f>
        <v/>
      </c>
      <c r="B1759" s="2" t="n">
        <v>43185.02288194445</v>
      </c>
      <c r="C1759" t="n">
        <v>0</v>
      </c>
      <c r="D1759" t="n">
        <v>0</v>
      </c>
      <c r="E1759" t="s">
        <v>1763</v>
      </c>
      <c r="F1759" t="s"/>
      <c r="G1759" t="s"/>
      <c r="H1759" t="s"/>
      <c r="I1759" t="s"/>
      <c r="J1759" t="n">
        <v>0</v>
      </c>
      <c r="K1759" t="n">
        <v>0</v>
      </c>
      <c r="L1759" t="n">
        <v>1</v>
      </c>
      <c r="M1759" t="n">
        <v>0</v>
      </c>
    </row>
    <row r="1760" spans="1:13">
      <c r="A1760" s="1">
        <f>HYPERLINK("http://www.twitter.com/NathanBLawrence/status/978067074445725696", "978067074445725696")</f>
        <v/>
      </c>
      <c r="B1760" s="2" t="n">
        <v>43185.02240740741</v>
      </c>
      <c r="C1760" t="n">
        <v>0</v>
      </c>
      <c r="D1760" t="n">
        <v>1</v>
      </c>
      <c r="E1760" t="s">
        <v>1764</v>
      </c>
      <c r="F1760" t="s"/>
      <c r="G1760" t="s"/>
      <c r="H1760" t="s"/>
      <c r="I1760" t="s"/>
      <c r="J1760" t="n">
        <v>0</v>
      </c>
      <c r="K1760" t="n">
        <v>0</v>
      </c>
      <c r="L1760" t="n">
        <v>1</v>
      </c>
      <c r="M1760" t="n">
        <v>0</v>
      </c>
    </row>
    <row r="1761" spans="1:13">
      <c r="A1761" s="1">
        <f>HYPERLINK("http://www.twitter.com/NathanBLawrence/status/978066635545284610", "978066635545284610")</f>
        <v/>
      </c>
      <c r="B1761" s="2" t="n">
        <v>43185.02120370371</v>
      </c>
      <c r="C1761" t="n">
        <v>0</v>
      </c>
      <c r="D1761" t="n">
        <v>0</v>
      </c>
      <c r="E1761" t="s">
        <v>1765</v>
      </c>
      <c r="F1761" t="s"/>
      <c r="G1761" t="s"/>
      <c r="H1761" t="s"/>
      <c r="I1761" t="s"/>
      <c r="J1761" t="n">
        <v>0</v>
      </c>
      <c r="K1761" t="n">
        <v>0</v>
      </c>
      <c r="L1761" t="n">
        <v>1</v>
      </c>
      <c r="M1761" t="n">
        <v>0</v>
      </c>
    </row>
    <row r="1762" spans="1:13">
      <c r="A1762" s="1">
        <f>HYPERLINK("http://www.twitter.com/NathanBLawrence/status/978066142840414208", "978066142840414208")</f>
        <v/>
      </c>
      <c r="B1762" s="2" t="n">
        <v>43185.01983796297</v>
      </c>
      <c r="C1762" t="n">
        <v>0</v>
      </c>
      <c r="D1762" t="n">
        <v>0</v>
      </c>
      <c r="E1762" t="s">
        <v>1766</v>
      </c>
      <c r="F1762" t="s"/>
      <c r="G1762" t="s"/>
      <c r="H1762" t="s"/>
      <c r="I1762" t="s"/>
      <c r="J1762" t="n">
        <v>-0.2411</v>
      </c>
      <c r="K1762" t="n">
        <v>0.246</v>
      </c>
      <c r="L1762" t="n">
        <v>0.754</v>
      </c>
      <c r="M1762" t="n">
        <v>0</v>
      </c>
    </row>
    <row r="1763" spans="1:13">
      <c r="A1763" s="1">
        <f>HYPERLINK("http://www.twitter.com/NathanBLawrence/status/978064909790597120", "978064909790597120")</f>
        <v/>
      </c>
      <c r="B1763" s="2" t="n">
        <v>43185.01643518519</v>
      </c>
      <c r="C1763" t="n">
        <v>1</v>
      </c>
      <c r="D1763" t="n">
        <v>0</v>
      </c>
      <c r="E1763" t="s">
        <v>1767</v>
      </c>
      <c r="F1763" t="s"/>
      <c r="G1763" t="s"/>
      <c r="H1763" t="s"/>
      <c r="I1763" t="s"/>
      <c r="J1763" t="n">
        <v>0.1779</v>
      </c>
      <c r="K1763" t="n">
        <v>0</v>
      </c>
      <c r="L1763" t="n">
        <v>0.841</v>
      </c>
      <c r="M1763" t="n">
        <v>0.159</v>
      </c>
    </row>
    <row r="1764" spans="1:13">
      <c r="A1764" s="1">
        <f>HYPERLINK("http://www.twitter.com/NathanBLawrence/status/978064746200158208", "978064746200158208")</f>
        <v/>
      </c>
      <c r="B1764" s="2" t="n">
        <v>43185.01598379629</v>
      </c>
      <c r="C1764" t="n">
        <v>0</v>
      </c>
      <c r="D1764" t="n">
        <v>1</v>
      </c>
      <c r="E1764" t="s">
        <v>1768</v>
      </c>
      <c r="F1764" t="s"/>
      <c r="G1764" t="s"/>
      <c r="H1764" t="s"/>
      <c r="I1764" t="s"/>
      <c r="J1764" t="n">
        <v>0</v>
      </c>
      <c r="K1764" t="n">
        <v>0</v>
      </c>
      <c r="L1764" t="n">
        <v>1</v>
      </c>
      <c r="M1764" t="n">
        <v>0</v>
      </c>
    </row>
    <row r="1765" spans="1:13">
      <c r="A1765" s="1">
        <f>HYPERLINK("http://www.twitter.com/NathanBLawrence/status/978064479777894403", "978064479777894403")</f>
        <v/>
      </c>
      <c r="B1765" s="2" t="n">
        <v>43185.01525462963</v>
      </c>
      <c r="C1765" t="n">
        <v>0</v>
      </c>
      <c r="D1765" t="n">
        <v>0</v>
      </c>
      <c r="E1765" t="s">
        <v>1769</v>
      </c>
      <c r="F1765" t="s"/>
      <c r="G1765" t="s"/>
      <c r="H1765" t="s"/>
      <c r="I1765" t="s"/>
      <c r="J1765" t="n">
        <v>0.6369</v>
      </c>
      <c r="K1765" t="n">
        <v>0</v>
      </c>
      <c r="L1765" t="n">
        <v>0.724</v>
      </c>
      <c r="M1765" t="n">
        <v>0.276</v>
      </c>
    </row>
    <row r="1766" spans="1:13">
      <c r="A1766" s="1">
        <f>HYPERLINK("http://www.twitter.com/NathanBLawrence/status/978064187464273920", "978064187464273920")</f>
        <v/>
      </c>
      <c r="B1766" s="2" t="n">
        <v>43185.01444444444</v>
      </c>
      <c r="C1766" t="n">
        <v>1</v>
      </c>
      <c r="D1766" t="n">
        <v>0</v>
      </c>
      <c r="E1766" t="s">
        <v>1770</v>
      </c>
      <c r="F1766" t="s"/>
      <c r="G1766" t="s"/>
      <c r="H1766" t="s"/>
      <c r="I1766" t="s"/>
      <c r="J1766" t="n">
        <v>-0.6468</v>
      </c>
      <c r="K1766" t="n">
        <v>0.461</v>
      </c>
      <c r="L1766" t="n">
        <v>0.539</v>
      </c>
      <c r="M1766" t="n">
        <v>0</v>
      </c>
    </row>
    <row r="1767" spans="1:13">
      <c r="A1767" s="1">
        <f>HYPERLINK("http://www.twitter.com/NathanBLawrence/status/978064006119411714", "978064006119411714")</f>
        <v/>
      </c>
      <c r="B1767" s="2" t="n">
        <v>43185.01394675926</v>
      </c>
      <c r="C1767" t="n">
        <v>0</v>
      </c>
      <c r="D1767" t="n">
        <v>0</v>
      </c>
      <c r="E1767" t="s">
        <v>1771</v>
      </c>
      <c r="F1767" t="s"/>
      <c r="G1767" t="s"/>
      <c r="H1767" t="s"/>
      <c r="I1767" t="s"/>
      <c r="J1767" t="n">
        <v>0</v>
      </c>
      <c r="K1767" t="n">
        <v>0</v>
      </c>
      <c r="L1767" t="n">
        <v>1</v>
      </c>
      <c r="M1767" t="n">
        <v>0</v>
      </c>
    </row>
    <row r="1768" spans="1:13">
      <c r="A1768" s="1">
        <f>HYPERLINK("http://www.twitter.com/NathanBLawrence/status/978063587263549442", "978063587263549442")</f>
        <v/>
      </c>
      <c r="B1768" s="2" t="n">
        <v>43185.01278935185</v>
      </c>
      <c r="C1768" t="n">
        <v>1</v>
      </c>
      <c r="D1768" t="n">
        <v>0</v>
      </c>
      <c r="E1768" t="s">
        <v>1772</v>
      </c>
      <c r="F1768" t="s"/>
      <c r="G1768" t="s"/>
      <c r="H1768" t="s"/>
      <c r="I1768" t="s"/>
      <c r="J1768" t="n">
        <v>0</v>
      </c>
      <c r="K1768" t="n">
        <v>0</v>
      </c>
      <c r="L1768" t="n">
        <v>1</v>
      </c>
      <c r="M1768" t="n">
        <v>0</v>
      </c>
    </row>
    <row r="1769" spans="1:13">
      <c r="A1769" s="1">
        <f>HYPERLINK("http://www.twitter.com/NathanBLawrence/status/978063312251387904", "978063312251387904")</f>
        <v/>
      </c>
      <c r="B1769" s="2" t="n">
        <v>43185.01202546297</v>
      </c>
      <c r="C1769" t="n">
        <v>1</v>
      </c>
      <c r="D1769" t="n">
        <v>0</v>
      </c>
      <c r="E1769" t="s">
        <v>1773</v>
      </c>
      <c r="F1769" t="s"/>
      <c r="G1769" t="s"/>
      <c r="H1769" t="s"/>
      <c r="I1769" t="s"/>
      <c r="J1769" t="n">
        <v>0.4939</v>
      </c>
      <c r="K1769" t="n">
        <v>0</v>
      </c>
      <c r="L1769" t="n">
        <v>0.802</v>
      </c>
      <c r="M1769" t="n">
        <v>0.198</v>
      </c>
    </row>
    <row r="1770" spans="1:13">
      <c r="A1770" s="1">
        <f>HYPERLINK("http://www.twitter.com/NathanBLawrence/status/978062982419804160", "978062982419804160")</f>
        <v/>
      </c>
      <c r="B1770" s="2" t="n">
        <v>43185.01112268519</v>
      </c>
      <c r="C1770" t="n">
        <v>0</v>
      </c>
      <c r="D1770" t="n">
        <v>1</v>
      </c>
      <c r="E1770" t="s">
        <v>1774</v>
      </c>
      <c r="F1770" t="s"/>
      <c r="G1770" t="s"/>
      <c r="H1770" t="s"/>
      <c r="I1770" t="s"/>
      <c r="J1770" t="n">
        <v>0</v>
      </c>
      <c r="K1770" t="n">
        <v>0</v>
      </c>
      <c r="L1770" t="n">
        <v>1</v>
      </c>
      <c r="M1770" t="n">
        <v>0</v>
      </c>
    </row>
    <row r="1771" spans="1:13">
      <c r="A1771" s="1">
        <f>HYPERLINK("http://www.twitter.com/NathanBLawrence/status/978062232583012352", "978062232583012352")</f>
        <v/>
      </c>
      <c r="B1771" s="2" t="n">
        <v>43185.00905092592</v>
      </c>
      <c r="C1771" t="n">
        <v>1</v>
      </c>
      <c r="D1771" t="n">
        <v>0</v>
      </c>
      <c r="E1771" t="s">
        <v>1775</v>
      </c>
      <c r="F1771" t="s"/>
      <c r="G1771" t="s"/>
      <c r="H1771" t="s"/>
      <c r="I1771" t="s"/>
      <c r="J1771" t="n">
        <v>0.3595</v>
      </c>
      <c r="K1771" t="n">
        <v>0</v>
      </c>
      <c r="L1771" t="n">
        <v>0.667</v>
      </c>
      <c r="M1771" t="n">
        <v>0.333</v>
      </c>
    </row>
    <row r="1772" spans="1:13">
      <c r="A1772" s="1">
        <f>HYPERLINK("http://www.twitter.com/NathanBLawrence/status/978062060423663616", "978062060423663616")</f>
        <v/>
      </c>
      <c r="B1772" s="2" t="n">
        <v>43185.00857638889</v>
      </c>
      <c r="C1772" t="n">
        <v>1</v>
      </c>
      <c r="D1772" t="n">
        <v>0</v>
      </c>
      <c r="E1772" t="s">
        <v>1776</v>
      </c>
      <c r="F1772" t="s"/>
      <c r="G1772" t="s"/>
      <c r="H1772" t="s"/>
      <c r="I1772" t="s"/>
      <c r="J1772" t="n">
        <v>0.4404</v>
      </c>
      <c r="K1772" t="n">
        <v>0</v>
      </c>
      <c r="L1772" t="n">
        <v>0.508</v>
      </c>
      <c r="M1772" t="n">
        <v>0.492</v>
      </c>
    </row>
    <row r="1773" spans="1:13">
      <c r="A1773" s="1">
        <f>HYPERLINK("http://www.twitter.com/NathanBLawrence/status/978061358133637120", "978061358133637120")</f>
        <v/>
      </c>
      <c r="B1773" s="2" t="n">
        <v>43185.00663194444</v>
      </c>
      <c r="C1773" t="n">
        <v>1</v>
      </c>
      <c r="D1773" t="n">
        <v>0</v>
      </c>
      <c r="E1773" t="s">
        <v>1777</v>
      </c>
      <c r="F1773" t="s"/>
      <c r="G1773" t="s"/>
      <c r="H1773" t="s"/>
      <c r="I1773" t="s"/>
      <c r="J1773" t="n">
        <v>0</v>
      </c>
      <c r="K1773" t="n">
        <v>0</v>
      </c>
      <c r="L1773" t="n">
        <v>1</v>
      </c>
      <c r="M1773" t="n">
        <v>0</v>
      </c>
    </row>
    <row r="1774" spans="1:13">
      <c r="A1774" s="1">
        <f>HYPERLINK("http://www.twitter.com/NathanBLawrence/status/978061051618045952", "978061051618045952")</f>
        <v/>
      </c>
      <c r="B1774" s="2" t="n">
        <v>43185.00578703704</v>
      </c>
      <c r="C1774" t="n">
        <v>1</v>
      </c>
      <c r="D1774" t="n">
        <v>0</v>
      </c>
      <c r="E1774" t="s">
        <v>1778</v>
      </c>
      <c r="F1774" t="s"/>
      <c r="G1774" t="s"/>
      <c r="H1774" t="s"/>
      <c r="I1774" t="s"/>
      <c r="J1774" t="n">
        <v>0</v>
      </c>
      <c r="K1774" t="n">
        <v>0</v>
      </c>
      <c r="L1774" t="n">
        <v>1</v>
      </c>
      <c r="M1774" t="n">
        <v>0</v>
      </c>
    </row>
    <row r="1775" spans="1:13">
      <c r="A1775" s="1">
        <f>HYPERLINK("http://www.twitter.com/NathanBLawrence/status/978060968117833728", "978060968117833728")</f>
        <v/>
      </c>
      <c r="B1775" s="2" t="n">
        <v>43185.00555555556</v>
      </c>
      <c r="C1775" t="n">
        <v>0</v>
      </c>
      <c r="D1775" t="n">
        <v>1</v>
      </c>
      <c r="E1775" t="s">
        <v>1779</v>
      </c>
      <c r="F1775" t="s"/>
      <c r="G1775" t="s"/>
      <c r="H1775" t="s"/>
      <c r="I1775" t="s"/>
      <c r="J1775" t="n">
        <v>-0.5255</v>
      </c>
      <c r="K1775" t="n">
        <v>0.124</v>
      </c>
      <c r="L1775" t="n">
        <v>0.876</v>
      </c>
      <c r="M1775" t="n">
        <v>0</v>
      </c>
    </row>
    <row r="1776" spans="1:13">
      <c r="A1776" s="1">
        <f>HYPERLINK("http://www.twitter.com/NathanBLawrence/status/978060875822194688", "978060875822194688")</f>
        <v/>
      </c>
      <c r="B1776" s="2" t="n">
        <v>43185.00530092593</v>
      </c>
      <c r="C1776" t="n">
        <v>0</v>
      </c>
      <c r="D1776" t="n">
        <v>0</v>
      </c>
      <c r="E1776" t="s">
        <v>1780</v>
      </c>
      <c r="F1776" t="s"/>
      <c r="G1776" t="s"/>
      <c r="H1776" t="s"/>
      <c r="I1776" t="s"/>
      <c r="J1776" t="n">
        <v>0.6369</v>
      </c>
      <c r="K1776" t="n">
        <v>0</v>
      </c>
      <c r="L1776" t="n">
        <v>0.588</v>
      </c>
      <c r="M1776" t="n">
        <v>0.412</v>
      </c>
    </row>
    <row r="1777" spans="1:13">
      <c r="A1777" s="1">
        <f>HYPERLINK("http://www.twitter.com/NathanBLawrence/status/978060567620587521", "978060567620587521")</f>
        <v/>
      </c>
      <c r="B1777" s="2" t="n">
        <v>43185.00445601852</v>
      </c>
      <c r="C1777" t="n">
        <v>1</v>
      </c>
      <c r="D1777" t="n">
        <v>0</v>
      </c>
      <c r="E1777" t="s">
        <v>1781</v>
      </c>
      <c r="F1777" t="s"/>
      <c r="G1777" t="s"/>
      <c r="H1777" t="s"/>
      <c r="I1777" t="s"/>
      <c r="J1777" t="n">
        <v>0</v>
      </c>
      <c r="K1777" t="n">
        <v>0</v>
      </c>
      <c r="L1777" t="n">
        <v>1</v>
      </c>
      <c r="M1777" t="n">
        <v>0</v>
      </c>
    </row>
    <row r="1778" spans="1:13">
      <c r="A1778" s="1">
        <f>HYPERLINK("http://www.twitter.com/NathanBLawrence/status/978060311373778944", "978060311373778944")</f>
        <v/>
      </c>
      <c r="B1778" s="2" t="n">
        <v>43185.00375</v>
      </c>
      <c r="C1778" t="n">
        <v>0</v>
      </c>
      <c r="D1778" t="n">
        <v>0</v>
      </c>
      <c r="E1778" t="s">
        <v>1782</v>
      </c>
      <c r="F1778" t="s"/>
      <c r="G1778" t="s"/>
      <c r="H1778" t="s"/>
      <c r="I1778" t="s"/>
      <c r="J1778" t="n">
        <v>0.3595</v>
      </c>
      <c r="K1778" t="n">
        <v>0</v>
      </c>
      <c r="L1778" t="n">
        <v>0.707</v>
      </c>
      <c r="M1778" t="n">
        <v>0.293</v>
      </c>
    </row>
    <row r="1779" spans="1:13">
      <c r="A1779" s="1">
        <f>HYPERLINK("http://www.twitter.com/NathanBLawrence/status/978059971421245440", "978059971421245440")</f>
        <v/>
      </c>
      <c r="B1779" s="2" t="n">
        <v>43185.0028125</v>
      </c>
      <c r="C1779" t="n">
        <v>0</v>
      </c>
      <c r="D1779" t="n">
        <v>0</v>
      </c>
      <c r="E1779" t="s">
        <v>1783</v>
      </c>
      <c r="F1779" t="s"/>
      <c r="G1779" t="s"/>
      <c r="H1779" t="s"/>
      <c r="I1779" t="s"/>
      <c r="J1779" t="n">
        <v>-0.4754</v>
      </c>
      <c r="K1779" t="n">
        <v>0.177</v>
      </c>
      <c r="L1779" t="n">
        <v>0.823</v>
      </c>
      <c r="M1779" t="n">
        <v>0</v>
      </c>
    </row>
    <row r="1780" spans="1:13">
      <c r="A1780" s="1">
        <f>HYPERLINK("http://www.twitter.com/NathanBLawrence/status/978059043066564608", "978059043066564608")</f>
        <v/>
      </c>
      <c r="B1780" s="2" t="n">
        <v>43185.00024305555</v>
      </c>
      <c r="C1780" t="n">
        <v>9</v>
      </c>
      <c r="D1780" t="n">
        <v>1</v>
      </c>
      <c r="E1780" t="s">
        <v>1784</v>
      </c>
      <c r="F1780" t="s"/>
      <c r="G1780" t="s"/>
      <c r="H1780" t="s"/>
      <c r="I1780" t="s"/>
      <c r="J1780" t="n">
        <v>-0.4939</v>
      </c>
      <c r="K1780" t="n">
        <v>0.118</v>
      </c>
      <c r="L1780" t="n">
        <v>0.882</v>
      </c>
      <c r="M1780" t="n">
        <v>0</v>
      </c>
    </row>
    <row r="1781" spans="1:13">
      <c r="A1781" s="1">
        <f>HYPERLINK("http://www.twitter.com/NathanBLawrence/status/978058344110940160", "978058344110940160")</f>
        <v/>
      </c>
      <c r="B1781" s="2" t="n">
        <v>43184.99832175926</v>
      </c>
      <c r="C1781" t="n">
        <v>0</v>
      </c>
      <c r="D1781" t="n">
        <v>1</v>
      </c>
      <c r="E1781" t="s">
        <v>1785</v>
      </c>
      <c r="F1781" t="s"/>
      <c r="G1781" t="s"/>
      <c r="H1781" t="s"/>
      <c r="I1781" t="s"/>
      <c r="J1781" t="n">
        <v>-0.5777</v>
      </c>
      <c r="K1781" t="n">
        <v>0.122</v>
      </c>
      <c r="L1781" t="n">
        <v>0.878</v>
      </c>
      <c r="M1781" t="n">
        <v>0</v>
      </c>
    </row>
    <row r="1782" spans="1:13">
      <c r="A1782" s="1">
        <f>HYPERLINK("http://www.twitter.com/NathanBLawrence/status/978058245343506437", "978058245343506437")</f>
        <v/>
      </c>
      <c r="B1782" s="2" t="n">
        <v>43184.99804398148</v>
      </c>
      <c r="C1782" t="n">
        <v>0</v>
      </c>
      <c r="D1782" t="n">
        <v>0</v>
      </c>
      <c r="E1782" t="s">
        <v>1786</v>
      </c>
      <c r="F1782" t="s"/>
      <c r="G1782" t="s"/>
      <c r="H1782" t="s"/>
      <c r="I1782" t="s"/>
      <c r="J1782" t="n">
        <v>0.128</v>
      </c>
      <c r="K1782" t="n">
        <v>0.102</v>
      </c>
      <c r="L1782" t="n">
        <v>0.776</v>
      </c>
      <c r="M1782" t="n">
        <v>0.122</v>
      </c>
    </row>
    <row r="1783" spans="1:13">
      <c r="A1783" s="1">
        <f>HYPERLINK("http://www.twitter.com/NathanBLawrence/status/978057759844458496", "978057759844458496")</f>
        <v/>
      </c>
      <c r="B1783" s="2" t="n">
        <v>43184.99671296297</v>
      </c>
      <c r="C1783" t="n">
        <v>0</v>
      </c>
      <c r="D1783" t="n">
        <v>2</v>
      </c>
      <c r="E1783" t="s">
        <v>1787</v>
      </c>
      <c r="F1783" t="s"/>
      <c r="G1783" t="s"/>
      <c r="H1783" t="s"/>
      <c r="I1783" t="s"/>
      <c r="J1783" t="n">
        <v>0</v>
      </c>
      <c r="K1783" t="n">
        <v>0</v>
      </c>
      <c r="L1783" t="n">
        <v>1</v>
      </c>
      <c r="M1783" t="n">
        <v>0</v>
      </c>
    </row>
    <row r="1784" spans="1:13">
      <c r="A1784" s="1">
        <f>HYPERLINK("http://www.twitter.com/NathanBLawrence/status/978057415735246848", "978057415735246848")</f>
        <v/>
      </c>
      <c r="B1784" s="2" t="n">
        <v>43184.99575231481</v>
      </c>
      <c r="C1784" t="n">
        <v>0</v>
      </c>
      <c r="D1784" t="n">
        <v>0</v>
      </c>
      <c r="E1784" t="s">
        <v>1788</v>
      </c>
      <c r="F1784" t="s"/>
      <c r="G1784" t="s"/>
      <c r="H1784" t="s"/>
      <c r="I1784" t="s"/>
      <c r="J1784" t="n">
        <v>0</v>
      </c>
      <c r="K1784" t="n">
        <v>0</v>
      </c>
      <c r="L1784" t="n">
        <v>1</v>
      </c>
      <c r="M1784" t="n">
        <v>0</v>
      </c>
    </row>
    <row r="1785" spans="1:13">
      <c r="A1785" s="1">
        <f>HYPERLINK("http://www.twitter.com/NathanBLawrence/status/978056540652482560", "978056540652482560")</f>
        <v/>
      </c>
      <c r="B1785" s="2" t="n">
        <v>43184.99334490741</v>
      </c>
      <c r="C1785" t="n">
        <v>1</v>
      </c>
      <c r="D1785" t="n">
        <v>0</v>
      </c>
      <c r="E1785" t="s">
        <v>1789</v>
      </c>
      <c r="F1785" t="s"/>
      <c r="G1785" t="s"/>
      <c r="H1785" t="s"/>
      <c r="I1785" t="s"/>
      <c r="J1785" t="n">
        <v>0</v>
      </c>
      <c r="K1785" t="n">
        <v>0</v>
      </c>
      <c r="L1785" t="n">
        <v>1</v>
      </c>
      <c r="M1785" t="n">
        <v>0</v>
      </c>
    </row>
    <row r="1786" spans="1:13">
      <c r="A1786" s="1">
        <f>HYPERLINK("http://www.twitter.com/NathanBLawrence/status/978054235022614528", "978054235022614528")</f>
        <v/>
      </c>
      <c r="B1786" s="2" t="n">
        <v>43184.98697916666</v>
      </c>
      <c r="C1786" t="n">
        <v>1</v>
      </c>
      <c r="D1786" t="n">
        <v>0</v>
      </c>
      <c r="E1786" t="s">
        <v>1790</v>
      </c>
      <c r="F1786" t="s"/>
      <c r="G1786" t="s"/>
      <c r="H1786" t="s"/>
      <c r="I1786" t="s"/>
      <c r="J1786" t="n">
        <v>-0.4767</v>
      </c>
      <c r="K1786" t="n">
        <v>0.181</v>
      </c>
      <c r="L1786" t="n">
        <v>0.819</v>
      </c>
      <c r="M1786" t="n">
        <v>0</v>
      </c>
    </row>
    <row r="1787" spans="1:13">
      <c r="A1787" s="1">
        <f>HYPERLINK("http://www.twitter.com/NathanBLawrence/status/978053229761171461", "978053229761171461")</f>
        <v/>
      </c>
      <c r="B1787" s="2" t="n">
        <v>43184.98420138889</v>
      </c>
      <c r="C1787" t="n">
        <v>0</v>
      </c>
      <c r="D1787" t="n">
        <v>0</v>
      </c>
      <c r="E1787" t="s">
        <v>1791</v>
      </c>
      <c r="F1787" t="s"/>
      <c r="G1787" t="s"/>
      <c r="H1787" t="s"/>
      <c r="I1787" t="s"/>
      <c r="J1787" t="n">
        <v>0</v>
      </c>
      <c r="K1787" t="n">
        <v>0</v>
      </c>
      <c r="L1787" t="n">
        <v>1</v>
      </c>
      <c r="M1787" t="n">
        <v>0</v>
      </c>
    </row>
    <row r="1788" spans="1:13">
      <c r="A1788" s="1">
        <f>HYPERLINK("http://www.twitter.com/NathanBLawrence/status/978052606923767808", "978052606923767808")</f>
        <v/>
      </c>
      <c r="B1788" s="2" t="n">
        <v>43184.98248842593</v>
      </c>
      <c r="C1788" t="n">
        <v>3</v>
      </c>
      <c r="D1788" t="n">
        <v>0</v>
      </c>
      <c r="E1788" t="s">
        <v>1792</v>
      </c>
      <c r="F1788" t="s"/>
      <c r="G1788" t="s"/>
      <c r="H1788" t="s"/>
      <c r="I1788" t="s"/>
      <c r="J1788" t="n">
        <v>0.3182</v>
      </c>
      <c r="K1788" t="n">
        <v>0</v>
      </c>
      <c r="L1788" t="n">
        <v>0.924</v>
      </c>
      <c r="M1788" t="n">
        <v>0.076</v>
      </c>
    </row>
    <row r="1789" spans="1:13">
      <c r="A1789" s="1">
        <f>HYPERLINK("http://www.twitter.com/NathanBLawrence/status/978050748188684289", "978050748188684289")</f>
        <v/>
      </c>
      <c r="B1789" s="2" t="n">
        <v>43184.97736111111</v>
      </c>
      <c r="C1789" t="n">
        <v>0</v>
      </c>
      <c r="D1789" t="n">
        <v>0</v>
      </c>
      <c r="E1789" t="s">
        <v>1793</v>
      </c>
      <c r="F1789" t="s"/>
      <c r="G1789" t="s"/>
      <c r="H1789" t="s"/>
      <c r="I1789" t="s"/>
      <c r="J1789" t="n">
        <v>0.4003</v>
      </c>
      <c r="K1789" t="n">
        <v>0</v>
      </c>
      <c r="L1789" t="n">
        <v>0.863</v>
      </c>
      <c r="M1789" t="n">
        <v>0.137</v>
      </c>
    </row>
    <row r="1790" spans="1:13">
      <c r="A1790" s="1">
        <f>HYPERLINK("http://www.twitter.com/NathanBLawrence/status/978049865723924481", "978049865723924481")</f>
        <v/>
      </c>
      <c r="B1790" s="2" t="n">
        <v>43184.97491898148</v>
      </c>
      <c r="C1790" t="n">
        <v>0</v>
      </c>
      <c r="D1790" t="n">
        <v>0</v>
      </c>
      <c r="E1790" t="s">
        <v>1794</v>
      </c>
      <c r="F1790" t="s"/>
      <c r="G1790" t="s"/>
      <c r="H1790" t="s"/>
      <c r="I1790" t="s"/>
      <c r="J1790" t="n">
        <v>0.4019</v>
      </c>
      <c r="K1790" t="n">
        <v>0</v>
      </c>
      <c r="L1790" t="n">
        <v>0.856</v>
      </c>
      <c r="M1790" t="n">
        <v>0.144</v>
      </c>
    </row>
    <row r="1791" spans="1:13">
      <c r="A1791" s="1">
        <f>HYPERLINK("http://www.twitter.com/NathanBLawrence/status/978049537075040256", "978049537075040256")</f>
        <v/>
      </c>
      <c r="B1791" s="2" t="n">
        <v>43184.97401620371</v>
      </c>
      <c r="C1791" t="n">
        <v>1</v>
      </c>
      <c r="D1791" t="n">
        <v>0</v>
      </c>
      <c r="E1791" t="s">
        <v>1795</v>
      </c>
      <c r="F1791" t="s"/>
      <c r="G1791" t="s"/>
      <c r="H1791" t="s"/>
      <c r="I1791" t="s"/>
      <c r="J1791" t="n">
        <v>0</v>
      </c>
      <c r="K1791" t="n">
        <v>0</v>
      </c>
      <c r="L1791" t="n">
        <v>1</v>
      </c>
      <c r="M1791" t="n">
        <v>0</v>
      </c>
    </row>
    <row r="1792" spans="1:13">
      <c r="A1792" s="1">
        <f>HYPERLINK("http://www.twitter.com/NathanBLawrence/status/978049479894020097", "978049479894020097")</f>
        <v/>
      </c>
      <c r="B1792" s="2" t="n">
        <v>43184.97385416667</v>
      </c>
      <c r="C1792" t="n">
        <v>0</v>
      </c>
      <c r="D1792" t="n">
        <v>29</v>
      </c>
      <c r="E1792" t="s">
        <v>1796</v>
      </c>
      <c r="F1792" t="s"/>
      <c r="G1792" t="s"/>
      <c r="H1792" t="s"/>
      <c r="I1792" t="s"/>
      <c r="J1792" t="n">
        <v>-0.0387</v>
      </c>
      <c r="K1792" t="n">
        <v>0.063</v>
      </c>
      <c r="L1792" t="n">
        <v>0.9370000000000001</v>
      </c>
      <c r="M1792" t="n">
        <v>0</v>
      </c>
    </row>
    <row r="1793" spans="1:13">
      <c r="A1793" s="1">
        <f>HYPERLINK("http://www.twitter.com/NathanBLawrence/status/978049450781433856", "978049450781433856")</f>
        <v/>
      </c>
      <c r="B1793" s="2" t="n">
        <v>43184.97378472222</v>
      </c>
      <c r="C1793" t="n">
        <v>0</v>
      </c>
      <c r="D1793" t="n">
        <v>2</v>
      </c>
      <c r="E1793" t="s">
        <v>1797</v>
      </c>
      <c r="F1793" t="s"/>
      <c r="G1793" t="s"/>
      <c r="H1793" t="s"/>
      <c r="I1793" t="s"/>
      <c r="J1793" t="n">
        <v>-0.0516</v>
      </c>
      <c r="K1793" t="n">
        <v>0.046</v>
      </c>
      <c r="L1793" t="n">
        <v>0.954</v>
      </c>
      <c r="M1793" t="n">
        <v>0</v>
      </c>
    </row>
    <row r="1794" spans="1:13">
      <c r="A1794" s="1">
        <f>HYPERLINK("http://www.twitter.com/NathanBLawrence/status/978049332216811520", "978049332216811520")</f>
        <v/>
      </c>
      <c r="B1794" s="2" t="n">
        <v>43184.97344907407</v>
      </c>
      <c r="C1794" t="n">
        <v>0</v>
      </c>
      <c r="D1794" t="n">
        <v>1</v>
      </c>
      <c r="E1794" t="s">
        <v>1798</v>
      </c>
      <c r="F1794" t="s"/>
      <c r="G1794" t="s"/>
      <c r="H1794" t="s"/>
      <c r="I1794" t="s"/>
      <c r="J1794" t="n">
        <v>-0.5023</v>
      </c>
      <c r="K1794" t="n">
        <v>0.111</v>
      </c>
      <c r="L1794" t="n">
        <v>0.889</v>
      </c>
      <c r="M1794" t="n">
        <v>0</v>
      </c>
    </row>
    <row r="1795" spans="1:13">
      <c r="A1795" s="1">
        <f>HYPERLINK("http://www.twitter.com/NathanBLawrence/status/978049249417089024", "978049249417089024")</f>
        <v/>
      </c>
      <c r="B1795" s="2" t="n">
        <v>43184.97321759259</v>
      </c>
      <c r="C1795" t="n">
        <v>2</v>
      </c>
      <c r="D1795" t="n">
        <v>0</v>
      </c>
      <c r="E1795" t="s">
        <v>1799</v>
      </c>
      <c r="F1795" t="s"/>
      <c r="G1795" t="s"/>
      <c r="H1795" t="s"/>
      <c r="I1795" t="s"/>
      <c r="J1795" t="n">
        <v>0</v>
      </c>
      <c r="K1795" t="n">
        <v>0</v>
      </c>
      <c r="L1795" t="n">
        <v>1</v>
      </c>
      <c r="M1795" t="n">
        <v>0</v>
      </c>
    </row>
    <row r="1796" spans="1:13">
      <c r="A1796" s="1">
        <f>HYPERLINK("http://www.twitter.com/NathanBLawrence/status/977959484294402051", "977959484294402051")</f>
        <v/>
      </c>
      <c r="B1796" s="2" t="n">
        <v>43184.72552083333</v>
      </c>
      <c r="C1796" t="n">
        <v>0</v>
      </c>
      <c r="D1796" t="n">
        <v>0</v>
      </c>
      <c r="E1796" t="s">
        <v>1800</v>
      </c>
      <c r="F1796" t="s"/>
      <c r="G1796" t="s"/>
      <c r="H1796" t="s"/>
      <c r="I1796" t="s"/>
      <c r="J1796" t="n">
        <v>0</v>
      </c>
      <c r="K1796" t="n">
        <v>0</v>
      </c>
      <c r="L1796" t="n">
        <v>1</v>
      </c>
      <c r="M1796" t="n">
        <v>0</v>
      </c>
    </row>
    <row r="1797" spans="1:13">
      <c r="A1797" s="1">
        <f>HYPERLINK("http://www.twitter.com/NathanBLawrence/status/977957985770229761", "977957985770229761")</f>
        <v/>
      </c>
      <c r="B1797" s="2" t="n">
        <v>43184.72138888889</v>
      </c>
      <c r="C1797" t="n">
        <v>0</v>
      </c>
      <c r="D1797" t="n">
        <v>0</v>
      </c>
      <c r="E1797" t="s">
        <v>1801</v>
      </c>
      <c r="F1797" t="s"/>
      <c r="G1797" t="s"/>
      <c r="H1797" t="s"/>
      <c r="I1797" t="s"/>
      <c r="J1797" t="n">
        <v>-0.926</v>
      </c>
      <c r="K1797" t="n">
        <v>0.383</v>
      </c>
      <c r="L1797" t="n">
        <v>0.617</v>
      </c>
      <c r="M1797" t="n">
        <v>0</v>
      </c>
    </row>
    <row r="1798" spans="1:13">
      <c r="A1798" s="1">
        <f>HYPERLINK("http://www.twitter.com/NathanBLawrence/status/977898205911441408", "977898205911441408")</f>
        <v/>
      </c>
      <c r="B1798" s="2" t="n">
        <v>43184.55642361111</v>
      </c>
      <c r="C1798" t="n">
        <v>0</v>
      </c>
      <c r="D1798" t="n">
        <v>7</v>
      </c>
      <c r="E1798" t="s">
        <v>1802</v>
      </c>
      <c r="F1798">
        <f>HYPERLINK("http://pbs.twimg.com/media/DYwFk-RW4AIevj8.jpg", "http://pbs.twimg.com/media/DYwFk-RW4AIevj8.jpg")</f>
        <v/>
      </c>
      <c r="G1798" t="s"/>
      <c r="H1798" t="s"/>
      <c r="I1798" t="s"/>
      <c r="J1798" t="n">
        <v>-0.3612</v>
      </c>
      <c r="K1798" t="n">
        <v>0.172</v>
      </c>
      <c r="L1798" t="n">
        <v>0.828</v>
      </c>
      <c r="M1798" t="n">
        <v>0</v>
      </c>
    </row>
    <row r="1799" spans="1:13">
      <c r="A1799" s="1">
        <f>HYPERLINK("http://www.twitter.com/NathanBLawrence/status/977898163842494464", "977898163842494464")</f>
        <v/>
      </c>
      <c r="B1799" s="2" t="n">
        <v>43184.55630787037</v>
      </c>
      <c r="C1799" t="n">
        <v>0</v>
      </c>
      <c r="D1799" t="n">
        <v>2</v>
      </c>
      <c r="E1799" t="s">
        <v>1803</v>
      </c>
      <c r="F1799" t="s"/>
      <c r="G1799" t="s"/>
      <c r="H1799" t="s"/>
      <c r="I1799" t="s"/>
      <c r="J1799" t="n">
        <v>0</v>
      </c>
      <c r="K1799" t="n">
        <v>0</v>
      </c>
      <c r="L1799" t="n">
        <v>1</v>
      </c>
      <c r="M1799" t="n">
        <v>0</v>
      </c>
    </row>
    <row r="1800" spans="1:13">
      <c r="A1800" s="1">
        <f>HYPERLINK("http://www.twitter.com/NathanBLawrence/status/977897620990517250", "977897620990517250")</f>
        <v/>
      </c>
      <c r="B1800" s="2" t="n">
        <v>43184.55480324074</v>
      </c>
      <c r="C1800" t="n">
        <v>0</v>
      </c>
      <c r="D1800" t="n">
        <v>0</v>
      </c>
      <c r="E1800" t="s">
        <v>1804</v>
      </c>
      <c r="F1800" t="s"/>
      <c r="G1800" t="s"/>
      <c r="H1800" t="s"/>
      <c r="I1800" t="s"/>
      <c r="J1800" t="n">
        <v>0</v>
      </c>
      <c r="K1800" t="n">
        <v>0</v>
      </c>
      <c r="L1800" t="n">
        <v>1</v>
      </c>
      <c r="M1800" t="n">
        <v>0</v>
      </c>
    </row>
    <row r="1801" spans="1:13">
      <c r="A1801" s="1">
        <f>HYPERLINK("http://www.twitter.com/NathanBLawrence/status/977896547018006528", "977896547018006528")</f>
        <v/>
      </c>
      <c r="B1801" s="2" t="n">
        <v>43184.55184027777</v>
      </c>
      <c r="C1801" t="n">
        <v>0</v>
      </c>
      <c r="D1801" t="n">
        <v>3</v>
      </c>
      <c r="E1801" t="s">
        <v>1805</v>
      </c>
      <c r="F1801" t="s"/>
      <c r="G1801" t="s"/>
      <c r="H1801" t="s"/>
      <c r="I1801" t="s"/>
      <c r="J1801" t="n">
        <v>0</v>
      </c>
      <c r="K1801" t="n">
        <v>0</v>
      </c>
      <c r="L1801" t="n">
        <v>1</v>
      </c>
      <c r="M1801" t="n">
        <v>0</v>
      </c>
    </row>
    <row r="1802" spans="1:13">
      <c r="A1802" s="1">
        <f>HYPERLINK("http://www.twitter.com/NathanBLawrence/status/977896350972108805", "977896350972108805")</f>
        <v/>
      </c>
      <c r="B1802" s="2" t="n">
        <v>43184.55130787037</v>
      </c>
      <c r="C1802" t="n">
        <v>0</v>
      </c>
      <c r="D1802" t="n">
        <v>19239</v>
      </c>
      <c r="E1802" t="s">
        <v>1806</v>
      </c>
      <c r="F1802" t="s"/>
      <c r="G1802" t="s"/>
      <c r="H1802" t="s"/>
      <c r="I1802" t="s"/>
      <c r="J1802" t="n">
        <v>0.6369</v>
      </c>
      <c r="K1802" t="n">
        <v>0.27</v>
      </c>
      <c r="L1802" t="n">
        <v>0.348</v>
      </c>
      <c r="M1802" t="n">
        <v>0.382</v>
      </c>
    </row>
    <row r="1803" spans="1:13">
      <c r="A1803" s="1">
        <f>HYPERLINK("http://www.twitter.com/NathanBLawrence/status/977896245904756736", "977896245904756736")</f>
        <v/>
      </c>
      <c r="B1803" s="2" t="n">
        <v>43184.55101851852</v>
      </c>
      <c r="C1803" t="n">
        <v>0</v>
      </c>
      <c r="D1803" t="n">
        <v>1159</v>
      </c>
      <c r="E1803" t="s">
        <v>1807</v>
      </c>
      <c r="F1803">
        <f>HYPERLINK("https://video.twimg.com/ext_tw_video/951168350012391424/pu/vid/720x720/Hd_5NGM3cHWwm9Un.mp4", "https://video.twimg.com/ext_tw_video/951168350012391424/pu/vid/720x720/Hd_5NGM3cHWwm9Un.mp4")</f>
        <v/>
      </c>
      <c r="G1803" t="s"/>
      <c r="H1803" t="s"/>
      <c r="I1803" t="s"/>
      <c r="J1803" t="n">
        <v>0.34</v>
      </c>
      <c r="K1803" t="n">
        <v>0</v>
      </c>
      <c r="L1803" t="n">
        <v>0.676</v>
      </c>
      <c r="M1803" t="n">
        <v>0.324</v>
      </c>
    </row>
    <row r="1804" spans="1:13">
      <c r="A1804" s="1">
        <f>HYPERLINK("http://www.twitter.com/NathanBLawrence/status/977896021882793986", "977896021882793986")</f>
        <v/>
      </c>
      <c r="B1804" s="2" t="n">
        <v>43184.55039351852</v>
      </c>
      <c r="C1804" t="n">
        <v>0</v>
      </c>
      <c r="D1804" t="n">
        <v>3</v>
      </c>
      <c r="E1804" t="s">
        <v>1808</v>
      </c>
      <c r="F1804" t="s"/>
      <c r="G1804" t="s"/>
      <c r="H1804" t="s"/>
      <c r="I1804" t="s"/>
      <c r="J1804" t="n">
        <v>-0.5574</v>
      </c>
      <c r="K1804" t="n">
        <v>0.247</v>
      </c>
      <c r="L1804" t="n">
        <v>0.753</v>
      </c>
      <c r="M1804" t="n">
        <v>0</v>
      </c>
    </row>
    <row r="1805" spans="1:13">
      <c r="A1805" s="1">
        <f>HYPERLINK("http://www.twitter.com/NathanBLawrence/status/977895984842903552", "977895984842903552")</f>
        <v/>
      </c>
      <c r="B1805" s="2" t="n">
        <v>43184.55028935185</v>
      </c>
      <c r="C1805" t="n">
        <v>0</v>
      </c>
      <c r="D1805" t="n">
        <v>1958</v>
      </c>
      <c r="E1805" t="s">
        <v>1809</v>
      </c>
      <c r="F1805" t="s"/>
      <c r="G1805" t="s"/>
      <c r="H1805" t="s"/>
      <c r="I1805" t="s"/>
      <c r="J1805" t="n">
        <v>0.296</v>
      </c>
      <c r="K1805" t="n">
        <v>0.139</v>
      </c>
      <c r="L1805" t="n">
        <v>0.68</v>
      </c>
      <c r="M1805" t="n">
        <v>0.18</v>
      </c>
    </row>
    <row r="1806" spans="1:13">
      <c r="A1806" s="1">
        <f>HYPERLINK("http://www.twitter.com/NathanBLawrence/status/977895819264348165", "977895819264348165")</f>
        <v/>
      </c>
      <c r="B1806" s="2" t="n">
        <v>43184.54983796296</v>
      </c>
      <c r="C1806" t="n">
        <v>0</v>
      </c>
      <c r="D1806" t="n">
        <v>1</v>
      </c>
      <c r="E1806" t="s">
        <v>1810</v>
      </c>
      <c r="F1806" t="s"/>
      <c r="G1806" t="s"/>
      <c r="H1806" t="s"/>
      <c r="I1806" t="s"/>
      <c r="J1806" t="n">
        <v>-0.891</v>
      </c>
      <c r="K1806" t="n">
        <v>0.384</v>
      </c>
      <c r="L1806" t="n">
        <v>0.616</v>
      </c>
      <c r="M1806" t="n">
        <v>0</v>
      </c>
    </row>
    <row r="1807" spans="1:13">
      <c r="A1807" s="1">
        <f>HYPERLINK("http://www.twitter.com/NathanBLawrence/status/977895734073872386", "977895734073872386")</f>
        <v/>
      </c>
      <c r="B1807" s="2" t="n">
        <v>43184.54960648148</v>
      </c>
      <c r="C1807" t="n">
        <v>0</v>
      </c>
      <c r="D1807" t="n">
        <v>1</v>
      </c>
      <c r="E1807" t="s">
        <v>1811</v>
      </c>
      <c r="F1807" t="s"/>
      <c r="G1807" t="s"/>
      <c r="H1807" t="s"/>
      <c r="I1807" t="s"/>
      <c r="J1807" t="n">
        <v>-0.4374</v>
      </c>
      <c r="K1807" t="n">
        <v>0.107</v>
      </c>
      <c r="L1807" t="n">
        <v>0.893</v>
      </c>
      <c r="M1807" t="n">
        <v>0</v>
      </c>
    </row>
    <row r="1808" spans="1:13">
      <c r="A1808" s="1">
        <f>HYPERLINK("http://www.twitter.com/NathanBLawrence/status/977895672857972736", "977895672857972736")</f>
        <v/>
      </c>
      <c r="B1808" s="2" t="n">
        <v>43184.54943287037</v>
      </c>
      <c r="C1808" t="n">
        <v>0</v>
      </c>
      <c r="D1808" t="n">
        <v>240</v>
      </c>
      <c r="E1808" t="s">
        <v>1812</v>
      </c>
      <c r="F1808" t="s"/>
      <c r="G1808" t="s"/>
      <c r="H1808" t="s"/>
      <c r="I1808" t="s"/>
      <c r="J1808" t="n">
        <v>-0.2003</v>
      </c>
      <c r="K1808" t="n">
        <v>0.156</v>
      </c>
      <c r="L1808" t="n">
        <v>0.729</v>
      </c>
      <c r="M1808" t="n">
        <v>0.115</v>
      </c>
    </row>
    <row r="1809" spans="1:13">
      <c r="A1809" s="1">
        <f>HYPERLINK("http://www.twitter.com/NathanBLawrence/status/977895578985222145", "977895578985222145")</f>
        <v/>
      </c>
      <c r="B1809" s="2" t="n">
        <v>43184.54917824074</v>
      </c>
      <c r="C1809" t="n">
        <v>0</v>
      </c>
      <c r="D1809" t="n">
        <v>1461</v>
      </c>
      <c r="E1809" t="s">
        <v>1813</v>
      </c>
      <c r="F1809" t="s"/>
      <c r="G1809" t="s"/>
      <c r="H1809" t="s"/>
      <c r="I1809" t="s"/>
      <c r="J1809" t="n">
        <v>0.4019</v>
      </c>
      <c r="K1809" t="n">
        <v>0</v>
      </c>
      <c r="L1809" t="n">
        <v>0.891</v>
      </c>
      <c r="M1809" t="n">
        <v>0.109</v>
      </c>
    </row>
    <row r="1810" spans="1:13">
      <c r="A1810" s="1">
        <f>HYPERLINK("http://www.twitter.com/NathanBLawrence/status/977895294380793857", "977895294380793857")</f>
        <v/>
      </c>
      <c r="B1810" s="2" t="n">
        <v>43184.5483912037</v>
      </c>
      <c r="C1810" t="n">
        <v>0</v>
      </c>
      <c r="D1810" t="n">
        <v>1</v>
      </c>
      <c r="E1810" t="s">
        <v>1814</v>
      </c>
      <c r="F1810" t="s"/>
      <c r="G1810" t="s"/>
      <c r="H1810" t="s"/>
      <c r="I1810" t="s"/>
      <c r="J1810" t="n">
        <v>-0.7506</v>
      </c>
      <c r="K1810" t="n">
        <v>0.39</v>
      </c>
      <c r="L1810" t="n">
        <v>0.61</v>
      </c>
      <c r="M1810" t="n">
        <v>0</v>
      </c>
    </row>
    <row r="1811" spans="1:13">
      <c r="A1811" s="1">
        <f>HYPERLINK("http://www.twitter.com/NathanBLawrence/status/977895130119188481", "977895130119188481")</f>
        <v/>
      </c>
      <c r="B1811" s="2" t="n">
        <v>43184.54793981482</v>
      </c>
      <c r="C1811" t="n">
        <v>0</v>
      </c>
      <c r="D1811" t="n">
        <v>3</v>
      </c>
      <c r="E1811" t="s">
        <v>1815</v>
      </c>
      <c r="F1811">
        <f>HYPERLINK("http://pbs.twimg.com/media/DZFsRIlVAAA9Y2k.jpg", "http://pbs.twimg.com/media/DZFsRIlVAAA9Y2k.jpg")</f>
        <v/>
      </c>
      <c r="G1811" t="s"/>
      <c r="H1811" t="s"/>
      <c r="I1811" t="s"/>
      <c r="J1811" t="n">
        <v>0</v>
      </c>
      <c r="K1811" t="n">
        <v>0</v>
      </c>
      <c r="L1811" t="n">
        <v>1</v>
      </c>
      <c r="M1811" t="n">
        <v>0</v>
      </c>
    </row>
    <row r="1812" spans="1:13">
      <c r="A1812" s="1">
        <f>HYPERLINK("http://www.twitter.com/NathanBLawrence/status/977895078768381954", "977895078768381954")</f>
        <v/>
      </c>
      <c r="B1812" s="2" t="n">
        <v>43184.54778935185</v>
      </c>
      <c r="C1812" t="n">
        <v>0</v>
      </c>
      <c r="D1812" t="n">
        <v>3</v>
      </c>
      <c r="E1812" t="s">
        <v>1816</v>
      </c>
      <c r="F1812" t="s"/>
      <c r="G1812" t="s"/>
      <c r="H1812" t="s"/>
      <c r="I1812" t="s"/>
      <c r="J1812" t="n">
        <v>-0.8614000000000001</v>
      </c>
      <c r="K1812" t="n">
        <v>0.324</v>
      </c>
      <c r="L1812" t="n">
        <v>0.676</v>
      </c>
      <c r="M1812" t="n">
        <v>0</v>
      </c>
    </row>
    <row r="1813" spans="1:13">
      <c r="A1813" s="1">
        <f>HYPERLINK("http://www.twitter.com/NathanBLawrence/status/977895016289980416", "977895016289980416")</f>
        <v/>
      </c>
      <c r="B1813" s="2" t="n">
        <v>43184.54761574074</v>
      </c>
      <c r="C1813" t="n">
        <v>0</v>
      </c>
      <c r="D1813" t="n">
        <v>25</v>
      </c>
      <c r="E1813" t="s">
        <v>1817</v>
      </c>
      <c r="F1813">
        <f>HYPERLINK("http://pbs.twimg.com/media/DZFwL9qVAAAHleE.jpg", "http://pbs.twimg.com/media/DZFwL9qVAAAHleE.jpg")</f>
        <v/>
      </c>
      <c r="G1813" t="s"/>
      <c r="H1813" t="s"/>
      <c r="I1813" t="s"/>
      <c r="J1813" t="n">
        <v>0</v>
      </c>
      <c r="K1813" t="n">
        <v>0</v>
      </c>
      <c r="L1813" t="n">
        <v>1</v>
      </c>
      <c r="M1813" t="n">
        <v>0</v>
      </c>
    </row>
    <row r="1814" spans="1:13">
      <c r="A1814" s="1">
        <f>HYPERLINK("http://www.twitter.com/NathanBLawrence/status/977894977593335810", "977894977593335810")</f>
        <v/>
      </c>
      <c r="B1814" s="2" t="n">
        <v>43184.54751157408</v>
      </c>
      <c r="C1814" t="n">
        <v>0</v>
      </c>
      <c r="D1814" t="n">
        <v>1</v>
      </c>
      <c r="E1814" t="s">
        <v>1818</v>
      </c>
      <c r="F1814" t="s"/>
      <c r="G1814" t="s"/>
      <c r="H1814" t="s"/>
      <c r="I1814" t="s"/>
      <c r="J1814" t="n">
        <v>0.5562</v>
      </c>
      <c r="K1814" t="n">
        <v>0</v>
      </c>
      <c r="L1814" t="n">
        <v>0.753</v>
      </c>
      <c r="M1814" t="n">
        <v>0.247</v>
      </c>
    </row>
    <row r="1815" spans="1:13">
      <c r="A1815" s="1">
        <f>HYPERLINK("http://www.twitter.com/NathanBLawrence/status/977894894239969280", "977894894239969280")</f>
        <v/>
      </c>
      <c r="B1815" s="2" t="n">
        <v>43184.54728009259</v>
      </c>
      <c r="C1815" t="n">
        <v>0</v>
      </c>
      <c r="D1815" t="n">
        <v>203</v>
      </c>
      <c r="E1815" t="s">
        <v>1819</v>
      </c>
      <c r="F1815" t="s"/>
      <c r="G1815" t="s"/>
      <c r="H1815" t="s"/>
      <c r="I1815" t="s"/>
      <c r="J1815" t="n">
        <v>0</v>
      </c>
      <c r="K1815" t="n">
        <v>0</v>
      </c>
      <c r="L1815" t="n">
        <v>1</v>
      </c>
      <c r="M1815" t="n">
        <v>0</v>
      </c>
    </row>
    <row r="1816" spans="1:13">
      <c r="A1816" s="1">
        <f>HYPERLINK("http://www.twitter.com/NathanBLawrence/status/977894763763560449", "977894763763560449")</f>
        <v/>
      </c>
      <c r="B1816" s="2" t="n">
        <v>43184.5469212963</v>
      </c>
      <c r="C1816" t="n">
        <v>0</v>
      </c>
      <c r="D1816" t="n">
        <v>6227</v>
      </c>
      <c r="E1816" t="s">
        <v>1820</v>
      </c>
      <c r="F1816" t="s"/>
      <c r="G1816" t="s"/>
      <c r="H1816" t="s"/>
      <c r="I1816" t="s"/>
      <c r="J1816" t="n">
        <v>0.0258</v>
      </c>
      <c r="K1816" t="n">
        <v>0</v>
      </c>
      <c r="L1816" t="n">
        <v>0.95</v>
      </c>
      <c r="M1816" t="n">
        <v>0.05</v>
      </c>
    </row>
    <row r="1817" spans="1:13">
      <c r="A1817" s="1">
        <f>HYPERLINK("http://www.twitter.com/NathanBLawrence/status/977894543839375365", "977894543839375365")</f>
        <v/>
      </c>
      <c r="B1817" s="2" t="n">
        <v>43184.54631944445</v>
      </c>
      <c r="C1817" t="n">
        <v>0</v>
      </c>
      <c r="D1817" t="n">
        <v>1123</v>
      </c>
      <c r="E1817" t="s">
        <v>1821</v>
      </c>
      <c r="F1817" t="s"/>
      <c r="G1817" t="s"/>
      <c r="H1817" t="s"/>
      <c r="I1817" t="s"/>
      <c r="J1817" t="n">
        <v>-0.5106000000000001</v>
      </c>
      <c r="K1817" t="n">
        <v>0.142</v>
      </c>
      <c r="L1817" t="n">
        <v>0.858</v>
      </c>
      <c r="M1817" t="n">
        <v>0</v>
      </c>
    </row>
    <row r="1818" spans="1:13">
      <c r="A1818" s="1">
        <f>HYPERLINK("http://www.twitter.com/NathanBLawrence/status/977894191517831169", "977894191517831169")</f>
        <v/>
      </c>
      <c r="B1818" s="2" t="n">
        <v>43184.54534722222</v>
      </c>
      <c r="C1818" t="n">
        <v>1</v>
      </c>
      <c r="D1818" t="n">
        <v>0</v>
      </c>
      <c r="E1818" t="s">
        <v>1822</v>
      </c>
      <c r="F1818" t="s"/>
      <c r="G1818" t="s"/>
      <c r="H1818" t="s"/>
      <c r="I1818" t="s"/>
      <c r="J1818" t="n">
        <v>-0.0044</v>
      </c>
      <c r="K1818" t="n">
        <v>0.202</v>
      </c>
      <c r="L1818" t="n">
        <v>0.619</v>
      </c>
      <c r="M1818" t="n">
        <v>0.179</v>
      </c>
    </row>
    <row r="1819" spans="1:13">
      <c r="A1819" s="1">
        <f>HYPERLINK("http://www.twitter.com/NathanBLawrence/status/977892850028425217", "977892850028425217")</f>
        <v/>
      </c>
      <c r="B1819" s="2" t="n">
        <v>43184.54164351852</v>
      </c>
      <c r="C1819" t="n">
        <v>0</v>
      </c>
      <c r="D1819" t="n">
        <v>12</v>
      </c>
      <c r="E1819" t="s">
        <v>1823</v>
      </c>
      <c r="F1819" t="s"/>
      <c r="G1819" t="s"/>
      <c r="H1819" t="s"/>
      <c r="I1819" t="s"/>
      <c r="J1819" t="n">
        <v>-0.4767</v>
      </c>
      <c r="K1819" t="n">
        <v>0.14</v>
      </c>
      <c r="L1819" t="n">
        <v>0.86</v>
      </c>
      <c r="M1819" t="n">
        <v>0</v>
      </c>
    </row>
    <row r="1820" spans="1:13">
      <c r="A1820" s="1">
        <f>HYPERLINK("http://www.twitter.com/NathanBLawrence/status/977892542200139776", "977892542200139776")</f>
        <v/>
      </c>
      <c r="B1820" s="2" t="n">
        <v>43184.54079861111</v>
      </c>
      <c r="C1820" t="n">
        <v>0</v>
      </c>
      <c r="D1820" t="n">
        <v>1</v>
      </c>
      <c r="E1820" t="s">
        <v>1824</v>
      </c>
      <c r="F1820" t="s"/>
      <c r="G1820" t="s"/>
      <c r="H1820" t="s"/>
      <c r="I1820" t="s"/>
      <c r="J1820" t="n">
        <v>-0.4767</v>
      </c>
      <c r="K1820" t="n">
        <v>0.11</v>
      </c>
      <c r="L1820" t="n">
        <v>0.89</v>
      </c>
      <c r="M1820" t="n">
        <v>0</v>
      </c>
    </row>
    <row r="1821" spans="1:13">
      <c r="A1821" s="1">
        <f>HYPERLINK("http://www.twitter.com/NathanBLawrence/status/977892329561477120", "977892329561477120")</f>
        <v/>
      </c>
      <c r="B1821" s="2" t="n">
        <v>43184.54020833333</v>
      </c>
      <c r="C1821" t="n">
        <v>0</v>
      </c>
      <c r="D1821" t="n">
        <v>0</v>
      </c>
      <c r="E1821" t="s">
        <v>1825</v>
      </c>
      <c r="F1821" t="s"/>
      <c r="G1821" t="s"/>
      <c r="H1821" t="s"/>
      <c r="I1821" t="s"/>
      <c r="J1821" t="n">
        <v>0</v>
      </c>
      <c r="K1821" t="n">
        <v>0</v>
      </c>
      <c r="L1821" t="n">
        <v>1</v>
      </c>
      <c r="M1821" t="n">
        <v>0</v>
      </c>
    </row>
    <row r="1822" spans="1:13">
      <c r="A1822" s="1">
        <f>HYPERLINK("http://www.twitter.com/NathanBLawrence/status/977891870285205504", "977891870285205504")</f>
        <v/>
      </c>
      <c r="B1822" s="2" t="n">
        <v>43184.53893518518</v>
      </c>
      <c r="C1822" t="n">
        <v>1</v>
      </c>
      <c r="D1822" t="n">
        <v>0</v>
      </c>
      <c r="E1822" t="s">
        <v>1826</v>
      </c>
      <c r="F1822" t="s"/>
      <c r="G1822" t="s"/>
      <c r="H1822" t="s"/>
      <c r="I1822" t="s"/>
      <c r="J1822" t="n">
        <v>0.6124000000000001</v>
      </c>
      <c r="K1822" t="n">
        <v>0</v>
      </c>
      <c r="L1822" t="n">
        <v>0.8</v>
      </c>
      <c r="M1822" t="n">
        <v>0.2</v>
      </c>
    </row>
    <row r="1823" spans="1:13">
      <c r="A1823" s="1">
        <f>HYPERLINK("http://www.twitter.com/NathanBLawrence/status/977891750986600448", "977891750986600448")</f>
        <v/>
      </c>
      <c r="B1823" s="2" t="n">
        <v>43184.53861111111</v>
      </c>
      <c r="C1823" t="n">
        <v>1</v>
      </c>
      <c r="D1823" t="n">
        <v>0</v>
      </c>
      <c r="E1823" t="s">
        <v>1827</v>
      </c>
      <c r="F1823" t="s"/>
      <c r="G1823" t="s"/>
      <c r="H1823" t="s"/>
      <c r="I1823" t="s"/>
      <c r="J1823" t="n">
        <v>0</v>
      </c>
      <c r="K1823" t="n">
        <v>0.097</v>
      </c>
      <c r="L1823" t="n">
        <v>0.806</v>
      </c>
      <c r="M1823" t="n">
        <v>0.097</v>
      </c>
    </row>
    <row r="1824" spans="1:13">
      <c r="A1824" s="1">
        <f>HYPERLINK("http://www.twitter.com/NathanBLawrence/status/976946805219962886", "976946805219962886")</f>
        <v/>
      </c>
      <c r="B1824" s="2" t="n">
        <v>43181.93105324074</v>
      </c>
      <c r="C1824" t="n">
        <v>1</v>
      </c>
      <c r="D1824" t="n">
        <v>0</v>
      </c>
      <c r="E1824" t="s">
        <v>1828</v>
      </c>
      <c r="F1824" t="s"/>
      <c r="G1824" t="s"/>
      <c r="H1824" t="s"/>
      <c r="I1824" t="s"/>
      <c r="J1824" t="n">
        <v>-0.1027</v>
      </c>
      <c r="K1824" t="n">
        <v>0.08500000000000001</v>
      </c>
      <c r="L1824" t="n">
        <v>0.915</v>
      </c>
      <c r="M1824" t="n">
        <v>0</v>
      </c>
    </row>
    <row r="1825" spans="1:13">
      <c r="A1825" s="1">
        <f>HYPERLINK("http://www.twitter.com/NathanBLawrence/status/976944267288555520", "976944267288555520")</f>
        <v/>
      </c>
      <c r="B1825" s="2" t="n">
        <v>43181.92405092593</v>
      </c>
      <c r="C1825" t="n">
        <v>0</v>
      </c>
      <c r="D1825" t="n">
        <v>3</v>
      </c>
      <c r="E1825" t="s">
        <v>1829</v>
      </c>
      <c r="F1825" t="s"/>
      <c r="G1825" t="s"/>
      <c r="H1825" t="s"/>
      <c r="I1825" t="s"/>
      <c r="J1825" t="n">
        <v>0</v>
      </c>
      <c r="K1825" t="n">
        <v>0.089</v>
      </c>
      <c r="L1825" t="n">
        <v>0.821</v>
      </c>
      <c r="M1825" t="n">
        <v>0.089</v>
      </c>
    </row>
    <row r="1826" spans="1:13">
      <c r="A1826" s="1">
        <f>HYPERLINK("http://www.twitter.com/NathanBLawrence/status/976943999272484865", "976943999272484865")</f>
        <v/>
      </c>
      <c r="B1826" s="2" t="n">
        <v>43181.92331018519</v>
      </c>
      <c r="C1826" t="n">
        <v>0</v>
      </c>
      <c r="D1826" t="n">
        <v>3</v>
      </c>
      <c r="E1826" t="s">
        <v>1830</v>
      </c>
      <c r="F1826" t="s"/>
      <c r="G1826" t="s"/>
      <c r="H1826" t="s"/>
      <c r="I1826" t="s"/>
      <c r="J1826" t="n">
        <v>0</v>
      </c>
      <c r="K1826" t="n">
        <v>0</v>
      </c>
      <c r="L1826" t="n">
        <v>1</v>
      </c>
      <c r="M1826" t="n">
        <v>0</v>
      </c>
    </row>
    <row r="1827" spans="1:13">
      <c r="A1827" s="1">
        <f>HYPERLINK("http://www.twitter.com/NathanBLawrence/status/976943225469657093", "976943225469657093")</f>
        <v/>
      </c>
      <c r="B1827" s="2" t="n">
        <v>43181.92118055555</v>
      </c>
      <c r="C1827" t="n">
        <v>0</v>
      </c>
      <c r="D1827" t="n">
        <v>1</v>
      </c>
      <c r="E1827" t="s">
        <v>1831</v>
      </c>
      <c r="F1827" t="s"/>
      <c r="G1827" t="s"/>
      <c r="H1827" t="s"/>
      <c r="I1827" t="s"/>
      <c r="J1827" t="n">
        <v>0.3612</v>
      </c>
      <c r="K1827" t="n">
        <v>0</v>
      </c>
      <c r="L1827" t="n">
        <v>0.848</v>
      </c>
      <c r="M1827" t="n">
        <v>0.152</v>
      </c>
    </row>
    <row r="1828" spans="1:13">
      <c r="A1828" s="1">
        <f>HYPERLINK("http://www.twitter.com/NathanBLawrence/status/976942945646661635", "976942945646661635")</f>
        <v/>
      </c>
      <c r="B1828" s="2" t="n">
        <v>43181.92040509259</v>
      </c>
      <c r="C1828" t="n">
        <v>0</v>
      </c>
      <c r="D1828" t="n">
        <v>8</v>
      </c>
      <c r="E1828" t="s">
        <v>1832</v>
      </c>
      <c r="F1828" t="s"/>
      <c r="G1828" t="s"/>
      <c r="H1828" t="s"/>
      <c r="I1828" t="s"/>
      <c r="J1828" t="n">
        <v>0</v>
      </c>
      <c r="K1828" t="n">
        <v>0</v>
      </c>
      <c r="L1828" t="n">
        <v>1</v>
      </c>
      <c r="M1828" t="n">
        <v>0</v>
      </c>
    </row>
    <row r="1829" spans="1:13">
      <c r="A1829" s="1">
        <f>HYPERLINK("http://www.twitter.com/NathanBLawrence/status/976942594646265857", "976942594646265857")</f>
        <v/>
      </c>
      <c r="B1829" s="2" t="n">
        <v>43181.91943287037</v>
      </c>
      <c r="C1829" t="n">
        <v>0</v>
      </c>
      <c r="D1829" t="n">
        <v>0</v>
      </c>
      <c r="E1829" t="s">
        <v>1833</v>
      </c>
      <c r="F1829" t="s"/>
      <c r="G1829" t="s"/>
      <c r="H1829" t="s"/>
      <c r="I1829" t="s"/>
      <c r="J1829" t="n">
        <v>-0.5719</v>
      </c>
      <c r="K1829" t="n">
        <v>0.649</v>
      </c>
      <c r="L1829" t="n">
        <v>0.351</v>
      </c>
      <c r="M1829" t="n">
        <v>0</v>
      </c>
    </row>
    <row r="1830" spans="1:13">
      <c r="A1830" s="1">
        <f>HYPERLINK("http://www.twitter.com/NathanBLawrence/status/976942439834505217", "976942439834505217")</f>
        <v/>
      </c>
      <c r="B1830" s="2" t="n">
        <v>43181.9190162037</v>
      </c>
      <c r="C1830" t="n">
        <v>0</v>
      </c>
      <c r="D1830" t="n">
        <v>3</v>
      </c>
      <c r="E1830" t="s">
        <v>1834</v>
      </c>
      <c r="F1830" t="s"/>
      <c r="G1830" t="s"/>
      <c r="H1830" t="s"/>
      <c r="I1830" t="s"/>
      <c r="J1830" t="n">
        <v>0</v>
      </c>
      <c r="K1830" t="n">
        <v>0</v>
      </c>
      <c r="L1830" t="n">
        <v>1</v>
      </c>
      <c r="M1830" t="n">
        <v>0</v>
      </c>
    </row>
    <row r="1831" spans="1:13">
      <c r="A1831" s="1">
        <f>HYPERLINK("http://www.twitter.com/NathanBLawrence/status/976942423950675968", "976942423950675968")</f>
        <v/>
      </c>
      <c r="B1831" s="2" t="n">
        <v>43181.9189699074</v>
      </c>
      <c r="C1831" t="n">
        <v>0</v>
      </c>
      <c r="D1831" t="n">
        <v>0</v>
      </c>
      <c r="E1831" t="s">
        <v>1835</v>
      </c>
      <c r="F1831" t="s"/>
      <c r="G1831" t="s"/>
      <c r="H1831" t="s"/>
      <c r="I1831" t="s"/>
      <c r="J1831" t="n">
        <v>0.296</v>
      </c>
      <c r="K1831" t="n">
        <v>0</v>
      </c>
      <c r="L1831" t="n">
        <v>0.761</v>
      </c>
      <c r="M1831" t="n">
        <v>0.239</v>
      </c>
    </row>
    <row r="1832" spans="1:13">
      <c r="A1832" s="1">
        <f>HYPERLINK("http://www.twitter.com/NathanBLawrence/status/976941820017041408", "976941820017041408")</f>
        <v/>
      </c>
      <c r="B1832" s="2" t="n">
        <v>43181.91730324074</v>
      </c>
      <c r="C1832" t="n">
        <v>0</v>
      </c>
      <c r="D1832" t="n">
        <v>1</v>
      </c>
      <c r="E1832" t="s">
        <v>1836</v>
      </c>
      <c r="F1832" t="s"/>
      <c r="G1832" t="s"/>
      <c r="H1832" t="s"/>
      <c r="I1832" t="s"/>
      <c r="J1832" t="n">
        <v>0.6901</v>
      </c>
      <c r="K1832" t="n">
        <v>0</v>
      </c>
      <c r="L1832" t="n">
        <v>0.778</v>
      </c>
      <c r="M1832" t="n">
        <v>0.222</v>
      </c>
    </row>
    <row r="1833" spans="1:13">
      <c r="A1833" s="1">
        <f>HYPERLINK("http://www.twitter.com/NathanBLawrence/status/976941709862014977", "976941709862014977")</f>
        <v/>
      </c>
      <c r="B1833" s="2" t="n">
        <v>43181.91699074074</v>
      </c>
      <c r="C1833" t="n">
        <v>0</v>
      </c>
      <c r="D1833" t="n">
        <v>1</v>
      </c>
      <c r="E1833" t="s">
        <v>1837</v>
      </c>
      <c r="F1833" t="s"/>
      <c r="G1833" t="s"/>
      <c r="H1833" t="s"/>
      <c r="I1833" t="s"/>
      <c r="J1833" t="n">
        <v>0.3182</v>
      </c>
      <c r="K1833" t="n">
        <v>0</v>
      </c>
      <c r="L1833" t="n">
        <v>0.881</v>
      </c>
      <c r="M1833" t="n">
        <v>0.119</v>
      </c>
    </row>
    <row r="1834" spans="1:13">
      <c r="A1834" s="1">
        <f>HYPERLINK("http://www.twitter.com/NathanBLawrence/status/976941627880169472", "976941627880169472")</f>
        <v/>
      </c>
      <c r="B1834" s="2" t="n">
        <v>43181.91677083333</v>
      </c>
      <c r="C1834" t="n">
        <v>0</v>
      </c>
      <c r="D1834" t="n">
        <v>2</v>
      </c>
      <c r="E1834" t="s">
        <v>1838</v>
      </c>
      <c r="F1834" t="s"/>
      <c r="G1834" t="s"/>
      <c r="H1834" t="s"/>
      <c r="I1834" t="s"/>
      <c r="J1834" t="n">
        <v>-0.5266999999999999</v>
      </c>
      <c r="K1834" t="n">
        <v>0.196</v>
      </c>
      <c r="L1834" t="n">
        <v>0.804</v>
      </c>
      <c r="M1834" t="n">
        <v>0</v>
      </c>
    </row>
    <row r="1835" spans="1:13">
      <c r="A1835" s="1">
        <f>HYPERLINK("http://www.twitter.com/NathanBLawrence/status/976941586625060866", "976941586625060866")</f>
        <v/>
      </c>
      <c r="B1835" s="2" t="n">
        <v>43181.91665509259</v>
      </c>
      <c r="C1835" t="n">
        <v>0</v>
      </c>
      <c r="D1835" t="n">
        <v>2</v>
      </c>
      <c r="E1835" t="s">
        <v>1839</v>
      </c>
      <c r="F1835" t="s"/>
      <c r="G1835" t="s"/>
      <c r="H1835" t="s"/>
      <c r="I1835" t="s"/>
      <c r="J1835" t="n">
        <v>-0.6114000000000001</v>
      </c>
      <c r="K1835" t="n">
        <v>0.307</v>
      </c>
      <c r="L1835" t="n">
        <v>0.6929999999999999</v>
      </c>
      <c r="M1835" t="n">
        <v>0</v>
      </c>
    </row>
    <row r="1836" spans="1:13">
      <c r="A1836" s="1">
        <f>HYPERLINK("http://www.twitter.com/NathanBLawrence/status/976941514650804224", "976941514650804224")</f>
        <v/>
      </c>
      <c r="B1836" s="2" t="n">
        <v>43181.91645833333</v>
      </c>
      <c r="C1836" t="n">
        <v>0</v>
      </c>
      <c r="D1836" t="n">
        <v>1</v>
      </c>
      <c r="E1836" t="s">
        <v>1840</v>
      </c>
      <c r="F1836" t="s"/>
      <c r="G1836" t="s"/>
      <c r="H1836" t="s"/>
      <c r="I1836" t="s"/>
      <c r="J1836" t="n">
        <v>-0.6369</v>
      </c>
      <c r="K1836" t="n">
        <v>0.222</v>
      </c>
      <c r="L1836" t="n">
        <v>0.726</v>
      </c>
      <c r="M1836" t="n">
        <v>0.052</v>
      </c>
    </row>
    <row r="1837" spans="1:13">
      <c r="A1837" s="1">
        <f>HYPERLINK("http://www.twitter.com/NathanBLawrence/status/976941340838776833", "976941340838776833")</f>
        <v/>
      </c>
      <c r="B1837" s="2" t="n">
        <v>43181.91598379629</v>
      </c>
      <c r="C1837" t="n">
        <v>0</v>
      </c>
      <c r="D1837" t="n">
        <v>1</v>
      </c>
      <c r="E1837" t="s">
        <v>1841</v>
      </c>
      <c r="F1837" t="s"/>
      <c r="G1837" t="s"/>
      <c r="H1837" t="s"/>
      <c r="I1837" t="s"/>
      <c r="J1837" t="n">
        <v>-0.3612</v>
      </c>
      <c r="K1837" t="n">
        <v>0.185</v>
      </c>
      <c r="L1837" t="n">
        <v>0.8149999999999999</v>
      </c>
      <c r="M1837" t="n">
        <v>0</v>
      </c>
    </row>
    <row r="1838" spans="1:13">
      <c r="A1838" s="1">
        <f>HYPERLINK("http://www.twitter.com/NathanBLawrence/status/976941284001804288", "976941284001804288")</f>
        <v/>
      </c>
      <c r="B1838" s="2" t="n">
        <v>43181.91582175926</v>
      </c>
      <c r="C1838" t="n">
        <v>0</v>
      </c>
      <c r="D1838" t="n">
        <v>4</v>
      </c>
      <c r="E1838" t="s">
        <v>1842</v>
      </c>
      <c r="F1838">
        <f>HYPERLINK("http://pbs.twimg.com/media/DY6rE6yWAAEDDJi.jpg", "http://pbs.twimg.com/media/DY6rE6yWAAEDDJi.jpg")</f>
        <v/>
      </c>
      <c r="G1838" t="s"/>
      <c r="H1838" t="s"/>
      <c r="I1838" t="s"/>
      <c r="J1838" t="n">
        <v>0.4939</v>
      </c>
      <c r="K1838" t="n">
        <v>0</v>
      </c>
      <c r="L1838" t="n">
        <v>0.868</v>
      </c>
      <c r="M1838" t="n">
        <v>0.132</v>
      </c>
    </row>
    <row r="1839" spans="1:13">
      <c r="A1839" s="1">
        <f>HYPERLINK("http://www.twitter.com/NathanBLawrence/status/976941200644214784", "976941200644214784")</f>
        <v/>
      </c>
      <c r="B1839" s="2" t="n">
        <v>43181.91559027778</v>
      </c>
      <c r="C1839" t="n">
        <v>0</v>
      </c>
      <c r="D1839" t="n">
        <v>1</v>
      </c>
      <c r="E1839" t="s">
        <v>1843</v>
      </c>
      <c r="F1839" t="s"/>
      <c r="G1839" t="s"/>
      <c r="H1839" t="s"/>
      <c r="I1839" t="s"/>
      <c r="J1839" t="n">
        <v>-0.3612</v>
      </c>
      <c r="K1839" t="n">
        <v>0.2</v>
      </c>
      <c r="L1839" t="n">
        <v>0.8</v>
      </c>
      <c r="M1839" t="n">
        <v>0</v>
      </c>
    </row>
    <row r="1840" spans="1:13">
      <c r="A1840" s="1">
        <f>HYPERLINK("http://www.twitter.com/NathanBLawrence/status/976941096206000129", "976941096206000129")</f>
        <v/>
      </c>
      <c r="B1840" s="2" t="n">
        <v>43181.91530092592</v>
      </c>
      <c r="C1840" t="n">
        <v>0</v>
      </c>
      <c r="D1840" t="n">
        <v>1</v>
      </c>
      <c r="E1840" t="s">
        <v>1844</v>
      </c>
      <c r="F1840" t="s"/>
      <c r="G1840" t="s"/>
      <c r="H1840" t="s"/>
      <c r="I1840" t="s"/>
      <c r="J1840" t="n">
        <v>-0.6996</v>
      </c>
      <c r="K1840" t="n">
        <v>0.194</v>
      </c>
      <c r="L1840" t="n">
        <v>0.806</v>
      </c>
      <c r="M1840" t="n">
        <v>0</v>
      </c>
    </row>
    <row r="1841" spans="1:13">
      <c r="A1841" s="1">
        <f>HYPERLINK("http://www.twitter.com/NathanBLawrence/status/976940637223309312", "976940637223309312")</f>
        <v/>
      </c>
      <c r="B1841" s="2" t="n">
        <v>43181.91403935185</v>
      </c>
      <c r="C1841" t="n">
        <v>0</v>
      </c>
      <c r="D1841" t="n">
        <v>1</v>
      </c>
      <c r="E1841" t="s">
        <v>1845</v>
      </c>
      <c r="F1841" t="s"/>
      <c r="G1841" t="s"/>
      <c r="H1841" t="s"/>
      <c r="I1841" t="s"/>
      <c r="J1841" t="n">
        <v>-0.3612</v>
      </c>
      <c r="K1841" t="n">
        <v>0.217</v>
      </c>
      <c r="L1841" t="n">
        <v>0.783</v>
      </c>
      <c r="M1841" t="n">
        <v>0</v>
      </c>
    </row>
    <row r="1842" spans="1:13">
      <c r="A1842" s="1">
        <f>HYPERLINK("http://www.twitter.com/NathanBLawrence/status/976937314885734401", "976937314885734401")</f>
        <v/>
      </c>
      <c r="B1842" s="2" t="n">
        <v>43181.90487268518</v>
      </c>
      <c r="C1842" t="n">
        <v>0</v>
      </c>
      <c r="D1842" t="n">
        <v>1</v>
      </c>
      <c r="E1842" t="s">
        <v>1846</v>
      </c>
      <c r="F1842" t="s"/>
      <c r="G1842" t="s"/>
      <c r="H1842" t="s"/>
      <c r="I1842" t="s"/>
      <c r="J1842" t="n">
        <v>-0.3182</v>
      </c>
      <c r="K1842" t="n">
        <v>0.119</v>
      </c>
      <c r="L1842" t="n">
        <v>0.881</v>
      </c>
      <c r="M1842" t="n">
        <v>0</v>
      </c>
    </row>
    <row r="1843" spans="1:13">
      <c r="A1843" s="1">
        <f>HYPERLINK("http://www.twitter.com/NathanBLawrence/status/976937186556809217", "976937186556809217")</f>
        <v/>
      </c>
      <c r="B1843" s="2" t="n">
        <v>43181.90451388889</v>
      </c>
      <c r="C1843" t="n">
        <v>0</v>
      </c>
      <c r="D1843" t="n">
        <v>2</v>
      </c>
      <c r="E1843" t="s">
        <v>1847</v>
      </c>
      <c r="F1843">
        <f>HYPERLINK("http://pbs.twimg.com/media/DY24y9_VAAArUu3.jpg", "http://pbs.twimg.com/media/DY24y9_VAAArUu3.jpg")</f>
        <v/>
      </c>
      <c r="G1843" t="s"/>
      <c r="H1843" t="s"/>
      <c r="I1843" t="s"/>
      <c r="J1843" t="n">
        <v>0</v>
      </c>
      <c r="K1843" t="n">
        <v>0</v>
      </c>
      <c r="L1843" t="n">
        <v>1</v>
      </c>
      <c r="M1843" t="n">
        <v>0</v>
      </c>
    </row>
    <row r="1844" spans="1:13">
      <c r="A1844" s="1">
        <f>HYPERLINK("http://www.twitter.com/NathanBLawrence/status/976937006294061057", "976937006294061057")</f>
        <v/>
      </c>
      <c r="B1844" s="2" t="n">
        <v>43181.90401620371</v>
      </c>
      <c r="C1844" t="n">
        <v>0</v>
      </c>
      <c r="D1844" t="n">
        <v>1</v>
      </c>
      <c r="E1844" t="s">
        <v>1848</v>
      </c>
      <c r="F1844" t="s"/>
      <c r="G1844" t="s"/>
      <c r="H1844" t="s"/>
      <c r="I1844" t="s"/>
      <c r="J1844" t="n">
        <v>0.25</v>
      </c>
      <c r="K1844" t="n">
        <v>0.066</v>
      </c>
      <c r="L1844" t="n">
        <v>0.8159999999999999</v>
      </c>
      <c r="M1844" t="n">
        <v>0.117</v>
      </c>
    </row>
    <row r="1845" spans="1:13">
      <c r="A1845" s="1">
        <f>HYPERLINK("http://www.twitter.com/NathanBLawrence/status/976936665120993280", "976936665120993280")</f>
        <v/>
      </c>
      <c r="B1845" s="2" t="n">
        <v>43181.9030787037</v>
      </c>
      <c r="C1845" t="n">
        <v>0</v>
      </c>
      <c r="D1845" t="n">
        <v>2</v>
      </c>
      <c r="E1845" t="s">
        <v>1849</v>
      </c>
      <c r="F1845" t="s"/>
      <c r="G1845" t="s"/>
      <c r="H1845" t="s"/>
      <c r="I1845" t="s"/>
      <c r="J1845" t="n">
        <v>-0.7579</v>
      </c>
      <c r="K1845" t="n">
        <v>0.247</v>
      </c>
      <c r="L1845" t="n">
        <v>0.697</v>
      </c>
      <c r="M1845" t="n">
        <v>0.056</v>
      </c>
    </row>
    <row r="1846" spans="1:13">
      <c r="A1846" s="1">
        <f>HYPERLINK("http://www.twitter.com/NathanBLawrence/status/976936304901541888", "976936304901541888")</f>
        <v/>
      </c>
      <c r="B1846" s="2" t="n">
        <v>43181.90208333333</v>
      </c>
      <c r="C1846" t="n">
        <v>1</v>
      </c>
      <c r="D1846" t="n">
        <v>0</v>
      </c>
      <c r="E1846" t="s">
        <v>1850</v>
      </c>
      <c r="F1846" t="s"/>
      <c r="G1846" t="s"/>
      <c r="H1846" t="s"/>
      <c r="I1846" t="s"/>
      <c r="J1846" t="n">
        <v>-0.8294</v>
      </c>
      <c r="K1846" t="n">
        <v>0.416</v>
      </c>
      <c r="L1846" t="n">
        <v>0.473</v>
      </c>
      <c r="M1846" t="n">
        <v>0.11</v>
      </c>
    </row>
    <row r="1847" spans="1:13">
      <c r="A1847" s="1">
        <f>HYPERLINK("http://www.twitter.com/NathanBLawrence/status/976935864822566913", "976935864822566913")</f>
        <v/>
      </c>
      <c r="B1847" s="2" t="n">
        <v>43181.90086805556</v>
      </c>
      <c r="C1847" t="n">
        <v>0</v>
      </c>
      <c r="D1847" t="n">
        <v>1</v>
      </c>
      <c r="E1847" t="s">
        <v>1851</v>
      </c>
      <c r="F1847" t="s"/>
      <c r="G1847" t="s"/>
      <c r="H1847" t="s"/>
      <c r="I1847" t="s"/>
      <c r="J1847" t="n">
        <v>0.4939</v>
      </c>
      <c r="K1847" t="n">
        <v>0</v>
      </c>
      <c r="L1847" t="n">
        <v>0.878</v>
      </c>
      <c r="M1847" t="n">
        <v>0.122</v>
      </c>
    </row>
    <row r="1848" spans="1:13">
      <c r="A1848" s="1">
        <f>HYPERLINK("http://www.twitter.com/NathanBLawrence/status/976935599549624320", "976935599549624320")</f>
        <v/>
      </c>
      <c r="B1848" s="2" t="n">
        <v>43181.90013888889</v>
      </c>
      <c r="C1848" t="n">
        <v>0</v>
      </c>
      <c r="D1848" t="n">
        <v>1</v>
      </c>
      <c r="E1848" t="s">
        <v>1852</v>
      </c>
      <c r="F1848" t="s"/>
      <c r="G1848" t="s"/>
      <c r="H1848" t="s"/>
      <c r="I1848" t="s"/>
      <c r="J1848" t="n">
        <v>0.6384</v>
      </c>
      <c r="K1848" t="n">
        <v>0</v>
      </c>
      <c r="L1848" t="n">
        <v>0.8080000000000001</v>
      </c>
      <c r="M1848" t="n">
        <v>0.192</v>
      </c>
    </row>
    <row r="1849" spans="1:13">
      <c r="A1849" s="1">
        <f>HYPERLINK("http://www.twitter.com/NathanBLawrence/status/976935464530796548", "976935464530796548")</f>
        <v/>
      </c>
      <c r="B1849" s="2" t="n">
        <v>43181.89975694445</v>
      </c>
      <c r="C1849" t="n">
        <v>0</v>
      </c>
      <c r="D1849" t="n">
        <v>2</v>
      </c>
      <c r="E1849" t="s">
        <v>1853</v>
      </c>
      <c r="F1849">
        <f>HYPERLINK("http://pbs.twimg.com/media/DY6WXEuWAAAKD-2.jpg", "http://pbs.twimg.com/media/DY6WXEuWAAAKD-2.jpg")</f>
        <v/>
      </c>
      <c r="G1849" t="s"/>
      <c r="H1849" t="s"/>
      <c r="I1849" t="s"/>
      <c r="J1849" t="n">
        <v>0</v>
      </c>
      <c r="K1849" t="n">
        <v>0</v>
      </c>
      <c r="L1849" t="n">
        <v>1</v>
      </c>
      <c r="M1849" t="n">
        <v>0</v>
      </c>
    </row>
    <row r="1850" spans="1:13">
      <c r="A1850" s="1">
        <f>HYPERLINK("http://www.twitter.com/NathanBLawrence/status/976931998504800256", "976931998504800256")</f>
        <v/>
      </c>
      <c r="B1850" s="2" t="n">
        <v>43181.89019675926</v>
      </c>
      <c r="C1850" t="n">
        <v>0</v>
      </c>
      <c r="D1850" t="n">
        <v>0</v>
      </c>
      <c r="E1850" t="s">
        <v>1854</v>
      </c>
      <c r="F1850" t="s"/>
      <c r="G1850" t="s"/>
      <c r="H1850" t="s"/>
      <c r="I1850" t="s"/>
      <c r="J1850" t="n">
        <v>0</v>
      </c>
      <c r="K1850" t="n">
        <v>0</v>
      </c>
      <c r="L1850" t="n">
        <v>1</v>
      </c>
      <c r="M1850" t="n">
        <v>0</v>
      </c>
    </row>
    <row r="1851" spans="1:13">
      <c r="A1851" s="1">
        <f>HYPERLINK("http://www.twitter.com/NathanBLawrence/status/976931812193730560", "976931812193730560")</f>
        <v/>
      </c>
      <c r="B1851" s="2" t="n">
        <v>43181.8896875</v>
      </c>
      <c r="C1851" t="n">
        <v>3</v>
      </c>
      <c r="D1851" t="n">
        <v>0</v>
      </c>
      <c r="E1851" t="s">
        <v>1855</v>
      </c>
      <c r="F1851" t="s"/>
      <c r="G1851" t="s"/>
      <c r="H1851" t="s"/>
      <c r="I1851" t="s"/>
      <c r="J1851" t="n">
        <v>0.1</v>
      </c>
      <c r="K1851" t="n">
        <v>0.08400000000000001</v>
      </c>
      <c r="L1851" t="n">
        <v>0.8149999999999999</v>
      </c>
      <c r="M1851" t="n">
        <v>0.101</v>
      </c>
    </row>
    <row r="1852" spans="1:13">
      <c r="A1852" s="1">
        <f>HYPERLINK("http://www.twitter.com/NathanBLawrence/status/976646725367750657", "976646725367750657")</f>
        <v/>
      </c>
      <c r="B1852" s="2" t="n">
        <v>43181.10299768519</v>
      </c>
      <c r="C1852" t="n">
        <v>0</v>
      </c>
      <c r="D1852" t="n">
        <v>0</v>
      </c>
      <c r="E1852" t="s">
        <v>1856</v>
      </c>
      <c r="F1852" t="s"/>
      <c r="G1852" t="s"/>
      <c r="H1852" t="s"/>
      <c r="I1852" t="s"/>
      <c r="J1852" t="n">
        <v>0</v>
      </c>
      <c r="K1852" t="n">
        <v>0</v>
      </c>
      <c r="L1852" t="n">
        <v>1</v>
      </c>
      <c r="M1852" t="n">
        <v>0</v>
      </c>
    </row>
    <row r="1853" spans="1:13">
      <c r="A1853" s="1">
        <f>HYPERLINK("http://www.twitter.com/NathanBLawrence/status/976646263415496704", "976646263415496704")</f>
        <v/>
      </c>
      <c r="B1853" s="2" t="n">
        <v>43181.10172453704</v>
      </c>
      <c r="C1853" t="n">
        <v>0</v>
      </c>
      <c r="D1853" t="n">
        <v>0</v>
      </c>
      <c r="E1853" t="s">
        <v>1857</v>
      </c>
      <c r="F1853" t="s"/>
      <c r="G1853" t="s"/>
      <c r="H1853" t="s"/>
      <c r="I1853" t="s"/>
      <c r="J1853" t="n">
        <v>-0.4019</v>
      </c>
      <c r="K1853" t="n">
        <v>0.125</v>
      </c>
      <c r="L1853" t="n">
        <v>0.875</v>
      </c>
      <c r="M1853" t="n">
        <v>0</v>
      </c>
    </row>
    <row r="1854" spans="1:13">
      <c r="A1854" s="1">
        <f>HYPERLINK("http://www.twitter.com/NathanBLawrence/status/976612880291454976", "976612880291454976")</f>
        <v/>
      </c>
      <c r="B1854" s="2" t="n">
        <v>43181.00959490741</v>
      </c>
      <c r="C1854" t="n">
        <v>0</v>
      </c>
      <c r="D1854" t="n">
        <v>3</v>
      </c>
      <c r="E1854" t="s">
        <v>1858</v>
      </c>
      <c r="F1854" t="s"/>
      <c r="G1854" t="s"/>
      <c r="H1854" t="s"/>
      <c r="I1854" t="s"/>
      <c r="J1854" t="n">
        <v>-0.34</v>
      </c>
      <c r="K1854" t="n">
        <v>0.156</v>
      </c>
      <c r="L1854" t="n">
        <v>0.844</v>
      </c>
      <c r="M1854" t="n">
        <v>0</v>
      </c>
    </row>
    <row r="1855" spans="1:13">
      <c r="A1855" s="1">
        <f>HYPERLINK("http://www.twitter.com/NathanBLawrence/status/976612542201192451", "976612542201192451")</f>
        <v/>
      </c>
      <c r="B1855" s="2" t="n">
        <v>43181.00866898148</v>
      </c>
      <c r="C1855" t="n">
        <v>0</v>
      </c>
      <c r="D1855" t="n">
        <v>1</v>
      </c>
      <c r="E1855" t="s">
        <v>1859</v>
      </c>
      <c r="F1855" t="s"/>
      <c r="G1855" t="s"/>
      <c r="H1855" t="s"/>
      <c r="I1855" t="s"/>
      <c r="J1855" t="n">
        <v>-0.5574</v>
      </c>
      <c r="K1855" t="n">
        <v>0.236</v>
      </c>
      <c r="L1855" t="n">
        <v>0.696</v>
      </c>
      <c r="M1855" t="n">
        <v>0.068</v>
      </c>
    </row>
    <row r="1856" spans="1:13">
      <c r="A1856" s="1">
        <f>HYPERLINK("http://www.twitter.com/NathanBLawrence/status/976612469513904128", "976612469513904128")</f>
        <v/>
      </c>
      <c r="B1856" s="2" t="n">
        <v>43181.00846064815</v>
      </c>
      <c r="C1856" t="n">
        <v>1</v>
      </c>
      <c r="D1856" t="n">
        <v>0</v>
      </c>
      <c r="E1856" t="s">
        <v>1860</v>
      </c>
      <c r="F1856" t="s"/>
      <c r="G1856" t="s"/>
      <c r="H1856" t="s"/>
      <c r="I1856" t="s"/>
      <c r="J1856" t="n">
        <v>0</v>
      </c>
      <c r="K1856" t="n">
        <v>0</v>
      </c>
      <c r="L1856" t="n">
        <v>1</v>
      </c>
      <c r="M1856" t="n">
        <v>0</v>
      </c>
    </row>
    <row r="1857" spans="1:13">
      <c r="A1857" s="1">
        <f>HYPERLINK("http://www.twitter.com/NathanBLawrence/status/976611201160491008", "976611201160491008")</f>
        <v/>
      </c>
      <c r="B1857" s="2" t="n">
        <v>43181.00496527777</v>
      </c>
      <c r="C1857" t="n">
        <v>0</v>
      </c>
      <c r="D1857" t="n">
        <v>1</v>
      </c>
      <c r="E1857" t="s">
        <v>1861</v>
      </c>
      <c r="F1857" t="s"/>
      <c r="G1857" t="s"/>
      <c r="H1857" t="s"/>
      <c r="I1857" t="s"/>
      <c r="J1857" t="n">
        <v>0</v>
      </c>
      <c r="K1857" t="n">
        <v>0</v>
      </c>
      <c r="L1857" t="n">
        <v>1</v>
      </c>
      <c r="M1857" t="n">
        <v>0</v>
      </c>
    </row>
    <row r="1858" spans="1:13">
      <c r="A1858" s="1">
        <f>HYPERLINK("http://www.twitter.com/NathanBLawrence/status/976611152217198593", "976611152217198593")</f>
        <v/>
      </c>
      <c r="B1858" s="2" t="n">
        <v>43181.00482638889</v>
      </c>
      <c r="C1858" t="n">
        <v>0</v>
      </c>
      <c r="D1858" t="n">
        <v>1</v>
      </c>
      <c r="E1858" t="s">
        <v>1862</v>
      </c>
      <c r="F1858" t="s"/>
      <c r="G1858" t="s"/>
      <c r="H1858" t="s"/>
      <c r="I1858" t="s"/>
      <c r="J1858" t="n">
        <v>-0.4002</v>
      </c>
      <c r="K1858" t="n">
        <v>0.222</v>
      </c>
      <c r="L1858" t="n">
        <v>0.611</v>
      </c>
      <c r="M1858" t="n">
        <v>0.167</v>
      </c>
    </row>
    <row r="1859" spans="1:13">
      <c r="A1859" s="1">
        <f>HYPERLINK("http://www.twitter.com/NathanBLawrence/status/976611118016811008", "976611118016811008")</f>
        <v/>
      </c>
      <c r="B1859" s="2" t="n">
        <v>43181.0047337963</v>
      </c>
      <c r="C1859" t="n">
        <v>0</v>
      </c>
      <c r="D1859" t="n">
        <v>2</v>
      </c>
      <c r="E1859" t="s">
        <v>1863</v>
      </c>
      <c r="F1859" t="s"/>
      <c r="G1859" t="s"/>
      <c r="H1859" t="s"/>
      <c r="I1859" t="s"/>
      <c r="J1859" t="n">
        <v>0.7096</v>
      </c>
      <c r="K1859" t="n">
        <v>0</v>
      </c>
      <c r="L1859" t="n">
        <v>0.763</v>
      </c>
      <c r="M1859" t="n">
        <v>0.237</v>
      </c>
    </row>
    <row r="1860" spans="1:13">
      <c r="A1860" s="1">
        <f>HYPERLINK("http://www.twitter.com/NathanBLawrence/status/976611020289568768", "976611020289568768")</f>
        <v/>
      </c>
      <c r="B1860" s="2" t="n">
        <v>43181.00446759259</v>
      </c>
      <c r="C1860" t="n">
        <v>0</v>
      </c>
      <c r="D1860" t="n">
        <v>3</v>
      </c>
      <c r="E1860" t="s">
        <v>1864</v>
      </c>
      <c r="F1860" t="s"/>
      <c r="G1860" t="s"/>
      <c r="H1860" t="s"/>
      <c r="I1860" t="s"/>
      <c r="J1860" t="n">
        <v>0.4019</v>
      </c>
      <c r="K1860" t="n">
        <v>0</v>
      </c>
      <c r="L1860" t="n">
        <v>0.895</v>
      </c>
      <c r="M1860" t="n">
        <v>0.105</v>
      </c>
    </row>
    <row r="1861" spans="1:13">
      <c r="A1861" s="1">
        <f>HYPERLINK("http://www.twitter.com/NathanBLawrence/status/976610801669861376", "976610801669861376")</f>
        <v/>
      </c>
      <c r="B1861" s="2" t="n">
        <v>43181.00386574074</v>
      </c>
      <c r="C1861" t="n">
        <v>0</v>
      </c>
      <c r="D1861" t="n">
        <v>4</v>
      </c>
      <c r="E1861" t="s">
        <v>1865</v>
      </c>
      <c r="F1861" t="s"/>
      <c r="G1861" t="s"/>
      <c r="H1861" t="s"/>
      <c r="I1861" t="s"/>
      <c r="J1861" t="n">
        <v>0.7806</v>
      </c>
      <c r="K1861" t="n">
        <v>0.096</v>
      </c>
      <c r="L1861" t="n">
        <v>0.586</v>
      </c>
      <c r="M1861" t="n">
        <v>0.318</v>
      </c>
    </row>
    <row r="1862" spans="1:13">
      <c r="A1862" s="1">
        <f>HYPERLINK("http://www.twitter.com/NathanBLawrence/status/976610657490690048", "976610657490690048")</f>
        <v/>
      </c>
      <c r="B1862" s="2" t="n">
        <v>43181.00346064815</v>
      </c>
      <c r="C1862" t="n">
        <v>0</v>
      </c>
      <c r="D1862" t="n">
        <v>8</v>
      </c>
      <c r="E1862" t="s">
        <v>1866</v>
      </c>
      <c r="F1862" t="s"/>
      <c r="G1862" t="s"/>
      <c r="H1862" t="s"/>
      <c r="I1862" t="s"/>
      <c r="J1862" t="n">
        <v>-0.8807</v>
      </c>
      <c r="K1862" t="n">
        <v>0.362</v>
      </c>
      <c r="L1862" t="n">
        <v>0.597</v>
      </c>
      <c r="M1862" t="n">
        <v>0.041</v>
      </c>
    </row>
    <row r="1863" spans="1:13">
      <c r="A1863" s="1">
        <f>HYPERLINK("http://www.twitter.com/NathanBLawrence/status/976610515580608512", "976610515580608512")</f>
        <v/>
      </c>
      <c r="B1863" s="2" t="n">
        <v>43181.0030787037</v>
      </c>
      <c r="C1863" t="n">
        <v>1</v>
      </c>
      <c r="D1863" t="n">
        <v>0</v>
      </c>
      <c r="E1863" t="s">
        <v>1867</v>
      </c>
      <c r="F1863" t="s"/>
      <c r="G1863" t="s"/>
      <c r="H1863" t="s"/>
      <c r="I1863" t="s"/>
      <c r="J1863" t="n">
        <v>0</v>
      </c>
      <c r="K1863" t="n">
        <v>0</v>
      </c>
      <c r="L1863" t="n">
        <v>1</v>
      </c>
      <c r="M1863" t="n">
        <v>0</v>
      </c>
    </row>
    <row r="1864" spans="1:13">
      <c r="A1864" s="1">
        <f>HYPERLINK("http://www.twitter.com/NathanBLawrence/status/976610369245536256", "976610369245536256")</f>
        <v/>
      </c>
      <c r="B1864" s="2" t="n">
        <v>43181.00267361111</v>
      </c>
      <c r="C1864" t="n">
        <v>0</v>
      </c>
      <c r="D1864" t="n">
        <v>6</v>
      </c>
      <c r="E1864" t="s">
        <v>1868</v>
      </c>
      <c r="F1864" t="s"/>
      <c r="G1864" t="s"/>
      <c r="H1864" t="s"/>
      <c r="I1864" t="s"/>
      <c r="J1864" t="n">
        <v>0.7351</v>
      </c>
      <c r="K1864" t="n">
        <v>0.077</v>
      </c>
      <c r="L1864" t="n">
        <v>0.629</v>
      </c>
      <c r="M1864" t="n">
        <v>0.294</v>
      </c>
    </row>
    <row r="1865" spans="1:13">
      <c r="A1865" s="1">
        <f>HYPERLINK("http://www.twitter.com/NathanBLawrence/status/976610290266763268", "976610290266763268")</f>
        <v/>
      </c>
      <c r="B1865" s="2" t="n">
        <v>43181.0024537037</v>
      </c>
      <c r="C1865" t="n">
        <v>0</v>
      </c>
      <c r="D1865" t="n">
        <v>0</v>
      </c>
      <c r="E1865" t="s">
        <v>1869</v>
      </c>
      <c r="F1865" t="s"/>
      <c r="G1865" t="s"/>
      <c r="H1865" t="s"/>
      <c r="I1865" t="s"/>
      <c r="J1865" t="n">
        <v>0</v>
      </c>
      <c r="K1865" t="n">
        <v>0</v>
      </c>
      <c r="L1865" t="n">
        <v>1</v>
      </c>
      <c r="M1865" t="n">
        <v>0</v>
      </c>
    </row>
    <row r="1866" spans="1:13">
      <c r="A1866" s="1">
        <f>HYPERLINK("http://www.twitter.com/NathanBLawrence/status/976610219529777152", "976610219529777152")</f>
        <v/>
      </c>
      <c r="B1866" s="2" t="n">
        <v>43181.00225694444</v>
      </c>
      <c r="C1866" t="n">
        <v>0</v>
      </c>
      <c r="D1866" t="n">
        <v>5</v>
      </c>
      <c r="E1866" t="s">
        <v>1870</v>
      </c>
      <c r="F1866" t="s"/>
      <c r="G1866" t="s"/>
      <c r="H1866" t="s"/>
      <c r="I1866" t="s"/>
      <c r="J1866" t="n">
        <v>0.9201</v>
      </c>
      <c r="K1866" t="n">
        <v>0</v>
      </c>
      <c r="L1866" t="n">
        <v>0.627</v>
      </c>
      <c r="M1866" t="n">
        <v>0.373</v>
      </c>
    </row>
    <row r="1867" spans="1:13">
      <c r="A1867" s="1">
        <f>HYPERLINK("http://www.twitter.com/NathanBLawrence/status/976610129859706885", "976610129859706885")</f>
        <v/>
      </c>
      <c r="B1867" s="2" t="n">
        <v>43181.00201388889</v>
      </c>
      <c r="C1867" t="n">
        <v>0</v>
      </c>
      <c r="D1867" t="n">
        <v>8</v>
      </c>
      <c r="E1867" t="s">
        <v>1871</v>
      </c>
      <c r="F1867" t="s"/>
      <c r="G1867" t="s"/>
      <c r="H1867" t="s"/>
      <c r="I1867" t="s"/>
      <c r="J1867" t="n">
        <v>-0.7096</v>
      </c>
      <c r="K1867" t="n">
        <v>0.291</v>
      </c>
      <c r="L1867" t="n">
        <v>0.607</v>
      </c>
      <c r="M1867" t="n">
        <v>0.102</v>
      </c>
    </row>
    <row r="1868" spans="1:13">
      <c r="A1868" s="1">
        <f>HYPERLINK("http://www.twitter.com/NathanBLawrence/status/976610002822750208", "976610002822750208")</f>
        <v/>
      </c>
      <c r="B1868" s="2" t="n">
        <v>43181.00165509259</v>
      </c>
      <c r="C1868" t="n">
        <v>0</v>
      </c>
      <c r="D1868" t="n">
        <v>0</v>
      </c>
      <c r="E1868" t="s">
        <v>1872</v>
      </c>
      <c r="F1868" t="s"/>
      <c r="G1868" t="s"/>
      <c r="H1868" t="s"/>
      <c r="I1868" t="s"/>
      <c r="J1868" t="n">
        <v>0.1779</v>
      </c>
      <c r="K1868" t="n">
        <v>0</v>
      </c>
      <c r="L1868" t="n">
        <v>0.825</v>
      </c>
      <c r="M1868" t="n">
        <v>0.175</v>
      </c>
    </row>
    <row r="1869" spans="1:13">
      <c r="A1869" s="1">
        <f>HYPERLINK("http://www.twitter.com/NathanBLawrence/status/976609599603257347", "976609599603257347")</f>
        <v/>
      </c>
      <c r="B1869" s="2" t="n">
        <v>43181.00054398148</v>
      </c>
      <c r="C1869" t="n">
        <v>0</v>
      </c>
      <c r="D1869" t="n">
        <v>11</v>
      </c>
      <c r="E1869" t="s">
        <v>1873</v>
      </c>
      <c r="F1869" t="s"/>
      <c r="G1869" t="s"/>
      <c r="H1869" t="s"/>
      <c r="I1869" t="s"/>
      <c r="J1869" t="n">
        <v>0.1911</v>
      </c>
      <c r="K1869" t="n">
        <v>0.21</v>
      </c>
      <c r="L1869" t="n">
        <v>0.547</v>
      </c>
      <c r="M1869" t="n">
        <v>0.242</v>
      </c>
    </row>
    <row r="1870" spans="1:13">
      <c r="A1870" s="1">
        <f>HYPERLINK("http://www.twitter.com/NathanBLawrence/status/976609559203762178", "976609559203762178")</f>
        <v/>
      </c>
      <c r="B1870" s="2" t="n">
        <v>43181.00043981482</v>
      </c>
      <c r="C1870" t="n">
        <v>0</v>
      </c>
      <c r="D1870" t="n">
        <v>0</v>
      </c>
      <c r="E1870" t="s">
        <v>1874</v>
      </c>
      <c r="F1870" t="s"/>
      <c r="G1870" t="s"/>
      <c r="H1870" t="s"/>
      <c r="I1870" t="s"/>
      <c r="J1870" t="n">
        <v>-0.6124000000000001</v>
      </c>
      <c r="K1870" t="n">
        <v>0.267</v>
      </c>
      <c r="L1870" t="n">
        <v>0.733</v>
      </c>
      <c r="M1870" t="n">
        <v>0</v>
      </c>
    </row>
    <row r="1871" spans="1:13">
      <c r="A1871" s="1">
        <f>HYPERLINK("http://www.twitter.com/NathanBLawrence/status/976609358468599809", "976609358468599809")</f>
        <v/>
      </c>
      <c r="B1871" s="2" t="n">
        <v>43180.99988425926</v>
      </c>
      <c r="C1871" t="n">
        <v>0</v>
      </c>
      <c r="D1871" t="n">
        <v>8</v>
      </c>
      <c r="E1871" t="s">
        <v>1875</v>
      </c>
      <c r="F1871" t="s"/>
      <c r="G1871" t="s"/>
      <c r="H1871" t="s"/>
      <c r="I1871" t="s"/>
      <c r="J1871" t="n">
        <v>-0.7236</v>
      </c>
      <c r="K1871" t="n">
        <v>0.315</v>
      </c>
      <c r="L1871" t="n">
        <v>0.6850000000000001</v>
      </c>
      <c r="M1871" t="n">
        <v>0</v>
      </c>
    </row>
    <row r="1872" spans="1:13">
      <c r="A1872" s="1">
        <f>HYPERLINK("http://www.twitter.com/NathanBLawrence/status/976609317418930176", "976609317418930176")</f>
        <v/>
      </c>
      <c r="B1872" s="2" t="n">
        <v>43180.99976851852</v>
      </c>
      <c r="C1872" t="n">
        <v>1</v>
      </c>
      <c r="D1872" t="n">
        <v>0</v>
      </c>
      <c r="E1872" t="s">
        <v>1876</v>
      </c>
      <c r="F1872" t="s"/>
      <c r="G1872" t="s"/>
      <c r="H1872" t="s"/>
      <c r="I1872" t="s"/>
      <c r="J1872" t="n">
        <v>0.6808</v>
      </c>
      <c r="K1872" t="n">
        <v>0.091</v>
      </c>
      <c r="L1872" t="n">
        <v>0.584</v>
      </c>
      <c r="M1872" t="n">
        <v>0.325</v>
      </c>
    </row>
    <row r="1873" spans="1:13">
      <c r="A1873" s="1">
        <f>HYPERLINK("http://www.twitter.com/NathanBLawrence/status/976609153408995328", "976609153408995328")</f>
        <v/>
      </c>
      <c r="B1873" s="2" t="n">
        <v>43180.99931712963</v>
      </c>
      <c r="C1873" t="n">
        <v>0</v>
      </c>
      <c r="D1873" t="n">
        <v>13</v>
      </c>
      <c r="E1873" t="s">
        <v>1877</v>
      </c>
      <c r="F1873" t="s"/>
      <c r="G1873" t="s"/>
      <c r="H1873" t="s"/>
      <c r="I1873" t="s"/>
      <c r="J1873" t="n">
        <v>-0.7506</v>
      </c>
      <c r="K1873" t="n">
        <v>0.302</v>
      </c>
      <c r="L1873" t="n">
        <v>0.62</v>
      </c>
      <c r="M1873" t="n">
        <v>0.079</v>
      </c>
    </row>
    <row r="1874" spans="1:13">
      <c r="A1874" s="1">
        <f>HYPERLINK("http://www.twitter.com/NathanBLawrence/status/976609080667262976", "976609080667262976")</f>
        <v/>
      </c>
      <c r="B1874" s="2" t="n">
        <v>43180.99912037037</v>
      </c>
      <c r="C1874" t="n">
        <v>0</v>
      </c>
      <c r="D1874" t="n">
        <v>6</v>
      </c>
      <c r="E1874" t="s">
        <v>1878</v>
      </c>
      <c r="F1874" t="s"/>
      <c r="G1874" t="s"/>
      <c r="H1874" t="s"/>
      <c r="I1874" t="s"/>
      <c r="J1874" t="n">
        <v>-0.0387</v>
      </c>
      <c r="K1874" t="n">
        <v>0.055</v>
      </c>
      <c r="L1874" t="n">
        <v>0.895</v>
      </c>
      <c r="M1874" t="n">
        <v>0.05</v>
      </c>
    </row>
    <row r="1875" spans="1:13">
      <c r="A1875" s="1">
        <f>HYPERLINK("http://www.twitter.com/NathanBLawrence/status/976609024069300224", "976609024069300224")</f>
        <v/>
      </c>
      <c r="B1875" s="2" t="n">
        <v>43180.99895833333</v>
      </c>
      <c r="C1875" t="n">
        <v>0</v>
      </c>
      <c r="D1875" t="n">
        <v>0</v>
      </c>
      <c r="E1875" t="s">
        <v>1879</v>
      </c>
      <c r="F1875" t="s"/>
      <c r="G1875" t="s"/>
      <c r="H1875" t="s"/>
      <c r="I1875" t="s"/>
      <c r="J1875" t="n">
        <v>0</v>
      </c>
      <c r="K1875" t="n">
        <v>0</v>
      </c>
      <c r="L1875" t="n">
        <v>1</v>
      </c>
      <c r="M1875" t="n">
        <v>0</v>
      </c>
    </row>
    <row r="1876" spans="1:13">
      <c r="A1876" s="1">
        <f>HYPERLINK("http://www.twitter.com/NathanBLawrence/status/976608915801636865", "976608915801636865")</f>
        <v/>
      </c>
      <c r="B1876" s="2" t="n">
        <v>43180.99865740741</v>
      </c>
      <c r="C1876" t="n">
        <v>0</v>
      </c>
      <c r="D1876" t="n">
        <v>26</v>
      </c>
      <c r="E1876" t="s">
        <v>1880</v>
      </c>
      <c r="F1876" t="s"/>
      <c r="G1876" t="s"/>
      <c r="H1876" t="s"/>
      <c r="I1876" t="s"/>
      <c r="J1876" t="n">
        <v>0.4215</v>
      </c>
      <c r="K1876" t="n">
        <v>0.092</v>
      </c>
      <c r="L1876" t="n">
        <v>0.724</v>
      </c>
      <c r="M1876" t="n">
        <v>0.184</v>
      </c>
    </row>
    <row r="1877" spans="1:13">
      <c r="A1877" s="1">
        <f>HYPERLINK("http://www.twitter.com/NathanBLawrence/status/976608861984624640", "976608861984624640")</f>
        <v/>
      </c>
      <c r="B1877" s="2" t="n">
        <v>43180.99850694444</v>
      </c>
      <c r="C1877" t="n">
        <v>0</v>
      </c>
      <c r="D1877" t="n">
        <v>0</v>
      </c>
      <c r="E1877" t="s">
        <v>1881</v>
      </c>
      <c r="F1877" t="s"/>
      <c r="G1877" t="s"/>
      <c r="H1877" t="s"/>
      <c r="I1877" t="s"/>
      <c r="J1877" t="n">
        <v>0</v>
      </c>
      <c r="K1877" t="n">
        <v>0</v>
      </c>
      <c r="L1877" t="n">
        <v>1</v>
      </c>
      <c r="M1877" t="n">
        <v>0</v>
      </c>
    </row>
    <row r="1878" spans="1:13">
      <c r="A1878" s="1">
        <f>HYPERLINK("http://www.twitter.com/NathanBLawrence/status/976608577178816513", "976608577178816513")</f>
        <v/>
      </c>
      <c r="B1878" s="2" t="n">
        <v>43180.99771990741</v>
      </c>
      <c r="C1878" t="n">
        <v>0</v>
      </c>
      <c r="D1878" t="n">
        <v>0</v>
      </c>
      <c r="E1878" t="s">
        <v>1882</v>
      </c>
      <c r="F1878" t="s"/>
      <c r="G1878" t="s"/>
      <c r="H1878" t="s"/>
      <c r="I1878" t="s"/>
      <c r="J1878" t="n">
        <v>-0.5423</v>
      </c>
      <c r="K1878" t="n">
        <v>0.2</v>
      </c>
      <c r="L1878" t="n">
        <v>0.8</v>
      </c>
      <c r="M1878" t="n">
        <v>0</v>
      </c>
    </row>
    <row r="1879" spans="1:13">
      <c r="A1879" s="1">
        <f>HYPERLINK("http://www.twitter.com/NathanBLawrence/status/976608247313567744", "976608247313567744")</f>
        <v/>
      </c>
      <c r="B1879" s="2" t="n">
        <v>43180.99681712963</v>
      </c>
      <c r="C1879" t="n">
        <v>2</v>
      </c>
      <c r="D1879" t="n">
        <v>0</v>
      </c>
      <c r="E1879" t="s">
        <v>1883</v>
      </c>
      <c r="F1879" t="s"/>
      <c r="G1879" t="s"/>
      <c r="H1879" t="s"/>
      <c r="I1879" t="s"/>
      <c r="J1879" t="n">
        <v>0</v>
      </c>
      <c r="K1879" t="n">
        <v>0</v>
      </c>
      <c r="L1879" t="n">
        <v>1</v>
      </c>
      <c r="M1879" t="n">
        <v>0</v>
      </c>
    </row>
    <row r="1880" spans="1:13">
      <c r="A1880" s="1">
        <f>HYPERLINK("http://www.twitter.com/NathanBLawrence/status/976608160977969152", "976608160977969152")</f>
        <v/>
      </c>
      <c r="B1880" s="2" t="n">
        <v>43180.99657407407</v>
      </c>
      <c r="C1880" t="n">
        <v>0</v>
      </c>
      <c r="D1880" t="n">
        <v>19</v>
      </c>
      <c r="E1880" t="s">
        <v>1884</v>
      </c>
      <c r="F1880" t="s"/>
      <c r="G1880" t="s"/>
      <c r="H1880" t="s"/>
      <c r="I1880" t="s"/>
      <c r="J1880" t="n">
        <v>-0.8316</v>
      </c>
      <c r="K1880" t="n">
        <v>0.314</v>
      </c>
      <c r="L1880" t="n">
        <v>0.61</v>
      </c>
      <c r="M1880" t="n">
        <v>0.076</v>
      </c>
    </row>
    <row r="1881" spans="1:13">
      <c r="A1881" s="1">
        <f>HYPERLINK("http://www.twitter.com/NathanBLawrence/status/976608115507564545", "976608115507564545")</f>
        <v/>
      </c>
      <c r="B1881" s="2" t="n">
        <v>43180.99644675926</v>
      </c>
      <c r="C1881" t="n">
        <v>0</v>
      </c>
      <c r="D1881" t="n">
        <v>22</v>
      </c>
      <c r="E1881" t="s">
        <v>1885</v>
      </c>
      <c r="F1881" t="s"/>
      <c r="G1881" t="s"/>
      <c r="H1881" t="s"/>
      <c r="I1881" t="s"/>
      <c r="J1881" t="n">
        <v>0.1655</v>
      </c>
      <c r="K1881" t="n">
        <v>0.134</v>
      </c>
      <c r="L1881" t="n">
        <v>0.745</v>
      </c>
      <c r="M1881" t="n">
        <v>0.121</v>
      </c>
    </row>
    <row r="1882" spans="1:13">
      <c r="A1882" s="1">
        <f>HYPERLINK("http://www.twitter.com/NathanBLawrence/status/976608031793393664", "976608031793393664")</f>
        <v/>
      </c>
      <c r="B1882" s="2" t="n">
        <v>43180.99621527778</v>
      </c>
      <c r="C1882" t="n">
        <v>1</v>
      </c>
      <c r="D1882" t="n">
        <v>0</v>
      </c>
      <c r="E1882" t="s">
        <v>1886</v>
      </c>
      <c r="F1882" t="s"/>
      <c r="G1882" t="s"/>
      <c r="H1882" t="s"/>
      <c r="I1882" t="s"/>
      <c r="J1882" t="n">
        <v>0</v>
      </c>
      <c r="K1882" t="n">
        <v>0</v>
      </c>
      <c r="L1882" t="n">
        <v>1</v>
      </c>
      <c r="M1882" t="n">
        <v>0</v>
      </c>
    </row>
    <row r="1883" spans="1:13">
      <c r="A1883" s="1">
        <f>HYPERLINK("http://www.twitter.com/NathanBLawrence/status/976606550017101824", "976606550017101824")</f>
        <v/>
      </c>
      <c r="B1883" s="2" t="n">
        <v>43180.99212962963</v>
      </c>
      <c r="C1883" t="n">
        <v>0</v>
      </c>
      <c r="D1883" t="n">
        <v>3</v>
      </c>
      <c r="E1883" t="s">
        <v>1887</v>
      </c>
      <c r="F1883" t="s"/>
      <c r="G1883" t="s"/>
      <c r="H1883" t="s"/>
      <c r="I1883" t="s"/>
      <c r="J1883" t="n">
        <v>0.6249</v>
      </c>
      <c r="K1883" t="n">
        <v>0</v>
      </c>
      <c r="L1883" t="n">
        <v>0.76</v>
      </c>
      <c r="M1883" t="n">
        <v>0.24</v>
      </c>
    </row>
    <row r="1884" spans="1:13">
      <c r="A1884" s="1">
        <f>HYPERLINK("http://www.twitter.com/NathanBLawrence/status/976606409507901441", "976606409507901441")</f>
        <v/>
      </c>
      <c r="B1884" s="2" t="n">
        <v>43180.99174768518</v>
      </c>
      <c r="C1884" t="n">
        <v>0</v>
      </c>
      <c r="D1884" t="n">
        <v>5</v>
      </c>
      <c r="E1884" t="s">
        <v>1888</v>
      </c>
      <c r="F1884" t="s"/>
      <c r="G1884" t="s"/>
      <c r="H1884" t="s"/>
      <c r="I1884" t="s"/>
      <c r="J1884" t="n">
        <v>0</v>
      </c>
      <c r="K1884" t="n">
        <v>0</v>
      </c>
      <c r="L1884" t="n">
        <v>1</v>
      </c>
      <c r="M1884" t="n">
        <v>0</v>
      </c>
    </row>
    <row r="1885" spans="1:13">
      <c r="A1885" s="1">
        <f>HYPERLINK("http://www.twitter.com/NathanBLawrence/status/976606171963543552", "976606171963543552")</f>
        <v/>
      </c>
      <c r="B1885" s="2" t="n">
        <v>43180.99108796296</v>
      </c>
      <c r="C1885" t="n">
        <v>0</v>
      </c>
      <c r="D1885" t="n">
        <v>6</v>
      </c>
      <c r="E1885" t="s">
        <v>1889</v>
      </c>
      <c r="F1885" t="s"/>
      <c r="G1885" t="s"/>
      <c r="H1885" t="s"/>
      <c r="I1885" t="s"/>
      <c r="J1885" t="n">
        <v>0</v>
      </c>
      <c r="K1885" t="n">
        <v>0</v>
      </c>
      <c r="L1885" t="n">
        <v>1</v>
      </c>
      <c r="M1885" t="n">
        <v>0</v>
      </c>
    </row>
    <row r="1886" spans="1:13">
      <c r="A1886" s="1">
        <f>HYPERLINK("http://www.twitter.com/NathanBLawrence/status/976605384294113281", "976605384294113281")</f>
        <v/>
      </c>
      <c r="B1886" s="2" t="n">
        <v>43180.98891203704</v>
      </c>
      <c r="C1886" t="n">
        <v>0</v>
      </c>
      <c r="D1886" t="n">
        <v>0</v>
      </c>
      <c r="E1886" t="s">
        <v>1890</v>
      </c>
      <c r="F1886" t="s"/>
      <c r="G1886" t="s"/>
      <c r="H1886" t="s"/>
      <c r="I1886" t="s"/>
      <c r="J1886" t="n">
        <v>0.2023</v>
      </c>
      <c r="K1886" t="n">
        <v>0.093</v>
      </c>
      <c r="L1886" t="n">
        <v>0.767</v>
      </c>
      <c r="M1886" t="n">
        <v>0.14</v>
      </c>
    </row>
    <row r="1887" spans="1:13">
      <c r="A1887" s="1">
        <f>HYPERLINK("http://www.twitter.com/NathanBLawrence/status/976604734189686784", "976604734189686784")</f>
        <v/>
      </c>
      <c r="B1887" s="2" t="n">
        <v>43180.98711805556</v>
      </c>
      <c r="C1887" t="n">
        <v>0</v>
      </c>
      <c r="D1887" t="n">
        <v>0</v>
      </c>
      <c r="E1887" t="s">
        <v>1891</v>
      </c>
      <c r="F1887" t="s"/>
      <c r="G1887" t="s"/>
      <c r="H1887" t="s"/>
      <c r="I1887" t="s"/>
      <c r="J1887" t="n">
        <v>-0.34</v>
      </c>
      <c r="K1887" t="n">
        <v>0.112</v>
      </c>
      <c r="L1887" t="n">
        <v>0.888</v>
      </c>
      <c r="M1887" t="n">
        <v>0</v>
      </c>
    </row>
    <row r="1888" spans="1:13">
      <c r="A1888" s="1">
        <f>HYPERLINK("http://www.twitter.com/NathanBLawrence/status/976604514370379778", "976604514370379778")</f>
        <v/>
      </c>
      <c r="B1888" s="2" t="n">
        <v>43180.9865162037</v>
      </c>
      <c r="C1888" t="n">
        <v>0</v>
      </c>
      <c r="D1888" t="n">
        <v>0</v>
      </c>
      <c r="E1888" t="s">
        <v>1892</v>
      </c>
      <c r="F1888" t="s"/>
      <c r="G1888" t="s"/>
      <c r="H1888" t="s"/>
      <c r="I1888" t="s"/>
      <c r="J1888" t="n">
        <v>-0.296</v>
      </c>
      <c r="K1888" t="n">
        <v>0.099</v>
      </c>
      <c r="L1888" t="n">
        <v>0.901</v>
      </c>
      <c r="M1888" t="n">
        <v>0</v>
      </c>
    </row>
    <row r="1889" spans="1:13">
      <c r="A1889" s="1">
        <f>HYPERLINK("http://www.twitter.com/NathanBLawrence/status/976603986349436929", "976603986349436929")</f>
        <v/>
      </c>
      <c r="B1889" s="2" t="n">
        <v>43180.98505787037</v>
      </c>
      <c r="C1889" t="n">
        <v>0</v>
      </c>
      <c r="D1889" t="n">
        <v>0</v>
      </c>
      <c r="E1889" t="s">
        <v>1893</v>
      </c>
      <c r="F1889" t="s"/>
      <c r="G1889" t="s"/>
      <c r="H1889" t="s"/>
      <c r="I1889" t="s"/>
      <c r="J1889" t="n">
        <v>-0.4588</v>
      </c>
      <c r="K1889" t="n">
        <v>0.277</v>
      </c>
      <c r="L1889" t="n">
        <v>0.493</v>
      </c>
      <c r="M1889" t="n">
        <v>0.23</v>
      </c>
    </row>
    <row r="1890" spans="1:13">
      <c r="A1890" s="1">
        <f>HYPERLINK("http://www.twitter.com/NathanBLawrence/status/976602983176826882", "976602983176826882")</f>
        <v/>
      </c>
      <c r="B1890" s="2" t="n">
        <v>43180.98229166667</v>
      </c>
      <c r="C1890" t="n">
        <v>0</v>
      </c>
      <c r="D1890" t="n">
        <v>0</v>
      </c>
      <c r="E1890" t="s">
        <v>1894</v>
      </c>
      <c r="F1890" t="s"/>
      <c r="G1890" t="s"/>
      <c r="H1890" t="s"/>
      <c r="I1890" t="s"/>
      <c r="J1890" t="n">
        <v>-0.5574</v>
      </c>
      <c r="K1890" t="n">
        <v>0.119</v>
      </c>
      <c r="L1890" t="n">
        <v>0.881</v>
      </c>
      <c r="M1890" t="n">
        <v>0</v>
      </c>
    </row>
    <row r="1891" spans="1:13">
      <c r="A1891" s="1">
        <f>HYPERLINK("http://www.twitter.com/NathanBLawrence/status/976602371596914688", "976602371596914688")</f>
        <v/>
      </c>
      <c r="B1891" s="2" t="n">
        <v>43180.98060185185</v>
      </c>
      <c r="C1891" t="n">
        <v>0</v>
      </c>
      <c r="D1891" t="n">
        <v>0</v>
      </c>
      <c r="E1891" t="s">
        <v>1895</v>
      </c>
      <c r="F1891" t="s"/>
      <c r="G1891" t="s"/>
      <c r="H1891" t="s"/>
      <c r="I1891" t="s"/>
      <c r="J1891" t="n">
        <v>-0.4259</v>
      </c>
      <c r="K1891" t="n">
        <v>0.192</v>
      </c>
      <c r="L1891" t="n">
        <v>0.634</v>
      </c>
      <c r="M1891" t="n">
        <v>0.175</v>
      </c>
    </row>
    <row r="1892" spans="1:13">
      <c r="A1892" s="1">
        <f>HYPERLINK("http://www.twitter.com/NathanBLawrence/status/976601743130849280", "976601743130849280")</f>
        <v/>
      </c>
      <c r="B1892" s="2" t="n">
        <v>43180.97886574074</v>
      </c>
      <c r="C1892" t="n">
        <v>0</v>
      </c>
      <c r="D1892" t="n">
        <v>0</v>
      </c>
      <c r="E1892" t="s">
        <v>1896</v>
      </c>
      <c r="F1892" t="s"/>
      <c r="G1892" t="s"/>
      <c r="H1892" t="s"/>
      <c r="I1892" t="s"/>
      <c r="J1892" t="n">
        <v>-0.0199</v>
      </c>
      <c r="K1892" t="n">
        <v>0.147</v>
      </c>
      <c r="L1892" t="n">
        <v>0.708</v>
      </c>
      <c r="M1892" t="n">
        <v>0.145</v>
      </c>
    </row>
    <row r="1893" spans="1:13">
      <c r="A1893" s="1">
        <f>HYPERLINK("http://www.twitter.com/NathanBLawrence/status/976599526055309313", "976599526055309313")</f>
        <v/>
      </c>
      <c r="B1893" s="2" t="n">
        <v>43180.97275462963</v>
      </c>
      <c r="C1893" t="n">
        <v>0</v>
      </c>
      <c r="D1893" t="n">
        <v>2</v>
      </c>
      <c r="E1893" t="s">
        <v>1897</v>
      </c>
      <c r="F1893" t="s"/>
      <c r="G1893" t="s"/>
      <c r="H1893" t="s"/>
      <c r="I1893" t="s"/>
      <c r="J1893" t="n">
        <v>0</v>
      </c>
      <c r="K1893" t="n">
        <v>0</v>
      </c>
      <c r="L1893" t="n">
        <v>1</v>
      </c>
      <c r="M1893" t="n">
        <v>0</v>
      </c>
    </row>
    <row r="1894" spans="1:13">
      <c r="A1894" s="1">
        <f>HYPERLINK("http://www.twitter.com/NathanBLawrence/status/976598947572699142", "976598947572699142")</f>
        <v/>
      </c>
      <c r="B1894" s="2" t="n">
        <v>43180.97115740741</v>
      </c>
      <c r="C1894" t="n">
        <v>2</v>
      </c>
      <c r="D1894" t="n">
        <v>2</v>
      </c>
      <c r="E1894" t="s">
        <v>1187</v>
      </c>
      <c r="F1894" t="s"/>
      <c r="G1894" t="s"/>
      <c r="H1894" t="s"/>
      <c r="I1894" t="s"/>
      <c r="J1894" t="n">
        <v>0</v>
      </c>
      <c r="K1894" t="n">
        <v>0</v>
      </c>
      <c r="L1894" t="n">
        <v>1</v>
      </c>
      <c r="M1894" t="n">
        <v>0</v>
      </c>
    </row>
    <row r="1895" spans="1:13">
      <c r="A1895" s="1">
        <f>HYPERLINK("http://www.twitter.com/NathanBLawrence/status/976591066118967297", "976591066118967297")</f>
        <v/>
      </c>
      <c r="B1895" s="2" t="n">
        <v>43180.94940972222</v>
      </c>
      <c r="C1895" t="n">
        <v>1</v>
      </c>
      <c r="D1895" t="n">
        <v>0</v>
      </c>
      <c r="E1895" t="s">
        <v>1898</v>
      </c>
      <c r="F1895" t="s"/>
      <c r="G1895" t="s"/>
      <c r="H1895" t="s"/>
      <c r="I1895" t="s"/>
      <c r="J1895" t="n">
        <v>0.7717000000000001</v>
      </c>
      <c r="K1895" t="n">
        <v>0</v>
      </c>
      <c r="L1895" t="n">
        <v>0.661</v>
      </c>
      <c r="M1895" t="n">
        <v>0.339</v>
      </c>
    </row>
    <row r="1896" spans="1:13">
      <c r="A1896" s="1">
        <f>HYPERLINK("http://www.twitter.com/NathanBLawrence/status/976590721930100736", "976590721930100736")</f>
        <v/>
      </c>
      <c r="B1896" s="2" t="n">
        <v>43180.94844907407</v>
      </c>
      <c r="C1896" t="n">
        <v>0</v>
      </c>
      <c r="D1896" t="n">
        <v>1</v>
      </c>
      <c r="E1896" t="s">
        <v>1899</v>
      </c>
      <c r="F1896" t="s"/>
      <c r="G1896" t="s"/>
      <c r="H1896" t="s"/>
      <c r="I1896" t="s"/>
      <c r="J1896" t="n">
        <v>-0.1901</v>
      </c>
      <c r="K1896" t="n">
        <v>0.089</v>
      </c>
      <c r="L1896" t="n">
        <v>0.911</v>
      </c>
      <c r="M1896" t="n">
        <v>0</v>
      </c>
    </row>
    <row r="1897" spans="1:13">
      <c r="A1897" s="1">
        <f>HYPERLINK("http://www.twitter.com/NathanBLawrence/status/976590678326173697", "976590678326173697")</f>
        <v/>
      </c>
      <c r="B1897" s="2" t="n">
        <v>43180.94833333333</v>
      </c>
      <c r="C1897" t="n">
        <v>0</v>
      </c>
      <c r="D1897" t="n">
        <v>0</v>
      </c>
      <c r="E1897" t="s">
        <v>1900</v>
      </c>
      <c r="F1897" t="s"/>
      <c r="G1897" t="s"/>
      <c r="H1897" t="s"/>
      <c r="I1897" t="s"/>
      <c r="J1897" t="n">
        <v>0.5423</v>
      </c>
      <c r="K1897" t="n">
        <v>0.115</v>
      </c>
      <c r="L1897" t="n">
        <v>0.617</v>
      </c>
      <c r="M1897" t="n">
        <v>0.269</v>
      </c>
    </row>
    <row r="1898" spans="1:13">
      <c r="A1898" s="1">
        <f>HYPERLINK("http://www.twitter.com/NathanBLawrence/status/976590169120870400", "976590169120870400")</f>
        <v/>
      </c>
      <c r="B1898" s="2" t="n">
        <v>43180.94693287037</v>
      </c>
      <c r="C1898" t="n">
        <v>0</v>
      </c>
      <c r="D1898" t="n">
        <v>1</v>
      </c>
      <c r="E1898" t="s">
        <v>1901</v>
      </c>
      <c r="F1898" t="s"/>
      <c r="G1898" t="s"/>
      <c r="H1898" t="s"/>
      <c r="I1898" t="s"/>
      <c r="J1898" t="n">
        <v>0</v>
      </c>
      <c r="K1898" t="n">
        <v>0</v>
      </c>
      <c r="L1898" t="n">
        <v>1</v>
      </c>
      <c r="M1898" t="n">
        <v>0</v>
      </c>
    </row>
    <row r="1899" spans="1:13">
      <c r="A1899" s="1">
        <f>HYPERLINK("http://www.twitter.com/NathanBLawrence/status/976590064846295040", "976590064846295040")</f>
        <v/>
      </c>
      <c r="B1899" s="2" t="n">
        <v>43180.94664351852</v>
      </c>
      <c r="C1899" t="n">
        <v>0</v>
      </c>
      <c r="D1899" t="n">
        <v>10</v>
      </c>
      <c r="E1899" t="s">
        <v>1902</v>
      </c>
      <c r="F1899">
        <f>HYPERLINK("http://pbs.twimg.com/media/DY18jeAW4AMkrum.jpg", "http://pbs.twimg.com/media/DY18jeAW4AMkrum.jpg")</f>
        <v/>
      </c>
      <c r="G1899" t="s"/>
      <c r="H1899" t="s"/>
      <c r="I1899" t="s"/>
      <c r="J1899" t="n">
        <v>-0.4199</v>
      </c>
      <c r="K1899" t="n">
        <v>0.128</v>
      </c>
      <c r="L1899" t="n">
        <v>0.872</v>
      </c>
      <c r="M1899" t="n">
        <v>0</v>
      </c>
    </row>
    <row r="1900" spans="1:13">
      <c r="A1900" s="1">
        <f>HYPERLINK("http://www.twitter.com/NathanBLawrence/status/976562954819731457", "976562954819731457")</f>
        <v/>
      </c>
      <c r="B1900" s="2" t="n">
        <v>43180.8718287037</v>
      </c>
      <c r="C1900" t="n">
        <v>2</v>
      </c>
      <c r="D1900" t="n">
        <v>2</v>
      </c>
      <c r="E1900" t="s">
        <v>1903</v>
      </c>
      <c r="F1900" t="s"/>
      <c r="G1900" t="s"/>
      <c r="H1900" t="s"/>
      <c r="I1900" t="s"/>
      <c r="J1900" t="n">
        <v>0.4201</v>
      </c>
      <c r="K1900" t="n">
        <v>0</v>
      </c>
      <c r="L1900" t="n">
        <v>0.642</v>
      </c>
      <c r="M1900" t="n">
        <v>0.358</v>
      </c>
    </row>
    <row r="1901" spans="1:13">
      <c r="A1901" s="1">
        <f>HYPERLINK("http://www.twitter.com/NathanBLawrence/status/976562585398104064", "976562585398104064")</f>
        <v/>
      </c>
      <c r="B1901" s="2" t="n">
        <v>43180.87081018519</v>
      </c>
      <c r="C1901" t="n">
        <v>0</v>
      </c>
      <c r="D1901" t="n">
        <v>292</v>
      </c>
      <c r="E1901" t="s">
        <v>1904</v>
      </c>
      <c r="F1901">
        <f>HYPERLINK("http://pbs.twimg.com/media/DYloNGWW0AA1amo.jpg", "http://pbs.twimg.com/media/DYloNGWW0AA1amo.jpg")</f>
        <v/>
      </c>
      <c r="G1901" t="s"/>
      <c r="H1901" t="s"/>
      <c r="I1901" t="s"/>
      <c r="J1901" t="n">
        <v>0</v>
      </c>
      <c r="K1901" t="n">
        <v>0</v>
      </c>
      <c r="L1901" t="n">
        <v>1</v>
      </c>
      <c r="M1901" t="n">
        <v>0</v>
      </c>
    </row>
    <row r="1902" spans="1:13">
      <c r="A1902" s="1">
        <f>HYPERLINK("http://www.twitter.com/NathanBLawrence/status/976562504808763392", "976562504808763392")</f>
        <v/>
      </c>
      <c r="B1902" s="2" t="n">
        <v>43180.87059027778</v>
      </c>
      <c r="C1902" t="n">
        <v>2</v>
      </c>
      <c r="D1902" t="n">
        <v>0</v>
      </c>
      <c r="E1902" t="s">
        <v>1905</v>
      </c>
      <c r="F1902" t="s"/>
      <c r="G1902" t="s"/>
      <c r="H1902" t="s"/>
      <c r="I1902" t="s"/>
      <c r="J1902" t="n">
        <v>-0.34</v>
      </c>
      <c r="K1902" t="n">
        <v>0.179</v>
      </c>
      <c r="L1902" t="n">
        <v>0.821</v>
      </c>
      <c r="M1902" t="n">
        <v>0</v>
      </c>
    </row>
    <row r="1903" spans="1:13">
      <c r="A1903" s="1">
        <f>HYPERLINK("http://www.twitter.com/NathanBLawrence/status/976562331051266049", "976562331051266049")</f>
        <v/>
      </c>
      <c r="B1903" s="2" t="n">
        <v>43180.87011574074</v>
      </c>
      <c r="C1903" t="n">
        <v>0</v>
      </c>
      <c r="D1903" t="n">
        <v>1</v>
      </c>
      <c r="E1903" t="s">
        <v>1906</v>
      </c>
      <c r="F1903" t="s"/>
      <c r="G1903" t="s"/>
      <c r="H1903" t="s"/>
      <c r="I1903" t="s"/>
      <c r="J1903" t="n">
        <v>0.7184</v>
      </c>
      <c r="K1903" t="n">
        <v>0</v>
      </c>
      <c r="L1903" t="n">
        <v>0.76</v>
      </c>
      <c r="M1903" t="n">
        <v>0.24</v>
      </c>
    </row>
    <row r="1904" spans="1:13">
      <c r="A1904" s="1">
        <f>HYPERLINK("http://www.twitter.com/NathanBLawrence/status/976562079590158337", "976562079590158337")</f>
        <v/>
      </c>
      <c r="B1904" s="2" t="n">
        <v>43180.86942129629</v>
      </c>
      <c r="C1904" t="n">
        <v>0</v>
      </c>
      <c r="D1904" t="n">
        <v>15260</v>
      </c>
      <c r="E1904" t="s">
        <v>1907</v>
      </c>
      <c r="F1904" t="s"/>
      <c r="G1904" t="s"/>
      <c r="H1904" t="s"/>
      <c r="I1904" t="s"/>
      <c r="J1904" t="n">
        <v>0.6486</v>
      </c>
      <c r="K1904" t="n">
        <v>0</v>
      </c>
      <c r="L1904" t="n">
        <v>0.762</v>
      </c>
      <c r="M1904" t="n">
        <v>0.238</v>
      </c>
    </row>
    <row r="1905" spans="1:13">
      <c r="A1905" s="1">
        <f>HYPERLINK("http://www.twitter.com/NathanBLawrence/status/976561768251252737", "976561768251252737")</f>
        <v/>
      </c>
      <c r="B1905" s="2" t="n">
        <v>43180.86855324074</v>
      </c>
      <c r="C1905" t="n">
        <v>0</v>
      </c>
      <c r="D1905" t="n">
        <v>1373</v>
      </c>
      <c r="E1905" t="s">
        <v>1908</v>
      </c>
      <c r="F1905" t="s"/>
      <c r="G1905" t="s"/>
      <c r="H1905" t="s"/>
      <c r="I1905" t="s"/>
      <c r="J1905" t="n">
        <v>0.7717000000000001</v>
      </c>
      <c r="K1905" t="n">
        <v>0</v>
      </c>
      <c r="L1905" t="n">
        <v>0.758</v>
      </c>
      <c r="M1905" t="n">
        <v>0.242</v>
      </c>
    </row>
    <row r="1906" spans="1:13">
      <c r="A1906" s="1">
        <f>HYPERLINK("http://www.twitter.com/NathanBLawrence/status/976560001778151429", "976560001778151429")</f>
        <v/>
      </c>
      <c r="B1906" s="2" t="n">
        <v>43180.86368055556</v>
      </c>
      <c r="C1906" t="n">
        <v>0</v>
      </c>
      <c r="D1906" t="n">
        <v>0</v>
      </c>
      <c r="E1906" t="s">
        <v>1909</v>
      </c>
      <c r="F1906" t="s"/>
      <c r="G1906" t="s"/>
      <c r="H1906" t="s"/>
      <c r="I1906" t="s"/>
      <c r="J1906" t="n">
        <v>-0.1513</v>
      </c>
      <c r="K1906" t="n">
        <v>0.183</v>
      </c>
      <c r="L1906" t="n">
        <v>0.667</v>
      </c>
      <c r="M1906" t="n">
        <v>0.15</v>
      </c>
    </row>
    <row r="1907" spans="1:13">
      <c r="A1907" s="1">
        <f>HYPERLINK("http://www.twitter.com/NathanBLawrence/status/976559633220370432", "976559633220370432")</f>
        <v/>
      </c>
      <c r="B1907" s="2" t="n">
        <v>43180.86266203703</v>
      </c>
      <c r="C1907" t="n">
        <v>0</v>
      </c>
      <c r="D1907" t="n">
        <v>0</v>
      </c>
      <c r="E1907" t="s">
        <v>1910</v>
      </c>
      <c r="F1907" t="s"/>
      <c r="G1907" t="s"/>
      <c r="H1907" t="s"/>
      <c r="I1907" t="s"/>
      <c r="J1907" t="n">
        <v>-0.9423</v>
      </c>
      <c r="K1907" t="n">
        <v>0.318</v>
      </c>
      <c r="L1907" t="n">
        <v>0.583</v>
      </c>
      <c r="M1907" t="n">
        <v>0.099</v>
      </c>
    </row>
    <row r="1908" spans="1:13">
      <c r="A1908" s="1">
        <f>HYPERLINK("http://www.twitter.com/NathanBLawrence/status/976558590713585670", "976558590713585670")</f>
        <v/>
      </c>
      <c r="B1908" s="2" t="n">
        <v>43180.85979166667</v>
      </c>
      <c r="C1908" t="n">
        <v>1</v>
      </c>
      <c r="D1908" t="n">
        <v>0</v>
      </c>
      <c r="E1908" t="s">
        <v>1911</v>
      </c>
      <c r="F1908" t="s"/>
      <c r="G1908" t="s"/>
      <c r="H1908" t="s"/>
      <c r="I1908" t="s"/>
      <c r="J1908" t="n">
        <v>0.34</v>
      </c>
      <c r="K1908" t="n">
        <v>0</v>
      </c>
      <c r="L1908" t="n">
        <v>0.9350000000000001</v>
      </c>
      <c r="M1908" t="n">
        <v>0.065</v>
      </c>
    </row>
    <row r="1909" spans="1:13">
      <c r="A1909" s="1">
        <f>HYPERLINK("http://www.twitter.com/NathanBLawrence/status/976558099514511360", "976558099514511360")</f>
        <v/>
      </c>
      <c r="B1909" s="2" t="n">
        <v>43180.8584375</v>
      </c>
      <c r="C1909" t="n">
        <v>1</v>
      </c>
      <c r="D1909" t="n">
        <v>0</v>
      </c>
      <c r="E1909" t="s">
        <v>1912</v>
      </c>
      <c r="F1909" t="s"/>
      <c r="G1909" t="s"/>
      <c r="H1909" t="s"/>
      <c r="I1909" t="s"/>
      <c r="J1909" t="n">
        <v>0.128</v>
      </c>
      <c r="K1909" t="n">
        <v>0</v>
      </c>
      <c r="L1909" t="n">
        <v>0.87</v>
      </c>
      <c r="M1909" t="n">
        <v>0.13</v>
      </c>
    </row>
    <row r="1910" spans="1:13">
      <c r="A1910" s="1">
        <f>HYPERLINK("http://www.twitter.com/NathanBLawrence/status/976558007051055106", "976558007051055106")</f>
        <v/>
      </c>
      <c r="B1910" s="2" t="n">
        <v>43180.85818287037</v>
      </c>
      <c r="C1910" t="n">
        <v>0</v>
      </c>
      <c r="D1910" t="n">
        <v>0</v>
      </c>
      <c r="E1910" t="s">
        <v>1913</v>
      </c>
      <c r="F1910" t="s"/>
      <c r="G1910" t="s"/>
      <c r="H1910" t="s"/>
      <c r="I1910" t="s"/>
      <c r="J1910" t="n">
        <v>0.2023</v>
      </c>
      <c r="K1910" t="n">
        <v>0.134</v>
      </c>
      <c r="L1910" t="n">
        <v>0.644</v>
      </c>
      <c r="M1910" t="n">
        <v>0.223</v>
      </c>
    </row>
    <row r="1911" spans="1:13">
      <c r="A1911" s="1">
        <f>HYPERLINK("http://www.twitter.com/NathanBLawrence/status/976557115920801792", "976557115920801792")</f>
        <v/>
      </c>
      <c r="B1911" s="2" t="n">
        <v>43180.8557175926</v>
      </c>
      <c r="C1911" t="n">
        <v>0</v>
      </c>
      <c r="D1911" t="n">
        <v>0</v>
      </c>
      <c r="E1911" t="s">
        <v>1914</v>
      </c>
      <c r="F1911" t="s"/>
      <c r="G1911" t="s"/>
      <c r="H1911" t="s"/>
      <c r="I1911" t="s"/>
      <c r="J1911" t="n">
        <v>-0.1174</v>
      </c>
      <c r="K1911" t="n">
        <v>0.06900000000000001</v>
      </c>
      <c r="L1911" t="n">
        <v>0.873</v>
      </c>
      <c r="M1911" t="n">
        <v>0.058</v>
      </c>
    </row>
    <row r="1912" spans="1:13">
      <c r="A1912" s="1">
        <f>HYPERLINK("http://www.twitter.com/NathanBLawrence/status/976556047686144000", "976556047686144000")</f>
        <v/>
      </c>
      <c r="B1912" s="2" t="n">
        <v>43180.8527662037</v>
      </c>
      <c r="C1912" t="n">
        <v>0</v>
      </c>
      <c r="D1912" t="n">
        <v>0</v>
      </c>
      <c r="E1912" t="s">
        <v>1915</v>
      </c>
      <c r="F1912" t="s"/>
      <c r="G1912" t="s"/>
      <c r="H1912" t="s"/>
      <c r="I1912" t="s"/>
      <c r="J1912" t="n">
        <v>0.7964</v>
      </c>
      <c r="K1912" t="n">
        <v>0</v>
      </c>
      <c r="L1912" t="n">
        <v>0.297</v>
      </c>
      <c r="M1912" t="n">
        <v>0.703</v>
      </c>
    </row>
    <row r="1913" spans="1:13">
      <c r="A1913" s="1">
        <f>HYPERLINK("http://www.twitter.com/NathanBLawrence/status/976554415535677442", "976554415535677442")</f>
        <v/>
      </c>
      <c r="B1913" s="2" t="n">
        <v>43180.84826388889</v>
      </c>
      <c r="C1913" t="n">
        <v>0</v>
      </c>
      <c r="D1913" t="n">
        <v>5</v>
      </c>
      <c r="E1913" t="s">
        <v>1916</v>
      </c>
      <c r="F1913" t="s"/>
      <c r="G1913" t="s"/>
      <c r="H1913" t="s"/>
      <c r="I1913" t="s"/>
      <c r="J1913" t="n">
        <v>0.7579</v>
      </c>
      <c r="K1913" t="n">
        <v>0</v>
      </c>
      <c r="L1913" t="n">
        <v>0.717</v>
      </c>
      <c r="M1913" t="n">
        <v>0.283</v>
      </c>
    </row>
    <row r="1914" spans="1:13">
      <c r="A1914" s="1">
        <f>HYPERLINK("http://www.twitter.com/NathanBLawrence/status/976553456659062784", "976553456659062784")</f>
        <v/>
      </c>
      <c r="B1914" s="2" t="n">
        <v>43180.845625</v>
      </c>
      <c r="C1914" t="n">
        <v>0</v>
      </c>
      <c r="D1914" t="n">
        <v>11</v>
      </c>
      <c r="E1914" t="s">
        <v>1917</v>
      </c>
      <c r="F1914">
        <f>HYPERLINK("http://pbs.twimg.com/media/DY1iLd4XUAA1_Zr.jpg", "http://pbs.twimg.com/media/DY1iLd4XUAA1_Zr.jpg")</f>
        <v/>
      </c>
      <c r="G1914">
        <f>HYPERLINK("http://pbs.twimg.com/media/DY1iLd4WsAE6otb.jpg", "http://pbs.twimg.com/media/DY1iLd4WsAE6otb.jpg")</f>
        <v/>
      </c>
      <c r="H1914">
        <f>HYPERLINK("http://pbs.twimg.com/media/DY1iLeEW4AEc5In.jpg", "http://pbs.twimg.com/media/DY1iLeEW4AEc5In.jpg")</f>
        <v/>
      </c>
      <c r="I1914">
        <f>HYPERLINK("http://pbs.twimg.com/media/DY1iLeDWsAYBFHa.jpg", "http://pbs.twimg.com/media/DY1iLeDWsAYBFHa.jpg")</f>
        <v/>
      </c>
      <c r="J1914" t="n">
        <v>0.0772</v>
      </c>
      <c r="K1914" t="n">
        <v>0</v>
      </c>
      <c r="L1914" t="n">
        <v>0.9389999999999999</v>
      </c>
      <c r="M1914" t="n">
        <v>0.061</v>
      </c>
    </row>
    <row r="1915" spans="1:13">
      <c r="A1915" s="1">
        <f>HYPERLINK("http://www.twitter.com/NathanBLawrence/status/976553109198688258", "976553109198688258")</f>
        <v/>
      </c>
      <c r="B1915" s="2" t="n">
        <v>43180.84466435185</v>
      </c>
      <c r="C1915" t="n">
        <v>0</v>
      </c>
      <c r="D1915" t="n">
        <v>8</v>
      </c>
      <c r="E1915" t="s">
        <v>1918</v>
      </c>
      <c r="F1915" t="s"/>
      <c r="G1915" t="s"/>
      <c r="H1915" t="s"/>
      <c r="I1915" t="s"/>
      <c r="J1915" t="n">
        <v>0</v>
      </c>
      <c r="K1915" t="n">
        <v>0</v>
      </c>
      <c r="L1915" t="n">
        <v>1</v>
      </c>
      <c r="M1915" t="n">
        <v>0</v>
      </c>
    </row>
    <row r="1916" spans="1:13">
      <c r="A1916" s="1">
        <f>HYPERLINK("http://www.twitter.com/NathanBLawrence/status/976552433328558080", "976552433328558080")</f>
        <v/>
      </c>
      <c r="B1916" s="2" t="n">
        <v>43180.84280092592</v>
      </c>
      <c r="C1916" t="n">
        <v>0</v>
      </c>
      <c r="D1916" t="n">
        <v>14613</v>
      </c>
      <c r="E1916" t="s">
        <v>1919</v>
      </c>
      <c r="F1916" t="s"/>
      <c r="G1916" t="s"/>
      <c r="H1916" t="s"/>
      <c r="I1916" t="s"/>
      <c r="J1916" t="n">
        <v>0.5266999999999999</v>
      </c>
      <c r="K1916" t="n">
        <v>0.122</v>
      </c>
      <c r="L1916" t="n">
        <v>0.642</v>
      </c>
      <c r="M1916" t="n">
        <v>0.236</v>
      </c>
    </row>
    <row r="1917" spans="1:13">
      <c r="A1917" s="1">
        <f>HYPERLINK("http://www.twitter.com/NathanBLawrence/status/976552353536073728", "976552353536073728")</f>
        <v/>
      </c>
      <c r="B1917" s="2" t="n">
        <v>43180.84258101852</v>
      </c>
      <c r="C1917" t="n">
        <v>0</v>
      </c>
      <c r="D1917" t="n">
        <v>380</v>
      </c>
      <c r="E1917" t="s">
        <v>1920</v>
      </c>
      <c r="F1917" t="s"/>
      <c r="G1917" t="s"/>
      <c r="H1917" t="s"/>
      <c r="I1917" t="s"/>
      <c r="J1917" t="n">
        <v>0</v>
      </c>
      <c r="K1917" t="n">
        <v>0</v>
      </c>
      <c r="L1917" t="n">
        <v>1</v>
      </c>
      <c r="M1917" t="n">
        <v>0</v>
      </c>
    </row>
    <row r="1918" spans="1:13">
      <c r="A1918" s="1">
        <f>HYPERLINK("http://www.twitter.com/NathanBLawrence/status/976552165165666305", "976552165165666305")</f>
        <v/>
      </c>
      <c r="B1918" s="2" t="n">
        <v>43180.84206018518</v>
      </c>
      <c r="C1918" t="n">
        <v>0</v>
      </c>
      <c r="D1918" t="n">
        <v>3</v>
      </c>
      <c r="E1918" t="s">
        <v>1921</v>
      </c>
      <c r="F1918" t="s"/>
      <c r="G1918" t="s"/>
      <c r="H1918" t="s"/>
      <c r="I1918" t="s"/>
      <c r="J1918" t="n">
        <v>0.3612</v>
      </c>
      <c r="K1918" t="n">
        <v>0</v>
      </c>
      <c r="L1918" t="n">
        <v>0.824</v>
      </c>
      <c r="M1918" t="n">
        <v>0.176</v>
      </c>
    </row>
    <row r="1919" spans="1:13">
      <c r="A1919" s="1">
        <f>HYPERLINK("http://www.twitter.com/NathanBLawrence/status/976552056277340163", "976552056277340163")</f>
        <v/>
      </c>
      <c r="B1919" s="2" t="n">
        <v>43180.84175925926</v>
      </c>
      <c r="C1919" t="n">
        <v>0</v>
      </c>
      <c r="D1919" t="n">
        <v>26025</v>
      </c>
      <c r="E1919" t="s">
        <v>1922</v>
      </c>
      <c r="F1919" t="s"/>
      <c r="G1919" t="s"/>
      <c r="H1919" t="s"/>
      <c r="I1919" t="s"/>
      <c r="J1919" t="n">
        <v>-0.6319</v>
      </c>
      <c r="K1919" t="n">
        <v>0.339</v>
      </c>
      <c r="L1919" t="n">
        <v>0.493</v>
      </c>
      <c r="M1919" t="n">
        <v>0.168</v>
      </c>
    </row>
    <row r="1920" spans="1:13">
      <c r="A1920" s="1">
        <f>HYPERLINK("http://www.twitter.com/NathanBLawrence/status/976551959510552577", "976551959510552577")</f>
        <v/>
      </c>
      <c r="B1920" s="2" t="n">
        <v>43180.84149305556</v>
      </c>
      <c r="C1920" t="n">
        <v>0</v>
      </c>
      <c r="D1920" t="n">
        <v>983</v>
      </c>
      <c r="E1920" t="s">
        <v>1923</v>
      </c>
      <c r="F1920">
        <f>HYPERLINK("https://video.twimg.com/amplify_video/975755729754775553/vid/1280x720/GWJu0446nXZDYj9X.mp4", "https://video.twimg.com/amplify_video/975755729754775553/vid/1280x720/GWJu0446nXZDYj9X.mp4")</f>
        <v/>
      </c>
      <c r="G1920" t="s"/>
      <c r="H1920" t="s"/>
      <c r="I1920" t="s"/>
      <c r="J1920" t="n">
        <v>0.0516</v>
      </c>
      <c r="K1920" t="n">
        <v>0.089</v>
      </c>
      <c r="L1920" t="n">
        <v>0.8139999999999999</v>
      </c>
      <c r="M1920" t="n">
        <v>0.097</v>
      </c>
    </row>
    <row r="1921" spans="1:13">
      <c r="A1921" s="1">
        <f>HYPERLINK("http://www.twitter.com/NathanBLawrence/status/976551597848301568", "976551597848301568")</f>
        <v/>
      </c>
      <c r="B1921" s="2" t="n">
        <v>43180.84049768518</v>
      </c>
      <c r="C1921" t="n">
        <v>0</v>
      </c>
      <c r="D1921" t="n">
        <v>1</v>
      </c>
      <c r="E1921" t="s">
        <v>1924</v>
      </c>
      <c r="F1921" t="s"/>
      <c r="G1921" t="s"/>
      <c r="H1921" t="s"/>
      <c r="I1921" t="s"/>
      <c r="J1921" t="n">
        <v>0.4588</v>
      </c>
      <c r="K1921" t="n">
        <v>0</v>
      </c>
      <c r="L1921" t="n">
        <v>0.88</v>
      </c>
      <c r="M1921" t="n">
        <v>0.12</v>
      </c>
    </row>
    <row r="1922" spans="1:13">
      <c r="A1922" s="1">
        <f>HYPERLINK("http://www.twitter.com/NathanBLawrence/status/976551526712913925", "976551526712913925")</f>
        <v/>
      </c>
      <c r="B1922" s="2" t="n">
        <v>43180.84030092593</v>
      </c>
      <c r="C1922" t="n">
        <v>0</v>
      </c>
      <c r="D1922" t="n">
        <v>949</v>
      </c>
      <c r="E1922" t="s">
        <v>1925</v>
      </c>
      <c r="F1922" t="s"/>
      <c r="G1922" t="s"/>
      <c r="H1922" t="s"/>
      <c r="I1922" t="s"/>
      <c r="J1922" t="n">
        <v>-0.2732</v>
      </c>
      <c r="K1922" t="n">
        <v>0.091</v>
      </c>
      <c r="L1922" t="n">
        <v>0.864</v>
      </c>
      <c r="M1922" t="n">
        <v>0.045</v>
      </c>
    </row>
    <row r="1923" spans="1:13">
      <c r="A1923" s="1">
        <f>HYPERLINK("http://www.twitter.com/NathanBLawrence/status/976551470156910594", "976551470156910594")</f>
        <v/>
      </c>
      <c r="B1923" s="2" t="n">
        <v>43180.84013888889</v>
      </c>
      <c r="C1923" t="n">
        <v>0</v>
      </c>
      <c r="D1923" t="n">
        <v>795</v>
      </c>
      <c r="E1923" t="s">
        <v>1926</v>
      </c>
      <c r="F1923" t="s"/>
      <c r="G1923" t="s"/>
      <c r="H1923" t="s"/>
      <c r="I1923" t="s"/>
      <c r="J1923" t="n">
        <v>0</v>
      </c>
      <c r="K1923" t="n">
        <v>0</v>
      </c>
      <c r="L1923" t="n">
        <v>1</v>
      </c>
      <c r="M1923" t="n">
        <v>0</v>
      </c>
    </row>
    <row r="1924" spans="1:13">
      <c r="A1924" s="1">
        <f>HYPERLINK("http://www.twitter.com/NathanBLawrence/status/976551352624132096", "976551352624132096")</f>
        <v/>
      </c>
      <c r="B1924" s="2" t="n">
        <v>43180.83981481481</v>
      </c>
      <c r="C1924" t="n">
        <v>0</v>
      </c>
      <c r="D1924" t="n">
        <v>6</v>
      </c>
      <c r="E1924" t="s">
        <v>1927</v>
      </c>
      <c r="F1924" t="s"/>
      <c r="G1924" t="s"/>
      <c r="H1924" t="s"/>
      <c r="I1924" t="s"/>
      <c r="J1924" t="n">
        <v>-0.5255</v>
      </c>
      <c r="K1924" t="n">
        <v>0.134</v>
      </c>
      <c r="L1924" t="n">
        <v>0.866</v>
      </c>
      <c r="M1924" t="n">
        <v>0</v>
      </c>
    </row>
    <row r="1925" spans="1:13">
      <c r="A1925" s="1">
        <f>HYPERLINK("http://www.twitter.com/NathanBLawrence/status/976551144318173185", "976551144318173185")</f>
        <v/>
      </c>
      <c r="B1925" s="2" t="n">
        <v>43180.83923611111</v>
      </c>
      <c r="C1925" t="n">
        <v>0</v>
      </c>
      <c r="D1925" t="n">
        <v>1618</v>
      </c>
      <c r="E1925" t="s">
        <v>1928</v>
      </c>
      <c r="F1925" t="s"/>
      <c r="G1925" t="s"/>
      <c r="H1925" t="s"/>
      <c r="I1925" t="s"/>
      <c r="J1925" t="n">
        <v>-0.3182</v>
      </c>
      <c r="K1925" t="n">
        <v>0.144</v>
      </c>
      <c r="L1925" t="n">
        <v>0.76</v>
      </c>
      <c r="M1925" t="n">
        <v>0.095</v>
      </c>
    </row>
    <row r="1926" spans="1:13">
      <c r="A1926" s="1">
        <f>HYPERLINK("http://www.twitter.com/NathanBLawrence/status/976550967700271105", "976550967700271105")</f>
        <v/>
      </c>
      <c r="B1926" s="2" t="n">
        <v>43180.83875</v>
      </c>
      <c r="C1926" t="n">
        <v>0</v>
      </c>
      <c r="D1926" t="n">
        <v>2083</v>
      </c>
      <c r="E1926" t="s">
        <v>1929</v>
      </c>
      <c r="F1926" t="s"/>
      <c r="G1926" t="s"/>
      <c r="H1926" t="s"/>
      <c r="I1926" t="s"/>
      <c r="J1926" t="n">
        <v>-0.4724</v>
      </c>
      <c r="K1926" t="n">
        <v>0.146</v>
      </c>
      <c r="L1926" t="n">
        <v>0.854</v>
      </c>
      <c r="M1926" t="n">
        <v>0</v>
      </c>
    </row>
    <row r="1927" spans="1:13">
      <c r="A1927" s="1">
        <f>HYPERLINK("http://www.twitter.com/NathanBLawrence/status/976550118345277440", "976550118345277440")</f>
        <v/>
      </c>
      <c r="B1927" s="2" t="n">
        <v>43180.83641203704</v>
      </c>
      <c r="C1927" t="n">
        <v>0</v>
      </c>
      <c r="D1927" t="n">
        <v>1254</v>
      </c>
      <c r="E1927" t="s">
        <v>1930</v>
      </c>
      <c r="F1927" t="s"/>
      <c r="G1927" t="s"/>
      <c r="H1927" t="s"/>
      <c r="I1927" t="s"/>
      <c r="J1927" t="n">
        <v>0</v>
      </c>
      <c r="K1927" t="n">
        <v>0</v>
      </c>
      <c r="L1927" t="n">
        <v>1</v>
      </c>
      <c r="M1927" t="n">
        <v>0</v>
      </c>
    </row>
    <row r="1928" spans="1:13">
      <c r="A1928" s="1">
        <f>HYPERLINK("http://www.twitter.com/NathanBLawrence/status/976540835008450560", "976540835008450560")</f>
        <v/>
      </c>
      <c r="B1928" s="2" t="n">
        <v>43180.81078703704</v>
      </c>
      <c r="C1928" t="n">
        <v>0</v>
      </c>
      <c r="D1928" t="n">
        <v>1</v>
      </c>
      <c r="E1928" t="s">
        <v>1931</v>
      </c>
      <c r="F1928" t="s"/>
      <c r="G1928" t="s"/>
      <c r="H1928" t="s"/>
      <c r="I1928" t="s"/>
      <c r="J1928" t="n">
        <v>0</v>
      </c>
      <c r="K1928" t="n">
        <v>0</v>
      </c>
      <c r="L1928" t="n">
        <v>1</v>
      </c>
      <c r="M1928" t="n">
        <v>0</v>
      </c>
    </row>
    <row r="1929" spans="1:13">
      <c r="A1929" s="1">
        <f>HYPERLINK("http://www.twitter.com/NathanBLawrence/status/976540793384161281", "976540793384161281")</f>
        <v/>
      </c>
      <c r="B1929" s="2" t="n">
        <v>43180.81068287037</v>
      </c>
      <c r="C1929" t="n">
        <v>0</v>
      </c>
      <c r="D1929" t="n">
        <v>2</v>
      </c>
      <c r="E1929" t="s">
        <v>1932</v>
      </c>
      <c r="F1929" t="s"/>
      <c r="G1929" t="s"/>
      <c r="H1929" t="s"/>
      <c r="I1929" t="s"/>
      <c r="J1929" t="n">
        <v>-0.5423</v>
      </c>
      <c r="K1929" t="n">
        <v>0.179</v>
      </c>
      <c r="L1929" t="n">
        <v>0.821</v>
      </c>
      <c r="M1929" t="n">
        <v>0</v>
      </c>
    </row>
    <row r="1930" spans="1:13">
      <c r="A1930" s="1">
        <f>HYPERLINK("http://www.twitter.com/NathanBLawrence/status/976540701067563008", "976540701067563008")</f>
        <v/>
      </c>
      <c r="B1930" s="2" t="n">
        <v>43180.81042824074</v>
      </c>
      <c r="C1930" t="n">
        <v>13</v>
      </c>
      <c r="D1930" t="n">
        <v>8</v>
      </c>
      <c r="E1930" t="s">
        <v>1933</v>
      </c>
      <c r="F1930" t="s"/>
      <c r="G1930" t="s"/>
      <c r="H1930" t="s"/>
      <c r="I1930" t="s"/>
      <c r="J1930" t="n">
        <v>-0.7184</v>
      </c>
      <c r="K1930" t="n">
        <v>0.201</v>
      </c>
      <c r="L1930" t="n">
        <v>0.726</v>
      </c>
      <c r="M1930" t="n">
        <v>0.073</v>
      </c>
    </row>
    <row r="1931" spans="1:13">
      <c r="A1931" s="1">
        <f>HYPERLINK("http://www.twitter.com/NathanBLawrence/status/976539478360805376", "976539478360805376")</f>
        <v/>
      </c>
      <c r="B1931" s="2" t="n">
        <v>43180.80704861111</v>
      </c>
      <c r="C1931" t="n">
        <v>0</v>
      </c>
      <c r="D1931" t="n">
        <v>7</v>
      </c>
      <c r="E1931" t="s">
        <v>1934</v>
      </c>
      <c r="F1931">
        <f>HYPERLINK("http://pbs.twimg.com/media/DYwg0f0VMAARxQN.jpg", "http://pbs.twimg.com/media/DYwg0f0VMAARxQN.jpg")</f>
        <v/>
      </c>
      <c r="G1931" t="s"/>
      <c r="H1931" t="s"/>
      <c r="I1931" t="s"/>
      <c r="J1931" t="n">
        <v>0.1531</v>
      </c>
      <c r="K1931" t="n">
        <v>0.145</v>
      </c>
      <c r="L1931" t="n">
        <v>0.652</v>
      </c>
      <c r="M1931" t="n">
        <v>0.203</v>
      </c>
    </row>
    <row r="1932" spans="1:13">
      <c r="A1932" s="1">
        <f>HYPERLINK("http://www.twitter.com/NathanBLawrence/status/976538849957511168", "976538849957511168")</f>
        <v/>
      </c>
      <c r="B1932" s="2" t="n">
        <v>43180.8053125</v>
      </c>
      <c r="C1932" t="n">
        <v>0</v>
      </c>
      <c r="D1932" t="n">
        <v>6</v>
      </c>
      <c r="E1932" t="s">
        <v>1935</v>
      </c>
      <c r="F1932" t="s"/>
      <c r="G1932" t="s"/>
      <c r="H1932" t="s"/>
      <c r="I1932" t="s"/>
      <c r="J1932" t="n">
        <v>-0.4184</v>
      </c>
      <c r="K1932" t="n">
        <v>0.202</v>
      </c>
      <c r="L1932" t="n">
        <v>0.798</v>
      </c>
      <c r="M1932" t="n">
        <v>0</v>
      </c>
    </row>
    <row r="1933" spans="1:13">
      <c r="A1933" s="1">
        <f>HYPERLINK("http://www.twitter.com/NathanBLawrence/status/976538783440044032", "976538783440044032")</f>
        <v/>
      </c>
      <c r="B1933" s="2" t="n">
        <v>43180.80512731482</v>
      </c>
      <c r="C1933" t="n">
        <v>0</v>
      </c>
      <c r="D1933" t="n">
        <v>3</v>
      </c>
      <c r="E1933" t="s">
        <v>1936</v>
      </c>
      <c r="F1933" t="s"/>
      <c r="G1933" t="s"/>
      <c r="H1933" t="s"/>
      <c r="I1933" t="s"/>
      <c r="J1933" t="n">
        <v>-0.1531</v>
      </c>
      <c r="K1933" t="n">
        <v>0.187</v>
      </c>
      <c r="L1933" t="n">
        <v>0.663</v>
      </c>
      <c r="M1933" t="n">
        <v>0.151</v>
      </c>
    </row>
    <row r="1934" spans="1:13">
      <c r="A1934" s="1">
        <f>HYPERLINK("http://www.twitter.com/NathanBLawrence/status/976537186966364162", "976537186966364162")</f>
        <v/>
      </c>
      <c r="B1934" s="2" t="n">
        <v>43180.80072916667</v>
      </c>
      <c r="C1934" t="n">
        <v>0</v>
      </c>
      <c r="D1934" t="n">
        <v>6</v>
      </c>
      <c r="E1934" t="s">
        <v>1937</v>
      </c>
      <c r="F1934" t="s"/>
      <c r="G1934" t="s"/>
      <c r="H1934" t="s"/>
      <c r="I1934" t="s"/>
      <c r="J1934" t="n">
        <v>0.659</v>
      </c>
      <c r="K1934" t="n">
        <v>0</v>
      </c>
      <c r="L1934" t="n">
        <v>0.748</v>
      </c>
      <c r="M1934" t="n">
        <v>0.252</v>
      </c>
    </row>
    <row r="1935" spans="1:13">
      <c r="A1935" s="1">
        <f>HYPERLINK("http://www.twitter.com/NathanBLawrence/status/976537078770094084", "976537078770094084")</f>
        <v/>
      </c>
      <c r="B1935" s="2" t="n">
        <v>43180.80042824074</v>
      </c>
      <c r="C1935" t="n">
        <v>0</v>
      </c>
      <c r="D1935" t="n">
        <v>6</v>
      </c>
      <c r="E1935" t="s">
        <v>1938</v>
      </c>
      <c r="F1935" t="s"/>
      <c r="G1935" t="s"/>
      <c r="H1935" t="s"/>
      <c r="I1935" t="s"/>
      <c r="J1935" t="n">
        <v>-0.4767</v>
      </c>
      <c r="K1935" t="n">
        <v>0.209</v>
      </c>
      <c r="L1935" t="n">
        <v>0.696</v>
      </c>
      <c r="M1935" t="n">
        <v>0.095</v>
      </c>
    </row>
    <row r="1936" spans="1:13">
      <c r="A1936" s="1">
        <f>HYPERLINK("http://www.twitter.com/NathanBLawrence/status/976536980254330886", "976536980254330886")</f>
        <v/>
      </c>
      <c r="B1936" s="2" t="n">
        <v>43180.80015046296</v>
      </c>
      <c r="C1936" t="n">
        <v>0</v>
      </c>
      <c r="D1936" t="n">
        <v>6</v>
      </c>
      <c r="E1936" t="s">
        <v>1939</v>
      </c>
      <c r="F1936" t="s"/>
      <c r="G1936" t="s"/>
      <c r="H1936" t="s"/>
      <c r="I1936" t="s"/>
      <c r="J1936" t="n">
        <v>0.7717000000000001</v>
      </c>
      <c r="K1936" t="n">
        <v>0</v>
      </c>
      <c r="L1936" t="n">
        <v>0.732</v>
      </c>
      <c r="M1936" t="n">
        <v>0.268</v>
      </c>
    </row>
    <row r="1937" spans="1:13">
      <c r="A1937" s="1">
        <f>HYPERLINK("http://www.twitter.com/NathanBLawrence/status/976536827950661633", "976536827950661633")</f>
        <v/>
      </c>
      <c r="B1937" s="2" t="n">
        <v>43180.7997337963</v>
      </c>
      <c r="C1937" t="n">
        <v>0</v>
      </c>
      <c r="D1937" t="n">
        <v>19593</v>
      </c>
      <c r="E1937" t="s">
        <v>1940</v>
      </c>
      <c r="F1937" t="s"/>
      <c r="G1937" t="s"/>
      <c r="H1937" t="s"/>
      <c r="I1937" t="s"/>
      <c r="J1937" t="n">
        <v>-0.6908</v>
      </c>
      <c r="K1937" t="n">
        <v>0.231</v>
      </c>
      <c r="L1937" t="n">
        <v>0.769</v>
      </c>
      <c r="M1937" t="n">
        <v>0</v>
      </c>
    </row>
    <row r="1938" spans="1:13">
      <c r="A1938" s="1">
        <f>HYPERLINK("http://www.twitter.com/NathanBLawrence/status/976536759126450179", "976536759126450179")</f>
        <v/>
      </c>
      <c r="B1938" s="2" t="n">
        <v>43180.79954861111</v>
      </c>
      <c r="C1938" t="n">
        <v>0</v>
      </c>
      <c r="D1938" t="n">
        <v>4</v>
      </c>
      <c r="E1938" t="s">
        <v>1941</v>
      </c>
      <c r="F1938" t="s"/>
      <c r="G1938" t="s"/>
      <c r="H1938" t="s"/>
      <c r="I1938" t="s"/>
      <c r="J1938" t="n">
        <v>-0.5574</v>
      </c>
      <c r="K1938" t="n">
        <v>0.161</v>
      </c>
      <c r="L1938" t="n">
        <v>0.785</v>
      </c>
      <c r="M1938" t="n">
        <v>0.054</v>
      </c>
    </row>
    <row r="1939" spans="1:13">
      <c r="A1939" s="1">
        <f>HYPERLINK("http://www.twitter.com/NathanBLawrence/status/976536698791301121", "976536698791301121")</f>
        <v/>
      </c>
      <c r="B1939" s="2" t="n">
        <v>43180.799375</v>
      </c>
      <c r="C1939" t="n">
        <v>0</v>
      </c>
      <c r="D1939" t="n">
        <v>5</v>
      </c>
      <c r="E1939" t="s">
        <v>1942</v>
      </c>
      <c r="F1939" t="s"/>
      <c r="G1939" t="s"/>
      <c r="H1939" t="s"/>
      <c r="I1939" t="s"/>
      <c r="J1939" t="n">
        <v>-0.9493</v>
      </c>
      <c r="K1939" t="n">
        <v>0.496</v>
      </c>
      <c r="L1939" t="n">
        <v>0.504</v>
      </c>
      <c r="M1939" t="n">
        <v>0</v>
      </c>
    </row>
    <row r="1940" spans="1:13">
      <c r="A1940" s="1">
        <f>HYPERLINK("http://www.twitter.com/NathanBLawrence/status/976536489281642497", "976536489281642497")</f>
        <v/>
      </c>
      <c r="B1940" s="2" t="n">
        <v>43180.79879629629</v>
      </c>
      <c r="C1940" t="n">
        <v>0</v>
      </c>
      <c r="D1940" t="n">
        <v>68</v>
      </c>
      <c r="E1940" t="s">
        <v>1943</v>
      </c>
      <c r="F1940" t="s"/>
      <c r="G1940" t="s"/>
      <c r="H1940" t="s"/>
      <c r="I1940" t="s"/>
      <c r="J1940" t="n">
        <v>-0.6124000000000001</v>
      </c>
      <c r="K1940" t="n">
        <v>0.295</v>
      </c>
      <c r="L1940" t="n">
        <v>0.574</v>
      </c>
      <c r="M1940" t="n">
        <v>0.131</v>
      </c>
    </row>
    <row r="1941" spans="1:13">
      <c r="A1941" s="1">
        <f>HYPERLINK("http://www.twitter.com/NathanBLawrence/status/976536454452187136", "976536454452187136")</f>
        <v/>
      </c>
      <c r="B1941" s="2" t="n">
        <v>43180.7987037037</v>
      </c>
      <c r="C1941" t="n">
        <v>0</v>
      </c>
      <c r="D1941" t="n">
        <v>8</v>
      </c>
      <c r="E1941" t="s">
        <v>1944</v>
      </c>
      <c r="F1941" t="s"/>
      <c r="G1941" t="s"/>
      <c r="H1941" t="s"/>
      <c r="I1941" t="s"/>
      <c r="J1941" t="n">
        <v>-0.8442</v>
      </c>
      <c r="K1941" t="n">
        <v>0.394</v>
      </c>
      <c r="L1941" t="n">
        <v>0.606</v>
      </c>
      <c r="M1941" t="n">
        <v>0</v>
      </c>
    </row>
    <row r="1942" spans="1:13">
      <c r="A1942" s="1">
        <f>HYPERLINK("http://www.twitter.com/NathanBLawrence/status/976274712920772614", "976274712920772614")</f>
        <v/>
      </c>
      <c r="B1942" s="2" t="n">
        <v>43180.07643518518</v>
      </c>
      <c r="C1942" t="n">
        <v>3</v>
      </c>
      <c r="D1942" t="n">
        <v>1</v>
      </c>
      <c r="E1942" t="s">
        <v>1945</v>
      </c>
      <c r="F1942" t="s"/>
      <c r="G1942" t="s"/>
      <c r="H1942" t="s"/>
      <c r="I1942" t="s"/>
      <c r="J1942" t="n">
        <v>0</v>
      </c>
      <c r="K1942" t="n">
        <v>0</v>
      </c>
      <c r="L1942" t="n">
        <v>1</v>
      </c>
      <c r="M1942" t="n">
        <v>0</v>
      </c>
    </row>
    <row r="1943" spans="1:13">
      <c r="A1943" s="1">
        <f>HYPERLINK("http://www.twitter.com/NathanBLawrence/status/976274052615671813", "976274052615671813")</f>
        <v/>
      </c>
      <c r="B1943" s="2" t="n">
        <v>43180.07461805556</v>
      </c>
      <c r="C1943" t="n">
        <v>1</v>
      </c>
      <c r="D1943" t="n">
        <v>0</v>
      </c>
      <c r="E1943" t="s">
        <v>1946</v>
      </c>
      <c r="F1943" t="s"/>
      <c r="G1943" t="s"/>
      <c r="H1943" t="s"/>
      <c r="I1943" t="s"/>
      <c r="J1943" t="n">
        <v>0.296</v>
      </c>
      <c r="K1943" t="n">
        <v>0</v>
      </c>
      <c r="L1943" t="n">
        <v>0.694</v>
      </c>
      <c r="M1943" t="n">
        <v>0.306</v>
      </c>
    </row>
    <row r="1944" spans="1:13">
      <c r="A1944" s="1">
        <f>HYPERLINK("http://www.twitter.com/NathanBLawrence/status/976273183987961856", "976273183987961856")</f>
        <v/>
      </c>
      <c r="B1944" s="2" t="n">
        <v>43180.07221064815</v>
      </c>
      <c r="C1944" t="n">
        <v>1</v>
      </c>
      <c r="D1944" t="n">
        <v>0</v>
      </c>
      <c r="E1944" t="s">
        <v>1947</v>
      </c>
      <c r="F1944" t="s"/>
      <c r="G1944" t="s"/>
      <c r="H1944" t="s"/>
      <c r="I1944" t="s"/>
      <c r="J1944" t="n">
        <v>-0.3427</v>
      </c>
      <c r="K1944" t="n">
        <v>0.211</v>
      </c>
      <c r="L1944" t="n">
        <v>0.54</v>
      </c>
      <c r="M1944" t="n">
        <v>0.248</v>
      </c>
    </row>
    <row r="1945" spans="1:13">
      <c r="A1945" s="1">
        <f>HYPERLINK("http://www.twitter.com/NathanBLawrence/status/976272917469286401", "976272917469286401")</f>
        <v/>
      </c>
      <c r="B1945" s="2" t="n">
        <v>43180.07148148148</v>
      </c>
      <c r="C1945" t="n">
        <v>0</v>
      </c>
      <c r="D1945" t="n">
        <v>0</v>
      </c>
      <c r="E1945" t="s">
        <v>1948</v>
      </c>
      <c r="F1945" t="s"/>
      <c r="G1945" t="s"/>
      <c r="H1945" t="s"/>
      <c r="I1945" t="s"/>
      <c r="J1945" t="n">
        <v>0.296</v>
      </c>
      <c r="K1945" t="n">
        <v>0</v>
      </c>
      <c r="L1945" t="n">
        <v>0.645</v>
      </c>
      <c r="M1945" t="n">
        <v>0.355</v>
      </c>
    </row>
    <row r="1946" spans="1:13">
      <c r="A1946" s="1">
        <f>HYPERLINK("http://www.twitter.com/NathanBLawrence/status/976272587658588161", "976272587658588161")</f>
        <v/>
      </c>
      <c r="B1946" s="2" t="n">
        <v>43180.07056712963</v>
      </c>
      <c r="C1946" t="n">
        <v>1</v>
      </c>
      <c r="D1946" t="n">
        <v>0</v>
      </c>
      <c r="E1946" t="s">
        <v>1949</v>
      </c>
      <c r="F1946" t="s"/>
      <c r="G1946" t="s"/>
      <c r="H1946" t="s"/>
      <c r="I1946" t="s"/>
      <c r="J1946" t="n">
        <v>0</v>
      </c>
      <c r="K1946" t="n">
        <v>0</v>
      </c>
      <c r="L1946" t="n">
        <v>1</v>
      </c>
      <c r="M1946" t="n">
        <v>0</v>
      </c>
    </row>
    <row r="1947" spans="1:13">
      <c r="A1947" s="1">
        <f>HYPERLINK("http://www.twitter.com/NathanBLawrence/status/976272490921123840", "976272490921123840")</f>
        <v/>
      </c>
      <c r="B1947" s="2" t="n">
        <v>43180.07030092592</v>
      </c>
      <c r="C1947" t="n">
        <v>1</v>
      </c>
      <c r="D1947" t="n">
        <v>0</v>
      </c>
      <c r="E1947" t="s">
        <v>1950</v>
      </c>
      <c r="F1947" t="s"/>
      <c r="G1947" t="s"/>
      <c r="H1947" t="s"/>
      <c r="I1947" t="s"/>
      <c r="J1947" t="n">
        <v>0</v>
      </c>
      <c r="K1947" t="n">
        <v>0</v>
      </c>
      <c r="L1947" t="n">
        <v>1</v>
      </c>
      <c r="M1947" t="n">
        <v>0</v>
      </c>
    </row>
    <row r="1948" spans="1:13">
      <c r="A1948" s="1">
        <f>HYPERLINK("http://www.twitter.com/NathanBLawrence/status/976272467089068032", "976272467089068032")</f>
        <v/>
      </c>
      <c r="B1948" s="2" t="n">
        <v>43180.07024305555</v>
      </c>
      <c r="C1948" t="n">
        <v>0</v>
      </c>
      <c r="D1948" t="n">
        <v>13</v>
      </c>
      <c r="E1948" t="s">
        <v>1951</v>
      </c>
      <c r="F1948" t="s"/>
      <c r="G1948" t="s"/>
      <c r="H1948" t="s"/>
      <c r="I1948" t="s"/>
      <c r="J1948" t="n">
        <v>0.2023</v>
      </c>
      <c r="K1948" t="n">
        <v>0.124</v>
      </c>
      <c r="L1948" t="n">
        <v>0.718</v>
      </c>
      <c r="M1948" t="n">
        <v>0.158</v>
      </c>
    </row>
    <row r="1949" spans="1:13">
      <c r="A1949" s="1">
        <f>HYPERLINK("http://www.twitter.com/NathanBLawrence/status/976272413074870272", "976272413074870272")</f>
        <v/>
      </c>
      <c r="B1949" s="2" t="n">
        <v>43180.07009259259</v>
      </c>
      <c r="C1949" t="n">
        <v>8</v>
      </c>
      <c r="D1949" t="n">
        <v>1</v>
      </c>
      <c r="E1949" t="s">
        <v>1952</v>
      </c>
      <c r="F1949" t="s"/>
      <c r="G1949" t="s"/>
      <c r="H1949" t="s"/>
      <c r="I1949" t="s"/>
      <c r="J1949" t="n">
        <v>0</v>
      </c>
      <c r="K1949" t="n">
        <v>0</v>
      </c>
      <c r="L1949" t="n">
        <v>1</v>
      </c>
      <c r="M1949" t="n">
        <v>0</v>
      </c>
    </row>
    <row r="1950" spans="1:13">
      <c r="A1950" s="1">
        <f>HYPERLINK("http://www.twitter.com/NathanBLawrence/status/976272124733198336", "976272124733198336")</f>
        <v/>
      </c>
      <c r="B1950" s="2" t="n">
        <v>43180.06929398148</v>
      </c>
      <c r="C1950" t="n">
        <v>3</v>
      </c>
      <c r="D1950" t="n">
        <v>0</v>
      </c>
      <c r="E1950" t="s">
        <v>1953</v>
      </c>
      <c r="F1950" t="s"/>
      <c r="G1950" t="s"/>
      <c r="H1950" t="s"/>
      <c r="I1950" t="s"/>
      <c r="J1950" t="n">
        <v>-0.1027</v>
      </c>
      <c r="K1950" t="n">
        <v>0.412</v>
      </c>
      <c r="L1950" t="n">
        <v>0.588</v>
      </c>
      <c r="M1950" t="n">
        <v>0</v>
      </c>
    </row>
    <row r="1951" spans="1:13">
      <c r="A1951" s="1">
        <f>HYPERLINK("http://www.twitter.com/NathanBLawrence/status/976271960358481921", "976271960358481921")</f>
        <v/>
      </c>
      <c r="B1951" s="2" t="n">
        <v>43180.06884259259</v>
      </c>
      <c r="C1951" t="n">
        <v>1</v>
      </c>
      <c r="D1951" t="n">
        <v>0</v>
      </c>
      <c r="E1951" t="s">
        <v>1954</v>
      </c>
      <c r="F1951" t="s"/>
      <c r="G1951" t="s"/>
      <c r="H1951" t="s"/>
      <c r="I1951" t="s"/>
      <c r="J1951" t="n">
        <v>-0.3804</v>
      </c>
      <c r="K1951" t="n">
        <v>0.5649999999999999</v>
      </c>
      <c r="L1951" t="n">
        <v>0.435</v>
      </c>
      <c r="M1951" t="n">
        <v>0</v>
      </c>
    </row>
    <row r="1952" spans="1:13">
      <c r="A1952" s="1">
        <f>HYPERLINK("http://www.twitter.com/NathanBLawrence/status/976271568212037632", "976271568212037632")</f>
        <v/>
      </c>
      <c r="B1952" s="2" t="n">
        <v>43180.06775462963</v>
      </c>
      <c r="C1952" t="n">
        <v>0</v>
      </c>
      <c r="D1952" t="n">
        <v>4</v>
      </c>
      <c r="E1952" t="s">
        <v>1955</v>
      </c>
      <c r="F1952" t="s"/>
      <c r="G1952" t="s"/>
      <c r="H1952" t="s"/>
      <c r="I1952" t="s"/>
      <c r="J1952" t="n">
        <v>0.4767</v>
      </c>
      <c r="K1952" t="n">
        <v>0</v>
      </c>
      <c r="L1952" t="n">
        <v>0.819</v>
      </c>
      <c r="M1952" t="n">
        <v>0.181</v>
      </c>
    </row>
    <row r="1953" spans="1:13">
      <c r="A1953" s="1">
        <f>HYPERLINK("http://www.twitter.com/NathanBLawrence/status/976271466210779136", "976271466210779136")</f>
        <v/>
      </c>
      <c r="B1953" s="2" t="n">
        <v>43180.06747685185</v>
      </c>
      <c r="C1953" t="n">
        <v>0</v>
      </c>
      <c r="D1953" t="n">
        <v>5</v>
      </c>
      <c r="E1953" t="s">
        <v>1956</v>
      </c>
      <c r="F1953" t="s"/>
      <c r="G1953" t="s"/>
      <c r="H1953" t="s"/>
      <c r="I1953" t="s"/>
      <c r="J1953" t="n">
        <v>0.1584</v>
      </c>
      <c r="K1953" t="n">
        <v>0.08400000000000001</v>
      </c>
      <c r="L1953" t="n">
        <v>0.77</v>
      </c>
      <c r="M1953" t="n">
        <v>0.146</v>
      </c>
    </row>
    <row r="1954" spans="1:13">
      <c r="A1954" s="1">
        <f>HYPERLINK("http://www.twitter.com/NathanBLawrence/status/976271430089347073", "976271430089347073")</f>
        <v/>
      </c>
      <c r="B1954" s="2" t="n">
        <v>43180.06737268518</v>
      </c>
      <c r="C1954" t="n">
        <v>0</v>
      </c>
      <c r="D1954" t="n">
        <v>4</v>
      </c>
      <c r="E1954" t="s">
        <v>1957</v>
      </c>
      <c r="F1954" t="s"/>
      <c r="G1954" t="s"/>
      <c r="H1954" t="s"/>
      <c r="I1954" t="s"/>
      <c r="J1954" t="n">
        <v>0</v>
      </c>
      <c r="K1954" t="n">
        <v>0</v>
      </c>
      <c r="L1954" t="n">
        <v>1</v>
      </c>
      <c r="M1954" t="n">
        <v>0</v>
      </c>
    </row>
    <row r="1955" spans="1:13">
      <c r="A1955" s="1">
        <f>HYPERLINK("http://www.twitter.com/NathanBLawrence/status/976271324585873408", "976271324585873408")</f>
        <v/>
      </c>
      <c r="B1955" s="2" t="n">
        <v>43180.06708333334</v>
      </c>
      <c r="C1955" t="n">
        <v>1</v>
      </c>
      <c r="D1955" t="n">
        <v>0</v>
      </c>
      <c r="E1955" t="s">
        <v>1958</v>
      </c>
      <c r="F1955" t="s"/>
      <c r="G1955" t="s"/>
      <c r="H1955" t="s"/>
      <c r="I1955" t="s"/>
      <c r="J1955" t="n">
        <v>0</v>
      </c>
      <c r="K1955" t="n">
        <v>0</v>
      </c>
      <c r="L1955" t="n">
        <v>1</v>
      </c>
      <c r="M1955" t="n">
        <v>0</v>
      </c>
    </row>
    <row r="1956" spans="1:13">
      <c r="A1956" s="1">
        <f>HYPERLINK("http://www.twitter.com/NathanBLawrence/status/976271238132912133", "976271238132912133")</f>
        <v/>
      </c>
      <c r="B1956" s="2" t="n">
        <v>43180.06685185185</v>
      </c>
      <c r="C1956" t="n">
        <v>0</v>
      </c>
      <c r="D1956" t="n">
        <v>2</v>
      </c>
      <c r="E1956" t="s">
        <v>1959</v>
      </c>
      <c r="F1956" t="s"/>
      <c r="G1956" t="s"/>
      <c r="H1956" t="s"/>
      <c r="I1956" t="s"/>
      <c r="J1956" t="n">
        <v>0.2732</v>
      </c>
      <c r="K1956" t="n">
        <v>0.056</v>
      </c>
      <c r="L1956" t="n">
        <v>0.843</v>
      </c>
      <c r="M1956" t="n">
        <v>0.1</v>
      </c>
    </row>
    <row r="1957" spans="1:13">
      <c r="A1957" s="1">
        <f>HYPERLINK("http://www.twitter.com/NathanBLawrence/status/976271062450270208", "976271062450270208")</f>
        <v/>
      </c>
      <c r="B1957" s="2" t="n">
        <v>43180.06636574074</v>
      </c>
      <c r="C1957" t="n">
        <v>1</v>
      </c>
      <c r="D1957" t="n">
        <v>0</v>
      </c>
      <c r="E1957" t="s">
        <v>1960</v>
      </c>
      <c r="F1957" t="s"/>
      <c r="G1957" t="s"/>
      <c r="H1957" t="s"/>
      <c r="I1957" t="s"/>
      <c r="J1957" t="n">
        <v>0.4404</v>
      </c>
      <c r="K1957" t="n">
        <v>0</v>
      </c>
      <c r="L1957" t="n">
        <v>0.707</v>
      </c>
      <c r="M1957" t="n">
        <v>0.293</v>
      </c>
    </row>
    <row r="1958" spans="1:13">
      <c r="A1958" s="1">
        <f>HYPERLINK("http://www.twitter.com/NathanBLawrence/status/976270903444213760", "976270903444213760")</f>
        <v/>
      </c>
      <c r="B1958" s="2" t="n">
        <v>43180.06592592593</v>
      </c>
      <c r="C1958" t="n">
        <v>0</v>
      </c>
      <c r="D1958" t="n">
        <v>1</v>
      </c>
      <c r="E1958" t="s">
        <v>1961</v>
      </c>
      <c r="F1958" t="s"/>
      <c r="G1958" t="s"/>
      <c r="H1958" t="s"/>
      <c r="I1958" t="s"/>
      <c r="J1958" t="n">
        <v>-0.5994</v>
      </c>
      <c r="K1958" t="n">
        <v>0.245</v>
      </c>
      <c r="L1958" t="n">
        <v>0.755</v>
      </c>
      <c r="M1958" t="n">
        <v>0</v>
      </c>
    </row>
    <row r="1959" spans="1:13">
      <c r="A1959" s="1">
        <f>HYPERLINK("http://www.twitter.com/NathanBLawrence/status/976270820422111232", "976270820422111232")</f>
        <v/>
      </c>
      <c r="B1959" s="2" t="n">
        <v>43180.06569444444</v>
      </c>
      <c r="C1959" t="n">
        <v>3</v>
      </c>
      <c r="D1959" t="n">
        <v>0</v>
      </c>
      <c r="E1959" t="s">
        <v>1962</v>
      </c>
      <c r="F1959" t="s"/>
      <c r="G1959" t="s"/>
      <c r="H1959" t="s"/>
      <c r="I1959" t="s"/>
      <c r="J1959" t="n">
        <v>-0.0258</v>
      </c>
      <c r="K1959" t="n">
        <v>0.08599999999999999</v>
      </c>
      <c r="L1959" t="n">
        <v>0.831</v>
      </c>
      <c r="M1959" t="n">
        <v>0.083</v>
      </c>
    </row>
    <row r="1960" spans="1:13">
      <c r="A1960" s="1">
        <f>HYPERLINK("http://www.twitter.com/NathanBLawrence/status/976270343164825600", "976270343164825600")</f>
        <v/>
      </c>
      <c r="B1960" s="2" t="n">
        <v>43180.064375</v>
      </c>
      <c r="C1960" t="n">
        <v>0</v>
      </c>
      <c r="D1960" t="n">
        <v>6</v>
      </c>
      <c r="E1960" t="s">
        <v>1963</v>
      </c>
      <c r="F1960" t="s"/>
      <c r="G1960" t="s"/>
      <c r="H1960" t="s"/>
      <c r="I1960" t="s"/>
      <c r="J1960" t="n">
        <v>0.3182</v>
      </c>
      <c r="K1960" t="n">
        <v>0</v>
      </c>
      <c r="L1960" t="n">
        <v>0.859</v>
      </c>
      <c r="M1960" t="n">
        <v>0.141</v>
      </c>
    </row>
    <row r="1961" spans="1:13">
      <c r="A1961" s="1">
        <f>HYPERLINK("http://www.twitter.com/NathanBLawrence/status/976270176953004033", "976270176953004033")</f>
        <v/>
      </c>
      <c r="B1961" s="2" t="n">
        <v>43180.06392361111</v>
      </c>
      <c r="C1961" t="n">
        <v>1</v>
      </c>
      <c r="D1961" t="n">
        <v>0</v>
      </c>
      <c r="E1961" t="s">
        <v>1964</v>
      </c>
      <c r="F1961" t="s"/>
      <c r="G1961" t="s"/>
      <c r="H1961" t="s"/>
      <c r="I1961" t="s"/>
      <c r="J1961" t="n">
        <v>0.2462</v>
      </c>
      <c r="K1961" t="n">
        <v>0</v>
      </c>
      <c r="L1961" t="n">
        <v>0.502</v>
      </c>
      <c r="M1961" t="n">
        <v>0.498</v>
      </c>
    </row>
    <row r="1962" spans="1:13">
      <c r="A1962" s="1">
        <f>HYPERLINK("http://www.twitter.com/NathanBLawrence/status/976269774350151681", "976269774350151681")</f>
        <v/>
      </c>
      <c r="B1962" s="2" t="n">
        <v>43180.0628125</v>
      </c>
      <c r="C1962" t="n">
        <v>8</v>
      </c>
      <c r="D1962" t="n">
        <v>1</v>
      </c>
      <c r="E1962" t="s">
        <v>1965</v>
      </c>
      <c r="F1962" t="s"/>
      <c r="G1962" t="s"/>
      <c r="H1962" t="s"/>
      <c r="I1962" t="s"/>
      <c r="J1962" t="n">
        <v>0</v>
      </c>
      <c r="K1962" t="n">
        <v>0</v>
      </c>
      <c r="L1962" t="n">
        <v>1</v>
      </c>
      <c r="M1962" t="n">
        <v>0</v>
      </c>
    </row>
    <row r="1963" spans="1:13">
      <c r="A1963" s="1">
        <f>HYPERLINK("http://www.twitter.com/NathanBLawrence/status/976269450776338432", "976269450776338432")</f>
        <v/>
      </c>
      <c r="B1963" s="2" t="n">
        <v>43180.06190972222</v>
      </c>
      <c r="C1963" t="n">
        <v>0</v>
      </c>
      <c r="D1963" t="n">
        <v>137</v>
      </c>
      <c r="E1963" t="s">
        <v>1966</v>
      </c>
      <c r="F1963">
        <f>HYPERLINK("http://pbs.twimg.com/media/DYvSQNIVoAA_1UM.jpg", "http://pbs.twimg.com/media/DYvSQNIVoAA_1UM.jpg")</f>
        <v/>
      </c>
      <c r="G1963" t="s"/>
      <c r="H1963" t="s"/>
      <c r="I1963" t="s"/>
      <c r="J1963" t="n">
        <v>0.6124000000000001</v>
      </c>
      <c r="K1963" t="n">
        <v>0</v>
      </c>
      <c r="L1963" t="n">
        <v>0.792</v>
      </c>
      <c r="M1963" t="n">
        <v>0.208</v>
      </c>
    </row>
    <row r="1964" spans="1:13">
      <c r="A1964" s="1">
        <f>HYPERLINK("http://www.twitter.com/NathanBLawrence/status/976269258878529536", "976269258878529536")</f>
        <v/>
      </c>
      <c r="B1964" s="2" t="n">
        <v>43180.06138888889</v>
      </c>
      <c r="C1964" t="n">
        <v>0</v>
      </c>
      <c r="D1964" t="n">
        <v>1</v>
      </c>
      <c r="E1964" t="s">
        <v>1967</v>
      </c>
      <c r="F1964">
        <f>HYPERLINK("http://pbs.twimg.com/media/DSzlLrtX4AAa0JG.jpg", "http://pbs.twimg.com/media/DSzlLrtX4AAa0JG.jpg")</f>
        <v/>
      </c>
      <c r="G1964" t="s"/>
      <c r="H1964" t="s"/>
      <c r="I1964" t="s"/>
      <c r="J1964" t="n">
        <v>-0.7184</v>
      </c>
      <c r="K1964" t="n">
        <v>0.286</v>
      </c>
      <c r="L1964" t="n">
        <v>0.714</v>
      </c>
      <c r="M1964" t="n">
        <v>0</v>
      </c>
    </row>
    <row r="1965" spans="1:13">
      <c r="A1965" s="1">
        <f>HYPERLINK("http://www.twitter.com/NathanBLawrence/status/976269177328631808", "976269177328631808")</f>
        <v/>
      </c>
      <c r="B1965" s="2" t="n">
        <v>43180.06115740741</v>
      </c>
      <c r="C1965" t="n">
        <v>0</v>
      </c>
      <c r="D1965" t="n">
        <v>1</v>
      </c>
      <c r="E1965" t="s">
        <v>1968</v>
      </c>
      <c r="F1965">
        <f>HYPERLINK("http://pbs.twimg.com/media/Cwx3_RnUkAAc7_Z.jpg", "http://pbs.twimg.com/media/Cwx3_RnUkAAc7_Z.jpg")</f>
        <v/>
      </c>
      <c r="G1965" t="s"/>
      <c r="H1965" t="s"/>
      <c r="I1965" t="s"/>
      <c r="J1965" t="n">
        <v>0.7964</v>
      </c>
      <c r="K1965" t="n">
        <v>0</v>
      </c>
      <c r="L1965" t="n">
        <v>0.534</v>
      </c>
      <c r="M1965" t="n">
        <v>0.466</v>
      </c>
    </row>
    <row r="1966" spans="1:13">
      <c r="A1966" s="1">
        <f>HYPERLINK("http://www.twitter.com/NathanBLawrence/status/976269118809739264", "976269118809739264")</f>
        <v/>
      </c>
      <c r="B1966" s="2" t="n">
        <v>43180.06099537037</v>
      </c>
      <c r="C1966" t="n">
        <v>0</v>
      </c>
      <c r="D1966" t="n">
        <v>2</v>
      </c>
      <c r="E1966" t="s">
        <v>1969</v>
      </c>
      <c r="F1966" t="s"/>
      <c r="G1966" t="s"/>
      <c r="H1966" t="s"/>
      <c r="I1966" t="s"/>
      <c r="J1966" t="n">
        <v>-0.6899999999999999</v>
      </c>
      <c r="K1966" t="n">
        <v>0.275</v>
      </c>
      <c r="L1966" t="n">
        <v>0.725</v>
      </c>
      <c r="M1966" t="n">
        <v>0</v>
      </c>
    </row>
    <row r="1967" spans="1:13">
      <c r="A1967" s="1">
        <f>HYPERLINK("http://www.twitter.com/NathanBLawrence/status/976269069094739968", "976269069094739968")</f>
        <v/>
      </c>
      <c r="B1967" s="2" t="n">
        <v>43180.06085648148</v>
      </c>
      <c r="C1967" t="n">
        <v>0</v>
      </c>
      <c r="D1967" t="n">
        <v>6</v>
      </c>
      <c r="E1967" t="s">
        <v>1970</v>
      </c>
      <c r="F1967" t="s"/>
      <c r="G1967" t="s"/>
      <c r="H1967" t="s"/>
      <c r="I1967" t="s"/>
      <c r="J1967" t="n">
        <v>-0.5423</v>
      </c>
      <c r="K1967" t="n">
        <v>0.163</v>
      </c>
      <c r="L1967" t="n">
        <v>0.837</v>
      </c>
      <c r="M1967" t="n">
        <v>0</v>
      </c>
    </row>
    <row r="1968" spans="1:13">
      <c r="A1968" s="1">
        <f>HYPERLINK("http://www.twitter.com/NathanBLawrence/status/976268976199225345", "976268976199225345")</f>
        <v/>
      </c>
      <c r="B1968" s="2" t="n">
        <v>43180.06060185185</v>
      </c>
      <c r="C1968" t="n">
        <v>0</v>
      </c>
      <c r="D1968" t="n">
        <v>12</v>
      </c>
      <c r="E1968" t="s">
        <v>1971</v>
      </c>
      <c r="F1968" t="s"/>
      <c r="G1968" t="s"/>
      <c r="H1968" t="s"/>
      <c r="I1968" t="s"/>
      <c r="J1968" t="n">
        <v>-0.4199</v>
      </c>
      <c r="K1968" t="n">
        <v>0.108</v>
      </c>
      <c r="L1968" t="n">
        <v>0.892</v>
      </c>
      <c r="M1968" t="n">
        <v>0</v>
      </c>
    </row>
    <row r="1969" spans="1:13">
      <c r="A1969" s="1">
        <f>HYPERLINK("http://www.twitter.com/NathanBLawrence/status/976268933455114241", "976268933455114241")</f>
        <v/>
      </c>
      <c r="B1969" s="2" t="n">
        <v>43180.06048611111</v>
      </c>
      <c r="C1969" t="n">
        <v>0</v>
      </c>
      <c r="D1969" t="n">
        <v>8</v>
      </c>
      <c r="E1969" t="s">
        <v>1972</v>
      </c>
      <c r="F1969">
        <f>HYPERLINK("http://pbs.twimg.com/media/DYwhaD4VwAAyDcw.jpg", "http://pbs.twimg.com/media/DYwhaD4VwAAyDcw.jpg")</f>
        <v/>
      </c>
      <c r="G1969" t="s"/>
      <c r="H1969" t="s"/>
      <c r="I1969" t="s"/>
      <c r="J1969" t="n">
        <v>-0.0772</v>
      </c>
      <c r="K1969" t="n">
        <v>0.075</v>
      </c>
      <c r="L1969" t="n">
        <v>0.925</v>
      </c>
      <c r="M1969" t="n">
        <v>0</v>
      </c>
    </row>
    <row r="1970" spans="1:13">
      <c r="A1970" s="1">
        <f>HYPERLINK("http://www.twitter.com/NathanBLawrence/status/976268817461645312", "976268817461645312")</f>
        <v/>
      </c>
      <c r="B1970" s="2" t="n">
        <v>43180.06016203704</v>
      </c>
      <c r="C1970" t="n">
        <v>0</v>
      </c>
      <c r="D1970" t="n">
        <v>12</v>
      </c>
      <c r="E1970" t="s">
        <v>1973</v>
      </c>
      <c r="F1970" t="s"/>
      <c r="G1970" t="s"/>
      <c r="H1970" t="s"/>
      <c r="I1970" t="s"/>
      <c r="J1970" t="n">
        <v>0.9285</v>
      </c>
      <c r="K1970" t="n">
        <v>0</v>
      </c>
      <c r="L1970" t="n">
        <v>0.594</v>
      </c>
      <c r="M1970" t="n">
        <v>0.406</v>
      </c>
    </row>
    <row r="1971" spans="1:13">
      <c r="A1971" s="1">
        <f>HYPERLINK("http://www.twitter.com/NathanBLawrence/status/976266332483317761", "976266332483317761")</f>
        <v/>
      </c>
      <c r="B1971" s="2" t="n">
        <v>43180.05331018518</v>
      </c>
      <c r="C1971" t="n">
        <v>0</v>
      </c>
      <c r="D1971" t="n">
        <v>1</v>
      </c>
      <c r="E1971" t="s">
        <v>1974</v>
      </c>
      <c r="F1971" t="s"/>
      <c r="G1971" t="s"/>
      <c r="H1971" t="s"/>
      <c r="I1971" t="s"/>
      <c r="J1971" t="n">
        <v>0.6597</v>
      </c>
      <c r="K1971" t="n">
        <v>0</v>
      </c>
      <c r="L1971" t="n">
        <v>0.748</v>
      </c>
      <c r="M1971" t="n">
        <v>0.252</v>
      </c>
    </row>
    <row r="1972" spans="1:13">
      <c r="A1972" s="1">
        <f>HYPERLINK("http://www.twitter.com/NathanBLawrence/status/976266294956871681", "976266294956871681")</f>
        <v/>
      </c>
      <c r="B1972" s="2" t="n">
        <v>43180.05320601852</v>
      </c>
      <c r="C1972" t="n">
        <v>3</v>
      </c>
      <c r="D1972" t="n">
        <v>3</v>
      </c>
      <c r="E1972" t="s">
        <v>1975</v>
      </c>
      <c r="F1972" t="s"/>
      <c r="G1972" t="s"/>
      <c r="H1972" t="s"/>
      <c r="I1972" t="s"/>
      <c r="J1972" t="n">
        <v>-0.4738</v>
      </c>
      <c r="K1972" t="n">
        <v>0.255</v>
      </c>
      <c r="L1972" t="n">
        <v>0.745</v>
      </c>
      <c r="M1972" t="n">
        <v>0</v>
      </c>
    </row>
    <row r="1973" spans="1:13">
      <c r="A1973" s="1">
        <f>HYPERLINK("http://www.twitter.com/NathanBLawrence/status/976266150215585793", "976266150215585793")</f>
        <v/>
      </c>
      <c r="B1973" s="2" t="n">
        <v>43180.0528125</v>
      </c>
      <c r="C1973" t="n">
        <v>0</v>
      </c>
      <c r="D1973" t="n">
        <v>96</v>
      </c>
      <c r="E1973" t="s">
        <v>1976</v>
      </c>
      <c r="F1973">
        <f>HYPERLINK("https://video.twimg.com/amplify_video/976235076517326853/vid/1280x720/_9QEB1P1TGBm1Bza.mp4", "https://video.twimg.com/amplify_video/976235076517326853/vid/1280x720/_9QEB1P1TGBm1Bza.mp4")</f>
        <v/>
      </c>
      <c r="G1973" t="s"/>
      <c r="H1973" t="s"/>
      <c r="I1973" t="s"/>
      <c r="J1973" t="n">
        <v>0.7717000000000001</v>
      </c>
      <c r="K1973" t="n">
        <v>0</v>
      </c>
      <c r="L1973" t="n">
        <v>0.758</v>
      </c>
      <c r="M1973" t="n">
        <v>0.242</v>
      </c>
    </row>
    <row r="1974" spans="1:13">
      <c r="A1974" s="1">
        <f>HYPERLINK("http://www.twitter.com/NathanBLawrence/status/976230741947371520", "976230741947371520")</f>
        <v/>
      </c>
      <c r="B1974" s="2" t="n">
        <v>43179.95510416666</v>
      </c>
      <c r="C1974" t="n">
        <v>0</v>
      </c>
      <c r="D1974" t="n">
        <v>0</v>
      </c>
      <c r="E1974" t="s">
        <v>1977</v>
      </c>
      <c r="F1974" t="s"/>
      <c r="G1974" t="s"/>
      <c r="H1974" t="s"/>
      <c r="I1974" t="s"/>
      <c r="J1974" t="n">
        <v>0.1511</v>
      </c>
      <c r="K1974" t="n">
        <v>0.17</v>
      </c>
      <c r="L1974" t="n">
        <v>0.695</v>
      </c>
      <c r="M1974" t="n">
        <v>0.135</v>
      </c>
    </row>
    <row r="1975" spans="1:13">
      <c r="A1975" s="1">
        <f>HYPERLINK("http://www.twitter.com/NathanBLawrence/status/976229954768789506", "976229954768789506")</f>
        <v/>
      </c>
      <c r="B1975" s="2" t="n">
        <v>43179.95292824074</v>
      </c>
      <c r="C1975" t="n">
        <v>0</v>
      </c>
      <c r="D1975" t="n">
        <v>0</v>
      </c>
      <c r="E1975" t="s">
        <v>1978</v>
      </c>
      <c r="F1975" t="s"/>
      <c r="G1975" t="s"/>
      <c r="H1975" t="s"/>
      <c r="I1975" t="s"/>
      <c r="J1975" t="n">
        <v>0.0258</v>
      </c>
      <c r="K1975" t="n">
        <v>0.096</v>
      </c>
      <c r="L1975" t="n">
        <v>0.803</v>
      </c>
      <c r="M1975" t="n">
        <v>0.1</v>
      </c>
    </row>
    <row r="1976" spans="1:13">
      <c r="A1976" s="1">
        <f>HYPERLINK("http://www.twitter.com/NathanBLawrence/status/976229456401625116", "976229456401625116")</f>
        <v/>
      </c>
      <c r="B1976" s="2" t="n">
        <v>43179.95155092593</v>
      </c>
      <c r="C1976" t="n">
        <v>1</v>
      </c>
      <c r="D1976" t="n">
        <v>0</v>
      </c>
      <c r="E1976" t="s">
        <v>1979</v>
      </c>
      <c r="F1976" t="s"/>
      <c r="G1976" t="s"/>
      <c r="H1976" t="s"/>
      <c r="I1976" t="s"/>
      <c r="J1976" t="n">
        <v>-0.3252</v>
      </c>
      <c r="K1976" t="n">
        <v>0.121</v>
      </c>
      <c r="L1976" t="n">
        <v>0.879</v>
      </c>
      <c r="M1976" t="n">
        <v>0</v>
      </c>
    </row>
    <row r="1977" spans="1:13">
      <c r="A1977" s="1">
        <f>HYPERLINK("http://www.twitter.com/NathanBLawrence/status/976228942003736576", "976228942003736576")</f>
        <v/>
      </c>
      <c r="B1977" s="2" t="n">
        <v>43179.95012731481</v>
      </c>
      <c r="C1977" t="n">
        <v>3</v>
      </c>
      <c r="D1977" t="n">
        <v>4</v>
      </c>
      <c r="E1977" t="s">
        <v>1980</v>
      </c>
      <c r="F1977" t="s"/>
      <c r="G1977" t="s"/>
      <c r="H1977" t="s"/>
      <c r="I1977" t="s"/>
      <c r="J1977" t="n">
        <v>-0.6597</v>
      </c>
      <c r="K1977" t="n">
        <v>0.147</v>
      </c>
      <c r="L1977" t="n">
        <v>0.853</v>
      </c>
      <c r="M1977" t="n">
        <v>0</v>
      </c>
    </row>
    <row r="1978" spans="1:13">
      <c r="A1978" s="1">
        <f>HYPERLINK("http://www.twitter.com/NathanBLawrence/status/976228106821341184", "976228106821341184")</f>
        <v/>
      </c>
      <c r="B1978" s="2" t="n">
        <v>43179.94782407407</v>
      </c>
      <c r="C1978" t="n">
        <v>0</v>
      </c>
      <c r="D1978" t="n">
        <v>1</v>
      </c>
      <c r="E1978" t="s">
        <v>1981</v>
      </c>
      <c r="F1978" t="s"/>
      <c r="G1978" t="s"/>
      <c r="H1978" t="s"/>
      <c r="I1978" t="s"/>
      <c r="J1978" t="n">
        <v>0</v>
      </c>
      <c r="K1978" t="n">
        <v>0</v>
      </c>
      <c r="L1978" t="n">
        <v>1</v>
      </c>
      <c r="M1978" t="n">
        <v>0</v>
      </c>
    </row>
    <row r="1979" spans="1:13">
      <c r="A1979" s="1">
        <f>HYPERLINK("http://www.twitter.com/NathanBLawrence/status/976227450240761862", "976227450240761862")</f>
        <v/>
      </c>
      <c r="B1979" s="2" t="n">
        <v>43179.94601851852</v>
      </c>
      <c r="C1979" t="n">
        <v>0</v>
      </c>
      <c r="D1979" t="n">
        <v>0</v>
      </c>
      <c r="E1979" t="s">
        <v>1982</v>
      </c>
      <c r="F1979" t="s"/>
      <c r="G1979" t="s"/>
      <c r="H1979" t="s"/>
      <c r="I1979" t="s"/>
      <c r="J1979" t="n">
        <v>0</v>
      </c>
      <c r="K1979" t="n">
        <v>0</v>
      </c>
      <c r="L1979" t="n">
        <v>1</v>
      </c>
      <c r="M1979" t="n">
        <v>0</v>
      </c>
    </row>
    <row r="1980" spans="1:13">
      <c r="A1980" s="1">
        <f>HYPERLINK("http://www.twitter.com/NathanBLawrence/status/976227165221085194", "976227165221085194")</f>
        <v/>
      </c>
      <c r="B1980" s="2" t="n">
        <v>43179.94523148148</v>
      </c>
      <c r="C1980" t="n">
        <v>5</v>
      </c>
      <c r="D1980" t="n">
        <v>1</v>
      </c>
      <c r="E1980" t="s">
        <v>1983</v>
      </c>
      <c r="F1980" t="s"/>
      <c r="G1980" t="s"/>
      <c r="H1980" t="s"/>
      <c r="I1980" t="s"/>
      <c r="J1980" t="n">
        <v>-0.1531</v>
      </c>
      <c r="K1980" t="n">
        <v>0.08599999999999999</v>
      </c>
      <c r="L1980" t="n">
        <v>0.914</v>
      </c>
      <c r="M1980" t="n">
        <v>0</v>
      </c>
    </row>
    <row r="1981" spans="1:13">
      <c r="A1981" s="1">
        <f>HYPERLINK("http://www.twitter.com/NathanBLawrence/status/976226729843941378", "976226729843941378")</f>
        <v/>
      </c>
      <c r="B1981" s="2" t="n">
        <v>43179.94402777778</v>
      </c>
      <c r="C1981" t="n">
        <v>0</v>
      </c>
      <c r="D1981" t="n">
        <v>0</v>
      </c>
      <c r="E1981" t="s">
        <v>1984</v>
      </c>
      <c r="F1981" t="s"/>
      <c r="G1981" t="s"/>
      <c r="H1981" t="s"/>
      <c r="I1981" t="s"/>
      <c r="J1981" t="n">
        <v>0</v>
      </c>
      <c r="K1981" t="n">
        <v>0</v>
      </c>
      <c r="L1981" t="n">
        <v>1</v>
      </c>
      <c r="M1981" t="n">
        <v>0</v>
      </c>
    </row>
    <row r="1982" spans="1:13">
      <c r="A1982" s="1">
        <f>HYPERLINK("http://www.twitter.com/NathanBLawrence/status/976226301190246400", "976226301190246400")</f>
        <v/>
      </c>
      <c r="B1982" s="2" t="n">
        <v>43179.94284722222</v>
      </c>
      <c r="C1982" t="n">
        <v>0</v>
      </c>
      <c r="D1982" t="n">
        <v>6</v>
      </c>
      <c r="E1982" t="s">
        <v>1985</v>
      </c>
      <c r="F1982" t="s"/>
      <c r="G1982" t="s"/>
      <c r="H1982" t="s"/>
      <c r="I1982" t="s"/>
      <c r="J1982" t="n">
        <v>0</v>
      </c>
      <c r="K1982" t="n">
        <v>0</v>
      </c>
      <c r="L1982" t="n">
        <v>1</v>
      </c>
      <c r="M1982" t="n">
        <v>0</v>
      </c>
    </row>
    <row r="1983" spans="1:13">
      <c r="A1983" s="1">
        <f>HYPERLINK("http://www.twitter.com/NathanBLawrence/status/976225992057540608", "976225992057540608")</f>
        <v/>
      </c>
      <c r="B1983" s="2" t="n">
        <v>43179.94199074074</v>
      </c>
      <c r="C1983" t="n">
        <v>0</v>
      </c>
      <c r="D1983" t="n">
        <v>4</v>
      </c>
      <c r="E1983" t="s">
        <v>1986</v>
      </c>
      <c r="F1983" t="s"/>
      <c r="G1983" t="s"/>
      <c r="H1983" t="s"/>
      <c r="I1983" t="s"/>
      <c r="J1983" t="n">
        <v>0.4588</v>
      </c>
      <c r="K1983" t="n">
        <v>0</v>
      </c>
      <c r="L1983" t="n">
        <v>0.842</v>
      </c>
      <c r="M1983" t="n">
        <v>0.158</v>
      </c>
    </row>
    <row r="1984" spans="1:13">
      <c r="A1984" s="1">
        <f>HYPERLINK("http://www.twitter.com/NathanBLawrence/status/976225863032365061", "976225863032365061")</f>
        <v/>
      </c>
      <c r="B1984" s="2" t="n">
        <v>43179.94163194444</v>
      </c>
      <c r="C1984" t="n">
        <v>1</v>
      </c>
      <c r="D1984" t="n">
        <v>0</v>
      </c>
      <c r="E1984" t="s">
        <v>1987</v>
      </c>
      <c r="F1984" t="s"/>
      <c r="G1984" t="s"/>
      <c r="H1984" t="s"/>
      <c r="I1984" t="s"/>
      <c r="J1984" t="n">
        <v>0.0268</v>
      </c>
      <c r="K1984" t="n">
        <v>0.112</v>
      </c>
      <c r="L1984" t="n">
        <v>0.802</v>
      </c>
      <c r="M1984" t="n">
        <v>0.08599999999999999</v>
      </c>
    </row>
    <row r="1985" spans="1:13">
      <c r="A1985" s="1">
        <f>HYPERLINK("http://www.twitter.com/NathanBLawrence/status/976224782835384320", "976224782835384320")</f>
        <v/>
      </c>
      <c r="B1985" s="2" t="n">
        <v>43179.93865740741</v>
      </c>
      <c r="C1985" t="n">
        <v>0</v>
      </c>
      <c r="D1985" t="n">
        <v>0</v>
      </c>
      <c r="E1985" t="s">
        <v>1988</v>
      </c>
      <c r="F1985" t="s"/>
      <c r="G1985" t="s"/>
      <c r="H1985" t="s"/>
      <c r="I1985" t="s"/>
      <c r="J1985" t="n">
        <v>0</v>
      </c>
      <c r="K1985" t="n">
        <v>0</v>
      </c>
      <c r="L1985" t="n">
        <v>1</v>
      </c>
      <c r="M1985" t="n">
        <v>0</v>
      </c>
    </row>
    <row r="1986" spans="1:13">
      <c r="A1986" s="1">
        <f>HYPERLINK("http://www.twitter.com/NathanBLawrence/status/976224699549126661", "976224699549126661")</f>
        <v/>
      </c>
      <c r="B1986" s="2" t="n">
        <v>43179.93842592592</v>
      </c>
      <c r="C1986" t="n">
        <v>1</v>
      </c>
      <c r="D1986" t="n">
        <v>1</v>
      </c>
      <c r="E1986" t="s">
        <v>1989</v>
      </c>
      <c r="F1986" t="s"/>
      <c r="G1986" t="s"/>
      <c r="H1986" t="s"/>
      <c r="I1986" t="s"/>
      <c r="J1986" t="n">
        <v>-0.6072</v>
      </c>
      <c r="K1986" t="n">
        <v>0.151</v>
      </c>
      <c r="L1986" t="n">
        <v>0.8</v>
      </c>
      <c r="M1986" t="n">
        <v>0.049</v>
      </c>
    </row>
    <row r="1987" spans="1:13">
      <c r="A1987" s="1">
        <f>HYPERLINK("http://www.twitter.com/NathanBLawrence/status/976223130288115712", "976223130288115712")</f>
        <v/>
      </c>
      <c r="B1987" s="2" t="n">
        <v>43179.93409722222</v>
      </c>
      <c r="C1987" t="n">
        <v>1</v>
      </c>
      <c r="D1987" t="n">
        <v>1</v>
      </c>
      <c r="E1987" t="s">
        <v>1990</v>
      </c>
      <c r="F1987" t="s"/>
      <c r="G1987" t="s"/>
      <c r="H1987" t="s"/>
      <c r="I1987" t="s"/>
      <c r="J1987" t="n">
        <v>0.7964</v>
      </c>
      <c r="K1987" t="n">
        <v>0</v>
      </c>
      <c r="L1987" t="n">
        <v>0.597</v>
      </c>
      <c r="M1987" t="n">
        <v>0.403</v>
      </c>
    </row>
    <row r="1988" spans="1:13">
      <c r="A1988" s="1">
        <f>HYPERLINK("http://www.twitter.com/NathanBLawrence/status/976222844672774144", "976222844672774144")</f>
        <v/>
      </c>
      <c r="B1988" s="2" t="n">
        <v>43179.93331018519</v>
      </c>
      <c r="C1988" t="n">
        <v>1</v>
      </c>
      <c r="D1988" t="n">
        <v>0</v>
      </c>
      <c r="E1988" t="s">
        <v>1991</v>
      </c>
      <c r="F1988" t="s"/>
      <c r="G1988" t="s"/>
      <c r="H1988" t="s"/>
      <c r="I1988" t="s"/>
      <c r="J1988" t="n">
        <v>0.0351</v>
      </c>
      <c r="K1988" t="n">
        <v>0.197</v>
      </c>
      <c r="L1988" t="n">
        <v>0.602</v>
      </c>
      <c r="M1988" t="n">
        <v>0.2</v>
      </c>
    </row>
    <row r="1989" spans="1:13">
      <c r="A1989" s="1">
        <f>HYPERLINK("http://www.twitter.com/NathanBLawrence/status/976222005476364290", "976222005476364290")</f>
        <v/>
      </c>
      <c r="B1989" s="2" t="n">
        <v>43179.93099537037</v>
      </c>
      <c r="C1989" t="n">
        <v>0</v>
      </c>
      <c r="D1989" t="n">
        <v>6</v>
      </c>
      <c r="E1989" t="s">
        <v>1992</v>
      </c>
      <c r="F1989">
        <f>HYPERLINK("http://pbs.twimg.com/media/DYwdIg1UQAAgteK.jpg", "http://pbs.twimg.com/media/DYwdIg1UQAAgteK.jpg")</f>
        <v/>
      </c>
      <c r="G1989" t="s"/>
      <c r="H1989" t="s"/>
      <c r="I1989" t="s"/>
      <c r="J1989" t="n">
        <v>-0.0258</v>
      </c>
      <c r="K1989" t="n">
        <v>0.109</v>
      </c>
      <c r="L1989" t="n">
        <v>0.787</v>
      </c>
      <c r="M1989" t="n">
        <v>0.105</v>
      </c>
    </row>
    <row r="1990" spans="1:13">
      <c r="A1990" s="1">
        <f>HYPERLINK("http://www.twitter.com/NathanBLawrence/status/976221149653880835", "976221149653880835")</f>
        <v/>
      </c>
      <c r="B1990" s="2" t="n">
        <v>43179.92863425926</v>
      </c>
      <c r="C1990" t="n">
        <v>0</v>
      </c>
      <c r="D1990" t="n">
        <v>5</v>
      </c>
      <c r="E1990" t="s">
        <v>1993</v>
      </c>
      <c r="F1990">
        <f>HYPERLINK("http://pbs.twimg.com/media/DYwQabjV4AAQ_sO.jpg", "http://pbs.twimg.com/media/DYwQabjV4AAQ_sO.jpg")</f>
        <v/>
      </c>
      <c r="G1990" t="s"/>
      <c r="H1990" t="s"/>
      <c r="I1990" t="s"/>
      <c r="J1990" t="n">
        <v>0</v>
      </c>
      <c r="K1990" t="n">
        <v>0</v>
      </c>
      <c r="L1990" t="n">
        <v>1</v>
      </c>
      <c r="M1990" t="n">
        <v>0</v>
      </c>
    </row>
    <row r="1991" spans="1:13">
      <c r="A1991" s="1">
        <f>HYPERLINK("http://www.twitter.com/NathanBLawrence/status/976221077071384577", "976221077071384577")</f>
        <v/>
      </c>
      <c r="B1991" s="2" t="n">
        <v>43179.92842592593</v>
      </c>
      <c r="C1991" t="n">
        <v>0</v>
      </c>
      <c r="D1991" t="n">
        <v>11</v>
      </c>
      <c r="E1991" t="s">
        <v>1994</v>
      </c>
      <c r="F1991">
        <f>HYPERLINK("http://pbs.twimg.com/media/DYv9vLiU0AAWcnC.jpg", "http://pbs.twimg.com/media/DYv9vLiU0AAWcnC.jpg")</f>
        <v/>
      </c>
      <c r="G1991" t="s"/>
      <c r="H1991" t="s"/>
      <c r="I1991" t="s"/>
      <c r="J1991" t="n">
        <v>-0.6908</v>
      </c>
      <c r="K1991" t="n">
        <v>0.241</v>
      </c>
      <c r="L1991" t="n">
        <v>0.759</v>
      </c>
      <c r="M1991" t="n">
        <v>0</v>
      </c>
    </row>
    <row r="1992" spans="1:13">
      <c r="A1992" s="1">
        <f>HYPERLINK("http://www.twitter.com/NathanBLawrence/status/976220544516452352", "976220544516452352")</f>
        <v/>
      </c>
      <c r="B1992" s="2" t="n">
        <v>43179.92695601852</v>
      </c>
      <c r="C1992" t="n">
        <v>0</v>
      </c>
      <c r="D1992" t="n">
        <v>5</v>
      </c>
      <c r="E1992" t="s">
        <v>1995</v>
      </c>
      <c r="F1992">
        <f>HYPERLINK("http://pbs.twimg.com/media/DYwDCKGUMAAiFyw.jpg", "http://pbs.twimg.com/media/DYwDCKGUMAAiFyw.jpg")</f>
        <v/>
      </c>
      <c r="G1992" t="s"/>
      <c r="H1992" t="s"/>
      <c r="I1992" t="s"/>
      <c r="J1992" t="n">
        <v>0</v>
      </c>
      <c r="K1992" t="n">
        <v>0</v>
      </c>
      <c r="L1992" t="n">
        <v>1</v>
      </c>
      <c r="M1992" t="n">
        <v>0</v>
      </c>
    </row>
    <row r="1993" spans="1:13">
      <c r="A1993" s="1">
        <f>HYPERLINK("http://www.twitter.com/NathanBLawrence/status/976220463495110656", "976220463495110656")</f>
        <v/>
      </c>
      <c r="B1993" s="2" t="n">
        <v>43179.92673611111</v>
      </c>
      <c r="C1993" t="n">
        <v>0</v>
      </c>
      <c r="D1993" t="n">
        <v>7</v>
      </c>
      <c r="E1993" t="s">
        <v>1996</v>
      </c>
      <c r="F1993">
        <f>HYPERLINK("http://pbs.twimg.com/media/DYwCLIyVMAEwn9i.jpg", "http://pbs.twimg.com/media/DYwCLIyVMAEwn9i.jpg")</f>
        <v/>
      </c>
      <c r="G1993" t="s"/>
      <c r="H1993" t="s"/>
      <c r="I1993" t="s"/>
      <c r="J1993" t="n">
        <v>0</v>
      </c>
      <c r="K1993" t="n">
        <v>0</v>
      </c>
      <c r="L1993" t="n">
        <v>1</v>
      </c>
      <c r="M1993" t="n">
        <v>0</v>
      </c>
    </row>
    <row r="1994" spans="1:13">
      <c r="A1994" s="1">
        <f>HYPERLINK("http://www.twitter.com/NathanBLawrence/status/976220395102703616", "976220395102703616")</f>
        <v/>
      </c>
      <c r="B1994" s="2" t="n">
        <v>43179.92655092593</v>
      </c>
      <c r="C1994" t="n">
        <v>0</v>
      </c>
      <c r="D1994" t="n">
        <v>7</v>
      </c>
      <c r="E1994" t="s">
        <v>1997</v>
      </c>
      <c r="F1994" t="s"/>
      <c r="G1994" t="s"/>
      <c r="H1994" t="s"/>
      <c r="I1994" t="s"/>
      <c r="J1994" t="n">
        <v>-0.5385</v>
      </c>
      <c r="K1994" t="n">
        <v>0.219</v>
      </c>
      <c r="L1994" t="n">
        <v>0.781</v>
      </c>
      <c r="M1994" t="n">
        <v>0</v>
      </c>
    </row>
    <row r="1995" spans="1:13">
      <c r="A1995" s="1">
        <f>HYPERLINK("http://www.twitter.com/NathanBLawrence/status/976220295152488450", "976220295152488450")</f>
        <v/>
      </c>
      <c r="B1995" s="2" t="n">
        <v>43179.92627314815</v>
      </c>
      <c r="C1995" t="n">
        <v>0</v>
      </c>
      <c r="D1995" t="n">
        <v>1</v>
      </c>
      <c r="E1995" t="s">
        <v>1998</v>
      </c>
      <c r="F1995" t="s"/>
      <c r="G1995" t="s"/>
      <c r="H1995" t="s"/>
      <c r="I1995" t="s"/>
      <c r="J1995" t="n">
        <v>0</v>
      </c>
      <c r="K1995" t="n">
        <v>0</v>
      </c>
      <c r="L1995" t="n">
        <v>1</v>
      </c>
      <c r="M1995" t="n">
        <v>0</v>
      </c>
    </row>
    <row r="1996" spans="1:13">
      <c r="A1996" s="1">
        <f>HYPERLINK("http://www.twitter.com/NathanBLawrence/status/976220258318061571", "976220258318061571")</f>
        <v/>
      </c>
      <c r="B1996" s="2" t="n">
        <v>43179.92616898148</v>
      </c>
      <c r="C1996" t="n">
        <v>0</v>
      </c>
      <c r="D1996" t="n">
        <v>14</v>
      </c>
      <c r="E1996" t="s">
        <v>1999</v>
      </c>
      <c r="F1996">
        <f>HYPERLINK("http://pbs.twimg.com/media/DYvgF9cVwAAxyYQ.jpg", "http://pbs.twimg.com/media/DYvgF9cVwAAxyYQ.jpg")</f>
        <v/>
      </c>
      <c r="G1996" t="s"/>
      <c r="H1996" t="s"/>
      <c r="I1996" t="s"/>
      <c r="J1996" t="n">
        <v>-0.4199</v>
      </c>
      <c r="K1996" t="n">
        <v>0.128</v>
      </c>
      <c r="L1996" t="n">
        <v>0.872</v>
      </c>
      <c r="M1996" t="n">
        <v>0</v>
      </c>
    </row>
    <row r="1997" spans="1:13">
      <c r="A1997" s="1">
        <f>HYPERLINK("http://www.twitter.com/NathanBLawrence/status/976219876548374529", "976219876548374529")</f>
        <v/>
      </c>
      <c r="B1997" s="2" t="n">
        <v>43179.92511574074</v>
      </c>
      <c r="C1997" t="n">
        <v>1</v>
      </c>
      <c r="D1997" t="n">
        <v>0</v>
      </c>
      <c r="E1997" t="s">
        <v>2000</v>
      </c>
      <c r="F1997" t="s"/>
      <c r="G1997" t="s"/>
      <c r="H1997" t="s"/>
      <c r="I1997" t="s"/>
      <c r="J1997" t="n">
        <v>0.8519</v>
      </c>
      <c r="K1997" t="n">
        <v>0</v>
      </c>
      <c r="L1997" t="n">
        <v>0.52</v>
      </c>
      <c r="M1997" t="n">
        <v>0.48</v>
      </c>
    </row>
    <row r="1998" spans="1:13">
      <c r="A1998" s="1">
        <f>HYPERLINK("http://www.twitter.com/NathanBLawrence/status/976219676605902850", "976219676605902850")</f>
        <v/>
      </c>
      <c r="B1998" s="2" t="n">
        <v>43179.92456018519</v>
      </c>
      <c r="C1998" t="n">
        <v>0</v>
      </c>
      <c r="D1998" t="n">
        <v>1</v>
      </c>
      <c r="E1998" t="s">
        <v>2001</v>
      </c>
      <c r="F1998" t="s"/>
      <c r="G1998" t="s"/>
      <c r="H1998" t="s"/>
      <c r="I1998" t="s"/>
      <c r="J1998" t="n">
        <v>0.802</v>
      </c>
      <c r="K1998" t="n">
        <v>0.167</v>
      </c>
      <c r="L1998" t="n">
        <v>0.363</v>
      </c>
      <c r="M1998" t="n">
        <v>0.47</v>
      </c>
    </row>
    <row r="1999" spans="1:13">
      <c r="A1999" s="1">
        <f>HYPERLINK("http://www.twitter.com/NathanBLawrence/status/976219567935688710", "976219567935688710")</f>
        <v/>
      </c>
      <c r="B1999" s="2" t="n">
        <v>43179.92425925926</v>
      </c>
      <c r="C1999" t="n">
        <v>0</v>
      </c>
      <c r="D1999" t="n">
        <v>8</v>
      </c>
      <c r="E1999" t="s">
        <v>2002</v>
      </c>
      <c r="F1999">
        <f>HYPERLINK("http://pbs.twimg.com/media/DYwmU8QWkAAHJG7.jpg", "http://pbs.twimg.com/media/DYwmU8QWkAAHJG7.jpg")</f>
        <v/>
      </c>
      <c r="G1999" t="s"/>
      <c r="H1999" t="s"/>
      <c r="I1999" t="s"/>
      <c r="J1999" t="n">
        <v>0</v>
      </c>
      <c r="K1999" t="n">
        <v>0</v>
      </c>
      <c r="L1999" t="n">
        <v>1</v>
      </c>
      <c r="M1999" t="n">
        <v>0</v>
      </c>
    </row>
    <row r="2000" spans="1:13">
      <c r="A2000" s="1">
        <f>HYPERLINK("http://www.twitter.com/NathanBLawrence/status/976219530199552001", "976219530199552001")</f>
        <v/>
      </c>
      <c r="B2000" s="2" t="n">
        <v>43179.92415509259</v>
      </c>
      <c r="C2000" t="n">
        <v>0</v>
      </c>
      <c r="D2000" t="n">
        <v>2</v>
      </c>
      <c r="E2000" t="s">
        <v>2003</v>
      </c>
      <c r="F2000" t="s"/>
      <c r="G2000" t="s"/>
      <c r="H2000" t="s"/>
      <c r="I2000" t="s"/>
      <c r="J2000" t="n">
        <v>-0.4199</v>
      </c>
      <c r="K2000" t="n">
        <v>0.358</v>
      </c>
      <c r="L2000" t="n">
        <v>0.642</v>
      </c>
      <c r="M2000" t="n">
        <v>0</v>
      </c>
    </row>
    <row r="2001" spans="1:13">
      <c r="A2001" s="1">
        <f>HYPERLINK("http://www.twitter.com/NathanBLawrence/status/976218981349588993", "976218981349588993")</f>
        <v/>
      </c>
      <c r="B2001" s="2" t="n">
        <v>43179.92265046296</v>
      </c>
      <c r="C2001" t="n">
        <v>0</v>
      </c>
      <c r="D2001" t="n">
        <v>8</v>
      </c>
      <c r="E2001" t="s">
        <v>2004</v>
      </c>
      <c r="F2001" t="s"/>
      <c r="G2001" t="s"/>
      <c r="H2001" t="s"/>
      <c r="I2001" t="s"/>
      <c r="J2001" t="n">
        <v>0</v>
      </c>
      <c r="K2001" t="n">
        <v>0</v>
      </c>
      <c r="L2001" t="n">
        <v>1</v>
      </c>
      <c r="M2001" t="n">
        <v>0</v>
      </c>
    </row>
    <row r="2002" spans="1:13">
      <c r="A2002" s="1">
        <f>HYPERLINK("http://www.twitter.com/NathanBLawrence/status/976218851825324035", "976218851825324035")</f>
        <v/>
      </c>
      <c r="B2002" s="2" t="n">
        <v>43179.92229166667</v>
      </c>
      <c r="C2002" t="n">
        <v>0</v>
      </c>
      <c r="D2002" t="n">
        <v>5</v>
      </c>
      <c r="E2002" t="s">
        <v>2005</v>
      </c>
      <c r="F2002" t="s"/>
      <c r="G2002" t="s"/>
      <c r="H2002" t="s"/>
      <c r="I2002" t="s"/>
      <c r="J2002" t="n">
        <v>-0.4588</v>
      </c>
      <c r="K2002" t="n">
        <v>0.15</v>
      </c>
      <c r="L2002" t="n">
        <v>0.85</v>
      </c>
      <c r="M2002" t="n">
        <v>0</v>
      </c>
    </row>
    <row r="2003" spans="1:13">
      <c r="A2003" s="1">
        <f>HYPERLINK("http://www.twitter.com/NathanBLawrence/status/976218611076550656", "976218611076550656")</f>
        <v/>
      </c>
      <c r="B2003" s="2" t="n">
        <v>43179.92162037037</v>
      </c>
      <c r="C2003" t="n">
        <v>0</v>
      </c>
      <c r="D2003" t="n">
        <v>1</v>
      </c>
      <c r="E2003" t="s">
        <v>2006</v>
      </c>
      <c r="F2003" t="s"/>
      <c r="G2003" t="s"/>
      <c r="H2003" t="s"/>
      <c r="I2003" t="s"/>
      <c r="J2003" t="n">
        <v>0</v>
      </c>
      <c r="K2003" t="n">
        <v>0</v>
      </c>
      <c r="L2003" t="n">
        <v>1</v>
      </c>
      <c r="M2003" t="n">
        <v>0</v>
      </c>
    </row>
    <row r="2004" spans="1:13">
      <c r="A2004" s="1">
        <f>HYPERLINK("http://www.twitter.com/NathanBLawrence/status/976218254527131648", "976218254527131648")</f>
        <v/>
      </c>
      <c r="B2004" s="2" t="n">
        <v>43179.92063657408</v>
      </c>
      <c r="C2004" t="n">
        <v>0</v>
      </c>
      <c r="D2004" t="n">
        <v>2</v>
      </c>
      <c r="E2004" t="s">
        <v>2007</v>
      </c>
      <c r="F2004" t="s"/>
      <c r="G2004" t="s"/>
      <c r="H2004" t="s"/>
      <c r="I2004" t="s"/>
      <c r="J2004" t="n">
        <v>-0.2732</v>
      </c>
      <c r="K2004" t="n">
        <v>0.116</v>
      </c>
      <c r="L2004" t="n">
        <v>0.884</v>
      </c>
      <c r="M2004" t="n">
        <v>0</v>
      </c>
    </row>
    <row r="2005" spans="1:13">
      <c r="A2005" s="1">
        <f>HYPERLINK("http://www.twitter.com/NathanBLawrence/status/976218121278316545", "976218121278316545")</f>
        <v/>
      </c>
      <c r="B2005" s="2" t="n">
        <v>43179.92027777778</v>
      </c>
      <c r="C2005" t="n">
        <v>1</v>
      </c>
      <c r="D2005" t="n">
        <v>1</v>
      </c>
      <c r="E2005" t="s">
        <v>2008</v>
      </c>
      <c r="F2005" t="s"/>
      <c r="G2005" t="s"/>
      <c r="H2005" t="s"/>
      <c r="I2005" t="s"/>
      <c r="J2005" t="n">
        <v>0</v>
      </c>
      <c r="K2005" t="n">
        <v>0</v>
      </c>
      <c r="L2005" t="n">
        <v>1</v>
      </c>
      <c r="M2005" t="n">
        <v>0</v>
      </c>
    </row>
    <row r="2006" spans="1:13">
      <c r="A2006" s="1">
        <f>HYPERLINK("http://www.twitter.com/NathanBLawrence/status/976216965109960705", "976216965109960705")</f>
        <v/>
      </c>
      <c r="B2006" s="2" t="n">
        <v>43179.91708333333</v>
      </c>
      <c r="C2006" t="n">
        <v>0</v>
      </c>
      <c r="D2006" t="n">
        <v>2</v>
      </c>
      <c r="E2006" t="s">
        <v>2009</v>
      </c>
      <c r="F2006" t="s"/>
      <c r="G2006" t="s"/>
      <c r="H2006" t="s"/>
      <c r="I2006" t="s"/>
      <c r="J2006" t="n">
        <v>-0.3412</v>
      </c>
      <c r="K2006" t="n">
        <v>0.099</v>
      </c>
      <c r="L2006" t="n">
        <v>0.901</v>
      </c>
      <c r="M2006" t="n">
        <v>0</v>
      </c>
    </row>
    <row r="2007" spans="1:13">
      <c r="A2007" s="1">
        <f>HYPERLINK("http://www.twitter.com/NathanBLawrence/status/976216811426508804", "976216811426508804")</f>
        <v/>
      </c>
      <c r="B2007" s="2" t="n">
        <v>43179.91665509259</v>
      </c>
      <c r="C2007" t="n">
        <v>0</v>
      </c>
      <c r="D2007" t="n">
        <v>0</v>
      </c>
      <c r="E2007" t="s">
        <v>2010</v>
      </c>
      <c r="F2007" t="s"/>
      <c r="G2007" t="s"/>
      <c r="H2007" t="s"/>
      <c r="I2007" t="s"/>
      <c r="J2007" t="n">
        <v>-0.8442</v>
      </c>
      <c r="K2007" t="n">
        <v>0.241</v>
      </c>
      <c r="L2007" t="n">
        <v>0.637</v>
      </c>
      <c r="M2007" t="n">
        <v>0.122</v>
      </c>
    </row>
    <row r="2008" spans="1:13">
      <c r="A2008" s="1">
        <f>HYPERLINK("http://www.twitter.com/NathanBLawrence/status/976215386126454795", "976215386126454795")</f>
        <v/>
      </c>
      <c r="B2008" s="2" t="n">
        <v>43179.91271990741</v>
      </c>
      <c r="C2008" t="n">
        <v>0</v>
      </c>
      <c r="D2008" t="n">
        <v>0</v>
      </c>
      <c r="E2008" t="s">
        <v>2011</v>
      </c>
      <c r="F2008" t="s"/>
      <c r="G2008" t="s"/>
      <c r="H2008" t="s"/>
      <c r="I2008" t="s"/>
      <c r="J2008" t="n">
        <v>-0.5266999999999999</v>
      </c>
      <c r="K2008" t="n">
        <v>0.236</v>
      </c>
      <c r="L2008" t="n">
        <v>0.764</v>
      </c>
      <c r="M2008" t="n">
        <v>0</v>
      </c>
    </row>
    <row r="2009" spans="1:13">
      <c r="A2009" s="1">
        <f>HYPERLINK("http://www.twitter.com/NathanBLawrence/status/976215136628346880", "976215136628346880")</f>
        <v/>
      </c>
      <c r="B2009" s="2" t="n">
        <v>43179.91203703704</v>
      </c>
      <c r="C2009" t="n">
        <v>0</v>
      </c>
      <c r="D2009" t="n">
        <v>1</v>
      </c>
      <c r="E2009" t="s">
        <v>2012</v>
      </c>
      <c r="F2009" t="s"/>
      <c r="G2009" t="s"/>
      <c r="H2009" t="s"/>
      <c r="I2009" t="s"/>
      <c r="J2009" t="n">
        <v>0</v>
      </c>
      <c r="K2009" t="n">
        <v>0</v>
      </c>
      <c r="L2009" t="n">
        <v>1</v>
      </c>
      <c r="M2009" t="n">
        <v>0</v>
      </c>
    </row>
    <row r="2010" spans="1:13">
      <c r="A2010" s="1">
        <f>HYPERLINK("http://www.twitter.com/NathanBLawrence/status/976214871242100737", "976214871242100737")</f>
        <v/>
      </c>
      <c r="B2010" s="2" t="n">
        <v>43179.91130787037</v>
      </c>
      <c r="C2010" t="n">
        <v>0</v>
      </c>
      <c r="D2010" t="n">
        <v>1</v>
      </c>
      <c r="E2010" t="s">
        <v>2013</v>
      </c>
      <c r="F2010" t="s"/>
      <c r="G2010" t="s"/>
      <c r="H2010" t="s"/>
      <c r="I2010" t="s"/>
      <c r="J2010" t="n">
        <v>0</v>
      </c>
      <c r="K2010" t="n">
        <v>0</v>
      </c>
      <c r="L2010" t="n">
        <v>1</v>
      </c>
      <c r="M2010" t="n">
        <v>0</v>
      </c>
    </row>
    <row r="2011" spans="1:13">
      <c r="A2011" s="1">
        <f>HYPERLINK("http://www.twitter.com/NathanBLawrence/status/976214791504220162", "976214791504220162")</f>
        <v/>
      </c>
      <c r="B2011" s="2" t="n">
        <v>43179.91108796297</v>
      </c>
      <c r="C2011" t="n">
        <v>0</v>
      </c>
      <c r="D2011" t="n">
        <v>1</v>
      </c>
      <c r="E2011" t="s">
        <v>2014</v>
      </c>
      <c r="F2011" t="s"/>
      <c r="G2011" t="s"/>
      <c r="H2011" t="s"/>
      <c r="I2011" t="s"/>
      <c r="J2011" t="n">
        <v>-0.5562</v>
      </c>
      <c r="K2011" t="n">
        <v>0.545</v>
      </c>
      <c r="L2011" t="n">
        <v>0.455</v>
      </c>
      <c r="M2011" t="n">
        <v>0</v>
      </c>
    </row>
    <row r="2012" spans="1:13">
      <c r="A2012" s="1">
        <f>HYPERLINK("http://www.twitter.com/NathanBLawrence/status/976214734633619457", "976214734633619457")</f>
        <v/>
      </c>
      <c r="B2012" s="2" t="n">
        <v>43179.91092592593</v>
      </c>
      <c r="C2012" t="n">
        <v>0</v>
      </c>
      <c r="D2012" t="n">
        <v>3</v>
      </c>
      <c r="E2012" t="s">
        <v>2015</v>
      </c>
      <c r="F2012">
        <f>HYPERLINK("http://pbs.twimg.com/media/DYcKiUmVQAAy0xD.jpg", "http://pbs.twimg.com/media/DYcKiUmVQAAy0xD.jpg")</f>
        <v/>
      </c>
      <c r="G2012" t="s"/>
      <c r="H2012" t="s"/>
      <c r="I2012" t="s"/>
      <c r="J2012" t="n">
        <v>0</v>
      </c>
      <c r="K2012" t="n">
        <v>0</v>
      </c>
      <c r="L2012" t="n">
        <v>1</v>
      </c>
      <c r="M2012" t="n">
        <v>0</v>
      </c>
    </row>
    <row r="2013" spans="1:13">
      <c r="A2013" s="1">
        <f>HYPERLINK("http://www.twitter.com/NathanBLawrence/status/976213845902491649", "976213845902491649")</f>
        <v/>
      </c>
      <c r="B2013" s="2" t="n">
        <v>43179.90847222223</v>
      </c>
      <c r="C2013" t="n">
        <v>0</v>
      </c>
      <c r="D2013" t="n">
        <v>1</v>
      </c>
      <c r="E2013" t="s">
        <v>2016</v>
      </c>
      <c r="F2013" t="s"/>
      <c r="G2013" t="s"/>
      <c r="H2013" t="s"/>
      <c r="I2013" t="s"/>
      <c r="J2013" t="n">
        <v>0</v>
      </c>
      <c r="K2013" t="n">
        <v>0</v>
      </c>
      <c r="L2013" t="n">
        <v>1</v>
      </c>
      <c r="M2013" t="n">
        <v>0</v>
      </c>
    </row>
    <row r="2014" spans="1:13">
      <c r="A2014" s="1">
        <f>HYPERLINK("http://www.twitter.com/NathanBLawrence/status/976213773534027776", "976213773534027776")</f>
        <v/>
      </c>
      <c r="B2014" s="2" t="n">
        <v>43179.90827546296</v>
      </c>
      <c r="C2014" t="n">
        <v>0</v>
      </c>
      <c r="D2014" t="n">
        <v>1</v>
      </c>
      <c r="E2014" t="s">
        <v>2017</v>
      </c>
      <c r="F2014" t="s"/>
      <c r="G2014" t="s"/>
      <c r="H2014" t="s"/>
      <c r="I2014" t="s"/>
      <c r="J2014" t="n">
        <v>0</v>
      </c>
      <c r="K2014" t="n">
        <v>0</v>
      </c>
      <c r="L2014" t="n">
        <v>1</v>
      </c>
      <c r="M2014" t="n">
        <v>0</v>
      </c>
    </row>
    <row r="2015" spans="1:13">
      <c r="A2015" s="1">
        <f>HYPERLINK("http://www.twitter.com/NathanBLawrence/status/976213702499291136", "976213702499291136")</f>
        <v/>
      </c>
      <c r="B2015" s="2" t="n">
        <v>43179.9080787037</v>
      </c>
      <c r="C2015" t="n">
        <v>0</v>
      </c>
      <c r="D2015" t="n">
        <v>1</v>
      </c>
      <c r="E2015" t="s">
        <v>2018</v>
      </c>
      <c r="F2015" t="s"/>
      <c r="G2015" t="s"/>
      <c r="H2015" t="s"/>
      <c r="I2015" t="s"/>
      <c r="J2015" t="n">
        <v>-0.5688</v>
      </c>
      <c r="K2015" t="n">
        <v>0.227</v>
      </c>
      <c r="L2015" t="n">
        <v>0.677</v>
      </c>
      <c r="M2015" t="n">
        <v>0.096</v>
      </c>
    </row>
    <row r="2016" spans="1:13">
      <c r="A2016" s="1">
        <f>HYPERLINK("http://www.twitter.com/NathanBLawrence/status/976213522072965121", "976213522072965121")</f>
        <v/>
      </c>
      <c r="B2016" s="2" t="n">
        <v>43179.90758101852</v>
      </c>
      <c r="C2016" t="n">
        <v>0</v>
      </c>
      <c r="D2016" t="n">
        <v>1</v>
      </c>
      <c r="E2016" t="s">
        <v>2019</v>
      </c>
      <c r="F2016" t="s"/>
      <c r="G2016" t="s"/>
      <c r="H2016" t="s"/>
      <c r="I2016" t="s"/>
      <c r="J2016" t="n">
        <v>-0.4588</v>
      </c>
      <c r="K2016" t="n">
        <v>0.2</v>
      </c>
      <c r="L2016" t="n">
        <v>0.8</v>
      </c>
      <c r="M2016" t="n">
        <v>0</v>
      </c>
    </row>
    <row r="2017" spans="1:13">
      <c r="A2017" s="1">
        <f>HYPERLINK("http://www.twitter.com/NathanBLawrence/status/976213039824457728", "976213039824457728")</f>
        <v/>
      </c>
      <c r="B2017" s="2" t="n">
        <v>43179.90625</v>
      </c>
      <c r="C2017" t="n">
        <v>0</v>
      </c>
      <c r="D2017" t="n">
        <v>0</v>
      </c>
      <c r="E2017" t="s">
        <v>2020</v>
      </c>
      <c r="F2017" t="s"/>
      <c r="G2017" t="s"/>
      <c r="H2017" t="s"/>
      <c r="I2017" t="s"/>
      <c r="J2017" t="n">
        <v>0.4215</v>
      </c>
      <c r="K2017" t="n">
        <v>0</v>
      </c>
      <c r="L2017" t="n">
        <v>0.8110000000000001</v>
      </c>
      <c r="M2017" t="n">
        <v>0.189</v>
      </c>
    </row>
    <row r="2018" spans="1:13">
      <c r="A2018" s="1">
        <f>HYPERLINK("http://www.twitter.com/NathanBLawrence/status/976212180210212867", "976212180210212867")</f>
        <v/>
      </c>
      <c r="B2018" s="2" t="n">
        <v>43179.90387731481</v>
      </c>
      <c r="C2018" t="n">
        <v>0</v>
      </c>
      <c r="D2018" t="n">
        <v>395</v>
      </c>
      <c r="E2018" t="s">
        <v>2021</v>
      </c>
      <c r="F2018" t="s"/>
      <c r="G2018" t="s"/>
      <c r="H2018" t="s"/>
      <c r="I2018" t="s"/>
      <c r="J2018" t="n">
        <v>0.749</v>
      </c>
      <c r="K2018" t="n">
        <v>0</v>
      </c>
      <c r="L2018" t="n">
        <v>0.74</v>
      </c>
      <c r="M2018" t="n">
        <v>0.26</v>
      </c>
    </row>
    <row r="2019" spans="1:13">
      <c r="A2019" s="1">
        <f>HYPERLINK("http://www.twitter.com/NathanBLawrence/status/976212088187211778", "976212088187211778")</f>
        <v/>
      </c>
      <c r="B2019" s="2" t="n">
        <v>43179.90362268518</v>
      </c>
      <c r="C2019" t="n">
        <v>0</v>
      </c>
      <c r="D2019" t="n">
        <v>20</v>
      </c>
      <c r="E2019" t="s">
        <v>2022</v>
      </c>
      <c r="F2019" t="s"/>
      <c r="G2019" t="s"/>
      <c r="H2019" t="s"/>
      <c r="I2019" t="s"/>
      <c r="J2019" t="n">
        <v>-0.5574</v>
      </c>
      <c r="K2019" t="n">
        <v>0.175</v>
      </c>
      <c r="L2019" t="n">
        <v>0.825</v>
      </c>
      <c r="M2019" t="n">
        <v>0</v>
      </c>
    </row>
    <row r="2020" spans="1:13">
      <c r="A2020" s="1">
        <f>HYPERLINK("http://www.twitter.com/NathanBLawrence/status/976211608442728448", "976211608442728448")</f>
        <v/>
      </c>
      <c r="B2020" s="2" t="n">
        <v>43179.90230324074</v>
      </c>
      <c r="C2020" t="n">
        <v>0</v>
      </c>
      <c r="D2020" t="n">
        <v>5</v>
      </c>
      <c r="E2020" t="s">
        <v>2023</v>
      </c>
      <c r="F2020" t="s"/>
      <c r="G2020" t="s"/>
      <c r="H2020" t="s"/>
      <c r="I2020" t="s"/>
      <c r="J2020" t="n">
        <v>0.5106000000000001</v>
      </c>
      <c r="K2020" t="n">
        <v>0</v>
      </c>
      <c r="L2020" t="n">
        <v>0.798</v>
      </c>
      <c r="M2020" t="n">
        <v>0.202</v>
      </c>
    </row>
    <row r="2021" spans="1:13">
      <c r="A2021" s="1">
        <f>HYPERLINK("http://www.twitter.com/NathanBLawrence/status/976211455249993730", "976211455249993730")</f>
        <v/>
      </c>
      <c r="B2021" s="2" t="n">
        <v>43179.901875</v>
      </c>
      <c r="C2021" t="n">
        <v>0</v>
      </c>
      <c r="D2021" t="n">
        <v>15</v>
      </c>
      <c r="E2021" t="s">
        <v>2024</v>
      </c>
      <c r="F2021" t="s"/>
      <c r="G2021" t="s"/>
      <c r="H2021" t="s"/>
      <c r="I2021" t="s"/>
      <c r="J2021" t="n">
        <v>0.8646</v>
      </c>
      <c r="K2021" t="n">
        <v>0.08699999999999999</v>
      </c>
      <c r="L2021" t="n">
        <v>0.473</v>
      </c>
      <c r="M2021" t="n">
        <v>0.439</v>
      </c>
    </row>
    <row r="2022" spans="1:13">
      <c r="A2022" s="1">
        <f>HYPERLINK("http://www.twitter.com/NathanBLawrence/status/976211410727391232", "976211410727391232")</f>
        <v/>
      </c>
      <c r="B2022" s="2" t="n">
        <v>43179.90175925926</v>
      </c>
      <c r="C2022" t="n">
        <v>0</v>
      </c>
      <c r="D2022" t="n">
        <v>15</v>
      </c>
      <c r="E2022" t="s">
        <v>2025</v>
      </c>
      <c r="F2022" t="s"/>
      <c r="G2022" t="s"/>
      <c r="H2022" t="s"/>
      <c r="I2022" t="s"/>
      <c r="J2022" t="n">
        <v>0.5574</v>
      </c>
      <c r="K2022" t="n">
        <v>0.194</v>
      </c>
      <c r="L2022" t="n">
        <v>0.486</v>
      </c>
      <c r="M2022" t="n">
        <v>0.319</v>
      </c>
    </row>
    <row r="2023" spans="1:13">
      <c r="A2023" s="1">
        <f>HYPERLINK("http://www.twitter.com/NathanBLawrence/status/976211322164727808", "976211322164727808")</f>
        <v/>
      </c>
      <c r="B2023" s="2" t="n">
        <v>43179.90150462963</v>
      </c>
      <c r="C2023" t="n">
        <v>0</v>
      </c>
      <c r="D2023" t="n">
        <v>45</v>
      </c>
      <c r="E2023" t="s">
        <v>2026</v>
      </c>
      <c r="F2023">
        <f>HYPERLINK("http://pbs.twimg.com/media/DYwjftjUMAAewcH.jpg", "http://pbs.twimg.com/media/DYwjftjUMAAewcH.jpg")</f>
        <v/>
      </c>
      <c r="G2023" t="s"/>
      <c r="H2023" t="s"/>
      <c r="I2023" t="s"/>
      <c r="J2023" t="n">
        <v>0</v>
      </c>
      <c r="K2023" t="n">
        <v>0</v>
      </c>
      <c r="L2023" t="n">
        <v>1</v>
      </c>
      <c r="M2023" t="n">
        <v>0</v>
      </c>
    </row>
    <row r="2024" spans="1:13">
      <c r="A2024" s="1">
        <f>HYPERLINK("http://www.twitter.com/NathanBLawrence/status/976211084993581058", "976211084993581058")</f>
        <v/>
      </c>
      <c r="B2024" s="2" t="n">
        <v>43179.90085648148</v>
      </c>
      <c r="C2024" t="n">
        <v>0</v>
      </c>
      <c r="D2024" t="n">
        <v>118</v>
      </c>
      <c r="E2024" t="s">
        <v>2027</v>
      </c>
      <c r="F2024">
        <f>HYPERLINK("https://video.twimg.com/ext_tw_video/975465002487365632/pu/vid/318x180/qVmyMhPx0XM5KerR.mp4", "https://video.twimg.com/ext_tw_video/975465002487365632/pu/vid/318x180/qVmyMhPx0XM5KerR.mp4")</f>
        <v/>
      </c>
      <c r="G2024" t="s"/>
      <c r="H2024" t="s"/>
      <c r="I2024" t="s"/>
      <c r="J2024" t="n">
        <v>-0.802</v>
      </c>
      <c r="K2024" t="n">
        <v>0.34</v>
      </c>
      <c r="L2024" t="n">
        <v>0.66</v>
      </c>
      <c r="M2024" t="n">
        <v>0</v>
      </c>
    </row>
    <row r="2025" spans="1:13">
      <c r="A2025" s="1">
        <f>HYPERLINK("http://www.twitter.com/NathanBLawrence/status/976211005905821699", "976211005905821699")</f>
        <v/>
      </c>
      <c r="B2025" s="2" t="n">
        <v>43179.90063657407</v>
      </c>
      <c r="C2025" t="n">
        <v>0</v>
      </c>
      <c r="D2025" t="n">
        <v>36</v>
      </c>
      <c r="E2025" t="s">
        <v>2028</v>
      </c>
      <c r="F2025" t="s"/>
      <c r="G2025" t="s"/>
      <c r="H2025" t="s"/>
      <c r="I2025" t="s"/>
      <c r="J2025" t="n">
        <v>0</v>
      </c>
      <c r="K2025" t="n">
        <v>0</v>
      </c>
      <c r="L2025" t="n">
        <v>1</v>
      </c>
      <c r="M2025" t="n">
        <v>0</v>
      </c>
    </row>
    <row r="2026" spans="1:13">
      <c r="A2026" s="1">
        <f>HYPERLINK("http://www.twitter.com/NathanBLawrence/status/976210396163043330", "976210396163043330")</f>
        <v/>
      </c>
      <c r="B2026" s="2" t="n">
        <v>43179.89895833333</v>
      </c>
      <c r="C2026" t="n">
        <v>0</v>
      </c>
      <c r="D2026" t="n">
        <v>895</v>
      </c>
      <c r="E2026" t="s">
        <v>2029</v>
      </c>
      <c r="F2026">
        <f>HYPERLINK("http://pbs.twimg.com/media/DYvGWhiVAAATSR3.jpg", "http://pbs.twimg.com/media/DYvGWhiVAAATSR3.jpg")</f>
        <v/>
      </c>
      <c r="G2026" t="s"/>
      <c r="H2026" t="s"/>
      <c r="I2026" t="s"/>
      <c r="J2026" t="n">
        <v>-0.5719</v>
      </c>
      <c r="K2026" t="n">
        <v>0.139</v>
      </c>
      <c r="L2026" t="n">
        <v>0.861</v>
      </c>
      <c r="M2026" t="n">
        <v>0</v>
      </c>
    </row>
    <row r="2027" spans="1:13">
      <c r="A2027" s="1">
        <f>HYPERLINK("http://www.twitter.com/NathanBLawrence/status/976210328261419010", "976210328261419010")</f>
        <v/>
      </c>
      <c r="B2027" s="2" t="n">
        <v>43179.89877314815</v>
      </c>
      <c r="C2027" t="n">
        <v>0</v>
      </c>
      <c r="D2027" t="n">
        <v>150</v>
      </c>
      <c r="E2027" t="s">
        <v>2030</v>
      </c>
      <c r="F2027">
        <f>HYPERLINK("https://video.twimg.com/ext_tw_video/976135565388238848/pu/vid/1280x720/pefw3FQljOQ8Ximr.mp4", "https://video.twimg.com/ext_tw_video/976135565388238848/pu/vid/1280x720/pefw3FQljOQ8Ximr.mp4")</f>
        <v/>
      </c>
      <c r="G2027" t="s"/>
      <c r="H2027" t="s"/>
      <c r="I2027" t="s"/>
      <c r="J2027" t="n">
        <v>0.5859</v>
      </c>
      <c r="K2027" t="n">
        <v>0</v>
      </c>
      <c r="L2027" t="n">
        <v>0.8139999999999999</v>
      </c>
      <c r="M2027" t="n">
        <v>0.186</v>
      </c>
    </row>
    <row r="2028" spans="1:13">
      <c r="A2028" s="1">
        <f>HYPERLINK("http://www.twitter.com/NathanBLawrence/status/976210190839230464", "976210190839230464")</f>
        <v/>
      </c>
      <c r="B2028" s="2" t="n">
        <v>43179.8983912037</v>
      </c>
      <c r="C2028" t="n">
        <v>0</v>
      </c>
      <c r="D2028" t="n">
        <v>1195</v>
      </c>
      <c r="E2028" t="s">
        <v>2031</v>
      </c>
      <c r="F2028">
        <f>HYPERLINK("http://pbs.twimg.com/media/DYv9i3PW0AAWURe.jpg", "http://pbs.twimg.com/media/DYv9i3PW0AAWURe.jpg")</f>
        <v/>
      </c>
      <c r="G2028" t="s"/>
      <c r="H2028" t="s"/>
      <c r="I2028" t="s"/>
      <c r="J2028" t="n">
        <v>0.3182</v>
      </c>
      <c r="K2028" t="n">
        <v>0</v>
      </c>
      <c r="L2028" t="n">
        <v>0.867</v>
      </c>
      <c r="M2028" t="n">
        <v>0.133</v>
      </c>
    </row>
    <row r="2029" spans="1:13">
      <c r="A2029" s="1">
        <f>HYPERLINK("http://www.twitter.com/NathanBLawrence/status/976210096257724416", "976210096257724416")</f>
        <v/>
      </c>
      <c r="B2029" s="2" t="n">
        <v>43179.898125</v>
      </c>
      <c r="C2029" t="n">
        <v>0</v>
      </c>
      <c r="D2029" t="n">
        <v>136</v>
      </c>
      <c r="E2029" t="s">
        <v>2032</v>
      </c>
      <c r="F2029" t="s"/>
      <c r="G2029" t="s"/>
      <c r="H2029" t="s"/>
      <c r="I2029" t="s"/>
      <c r="J2029" t="n">
        <v>-0.5423</v>
      </c>
      <c r="K2029" t="n">
        <v>0.132</v>
      </c>
      <c r="L2029" t="n">
        <v>0.868</v>
      </c>
      <c r="M2029" t="n">
        <v>0</v>
      </c>
    </row>
    <row r="2030" spans="1:13">
      <c r="A2030" s="1">
        <f>HYPERLINK("http://www.twitter.com/NathanBLawrence/status/976209976644571136", "976209976644571136")</f>
        <v/>
      </c>
      <c r="B2030" s="2" t="n">
        <v>43179.89780092592</v>
      </c>
      <c r="C2030" t="n">
        <v>0</v>
      </c>
      <c r="D2030" t="n">
        <v>1803</v>
      </c>
      <c r="E2030" t="s">
        <v>2033</v>
      </c>
      <c r="F2030" t="s"/>
      <c r="G2030" t="s"/>
      <c r="H2030" t="s"/>
      <c r="I2030" t="s"/>
      <c r="J2030" t="n">
        <v>-0.8401999999999999</v>
      </c>
      <c r="K2030" t="n">
        <v>0.317</v>
      </c>
      <c r="L2030" t="n">
        <v>0.633</v>
      </c>
      <c r="M2030" t="n">
        <v>0.05</v>
      </c>
    </row>
    <row r="2031" spans="1:13">
      <c r="A2031" s="1">
        <f>HYPERLINK("http://www.twitter.com/NathanBLawrence/status/976209809363095552", "976209809363095552")</f>
        <v/>
      </c>
      <c r="B2031" s="2" t="n">
        <v>43179.89733796296</v>
      </c>
      <c r="C2031" t="n">
        <v>0</v>
      </c>
      <c r="D2031" t="n">
        <v>1173</v>
      </c>
      <c r="E2031" t="s">
        <v>2034</v>
      </c>
      <c r="F2031" t="s"/>
      <c r="G2031" t="s"/>
      <c r="H2031" t="s"/>
      <c r="I2031" t="s"/>
      <c r="J2031" t="n">
        <v>0</v>
      </c>
      <c r="K2031" t="n">
        <v>0</v>
      </c>
      <c r="L2031" t="n">
        <v>1</v>
      </c>
      <c r="M2031" t="n">
        <v>0</v>
      </c>
    </row>
    <row r="2032" spans="1:13">
      <c r="A2032" s="1">
        <f>HYPERLINK("http://www.twitter.com/NathanBLawrence/status/976209642857664512", "976209642857664512")</f>
        <v/>
      </c>
      <c r="B2032" s="2" t="n">
        <v>43179.896875</v>
      </c>
      <c r="C2032" t="n">
        <v>0</v>
      </c>
      <c r="D2032" t="n">
        <v>947</v>
      </c>
      <c r="E2032" t="s">
        <v>2035</v>
      </c>
      <c r="F2032" t="s"/>
      <c r="G2032" t="s"/>
      <c r="H2032" t="s"/>
      <c r="I2032" t="s"/>
      <c r="J2032" t="n">
        <v>-0.7906</v>
      </c>
      <c r="K2032" t="n">
        <v>0.276</v>
      </c>
      <c r="L2032" t="n">
        <v>0.724</v>
      </c>
      <c r="M2032" t="n">
        <v>0</v>
      </c>
    </row>
    <row r="2033" spans="1:13">
      <c r="A2033" s="1">
        <f>HYPERLINK("http://www.twitter.com/NathanBLawrence/status/976209528445374464", "976209528445374464")</f>
        <v/>
      </c>
      <c r="B2033" s="2" t="n">
        <v>43179.8965625</v>
      </c>
      <c r="C2033" t="n">
        <v>0</v>
      </c>
      <c r="D2033" t="n">
        <v>55</v>
      </c>
      <c r="E2033" t="s">
        <v>2036</v>
      </c>
      <c r="F2033">
        <f>HYPERLINK("http://pbs.twimg.com/media/DYrgAGEW0AAe6t5.jpg", "http://pbs.twimg.com/media/DYrgAGEW0AAe6t5.jpg")</f>
        <v/>
      </c>
      <c r="G2033" t="s"/>
      <c r="H2033" t="s"/>
      <c r="I2033" t="s"/>
      <c r="J2033" t="n">
        <v>0.743</v>
      </c>
      <c r="K2033" t="n">
        <v>0.054</v>
      </c>
      <c r="L2033" t="n">
        <v>0.6899999999999999</v>
      </c>
      <c r="M2033" t="n">
        <v>0.257</v>
      </c>
    </row>
    <row r="2034" spans="1:13">
      <c r="A2034" s="1">
        <f>HYPERLINK("http://www.twitter.com/NathanBLawrence/status/976209101108776963", "976209101108776963")</f>
        <v/>
      </c>
      <c r="B2034" s="2" t="n">
        <v>43179.89538194444</v>
      </c>
      <c r="C2034" t="n">
        <v>0</v>
      </c>
      <c r="D2034" t="n">
        <v>99</v>
      </c>
      <c r="E2034" t="s">
        <v>2037</v>
      </c>
      <c r="F2034" t="s"/>
      <c r="G2034" t="s"/>
      <c r="H2034" t="s"/>
      <c r="I2034" t="s"/>
      <c r="J2034" t="n">
        <v>-0.7783</v>
      </c>
      <c r="K2034" t="n">
        <v>0.327</v>
      </c>
      <c r="L2034" t="n">
        <v>0.673</v>
      </c>
      <c r="M2034" t="n">
        <v>0</v>
      </c>
    </row>
    <row r="2035" spans="1:13">
      <c r="A2035" s="1">
        <f>HYPERLINK("http://www.twitter.com/NathanBLawrence/status/976208642499399681", "976208642499399681")</f>
        <v/>
      </c>
      <c r="B2035" s="2" t="n">
        <v>43179.89412037037</v>
      </c>
      <c r="C2035" t="n">
        <v>0</v>
      </c>
      <c r="D2035" t="n">
        <v>5084</v>
      </c>
      <c r="E2035" t="s">
        <v>2038</v>
      </c>
      <c r="F2035" t="s"/>
      <c r="G2035" t="s"/>
      <c r="H2035" t="s"/>
      <c r="I2035" t="s"/>
      <c r="J2035" t="n">
        <v>0.3182</v>
      </c>
      <c r="K2035" t="n">
        <v>0</v>
      </c>
      <c r="L2035" t="n">
        <v>0.905</v>
      </c>
      <c r="M2035" t="n">
        <v>0.095</v>
      </c>
    </row>
    <row r="2036" spans="1:13">
      <c r="A2036" s="1">
        <f>HYPERLINK("http://www.twitter.com/NathanBLawrence/status/976207958530052096", "976207958530052096")</f>
        <v/>
      </c>
      <c r="B2036" s="2" t="n">
        <v>43179.89223379629</v>
      </c>
      <c r="C2036" t="n">
        <v>0</v>
      </c>
      <c r="D2036" t="n">
        <v>8</v>
      </c>
      <c r="E2036" t="s">
        <v>2039</v>
      </c>
      <c r="F2036">
        <f>HYPERLINK("http://pbs.twimg.com/media/DYq54BSXUAAyWU6.jpg", "http://pbs.twimg.com/media/DYq54BSXUAAyWU6.jpg")</f>
        <v/>
      </c>
      <c r="G2036" t="s"/>
      <c r="H2036" t="s"/>
      <c r="I2036" t="s"/>
      <c r="J2036" t="n">
        <v>0</v>
      </c>
      <c r="K2036" t="n">
        <v>0</v>
      </c>
      <c r="L2036" t="n">
        <v>1</v>
      </c>
      <c r="M2036" t="n">
        <v>0</v>
      </c>
    </row>
    <row r="2037" spans="1:13">
      <c r="A2037" s="1">
        <f>HYPERLINK("http://www.twitter.com/NathanBLawrence/status/976207885700038662", "976207885700038662")</f>
        <v/>
      </c>
      <c r="B2037" s="2" t="n">
        <v>43179.89202546296</v>
      </c>
      <c r="C2037" t="n">
        <v>0</v>
      </c>
      <c r="D2037" t="n">
        <v>12</v>
      </c>
      <c r="E2037" t="s">
        <v>2040</v>
      </c>
      <c r="F2037" t="s"/>
      <c r="G2037" t="s"/>
      <c r="H2037" t="s"/>
      <c r="I2037" t="s"/>
      <c r="J2037" t="n">
        <v>0</v>
      </c>
      <c r="K2037" t="n">
        <v>0</v>
      </c>
      <c r="L2037" t="n">
        <v>1</v>
      </c>
      <c r="M2037" t="n">
        <v>0</v>
      </c>
    </row>
    <row r="2038" spans="1:13">
      <c r="A2038" s="1">
        <f>HYPERLINK("http://www.twitter.com/NathanBLawrence/status/976206935451230210", "976206935451230210")</f>
        <v/>
      </c>
      <c r="B2038" s="2" t="n">
        <v>43179.88940972222</v>
      </c>
      <c r="C2038" t="n">
        <v>0</v>
      </c>
      <c r="D2038" t="n">
        <v>34</v>
      </c>
      <c r="E2038" t="s">
        <v>2041</v>
      </c>
      <c r="F2038">
        <f>HYPERLINK("http://pbs.twimg.com/media/DYqvpkSVMAAbYCN.jpg", "http://pbs.twimg.com/media/DYqvpkSVMAAbYCN.jpg")</f>
        <v/>
      </c>
      <c r="G2038" t="s"/>
      <c r="H2038" t="s"/>
      <c r="I2038" t="s"/>
      <c r="J2038" t="n">
        <v>0</v>
      </c>
      <c r="K2038" t="n">
        <v>0</v>
      </c>
      <c r="L2038" t="n">
        <v>1</v>
      </c>
      <c r="M2038" t="n">
        <v>0</v>
      </c>
    </row>
    <row r="2039" spans="1:13">
      <c r="A2039" s="1">
        <f>HYPERLINK("http://www.twitter.com/NathanBLawrence/status/976206792257622016", "976206792257622016")</f>
        <v/>
      </c>
      <c r="B2039" s="2" t="n">
        <v>43179.88900462963</v>
      </c>
      <c r="C2039" t="n">
        <v>0</v>
      </c>
      <c r="D2039" t="n">
        <v>20</v>
      </c>
      <c r="E2039" t="s">
        <v>2042</v>
      </c>
      <c r="F2039">
        <f>HYPERLINK("http://pbs.twimg.com/media/DYrEtsdXkAEoxtY.jpg", "http://pbs.twimg.com/media/DYrEtsdXkAEoxtY.jpg")</f>
        <v/>
      </c>
      <c r="G2039" t="s"/>
      <c r="H2039" t="s"/>
      <c r="I2039" t="s"/>
      <c r="J2039" t="n">
        <v>0</v>
      </c>
      <c r="K2039" t="n">
        <v>0</v>
      </c>
      <c r="L2039" t="n">
        <v>1</v>
      </c>
      <c r="M2039" t="n">
        <v>0</v>
      </c>
    </row>
    <row r="2040" spans="1:13">
      <c r="A2040" s="1">
        <f>HYPERLINK("http://www.twitter.com/NathanBLawrence/status/976206638150496257", "976206638150496257")</f>
        <v/>
      </c>
      <c r="B2040" s="2" t="n">
        <v>43179.88858796296</v>
      </c>
      <c r="C2040" t="n">
        <v>0</v>
      </c>
      <c r="D2040" t="n">
        <v>17</v>
      </c>
      <c r="E2040" t="s">
        <v>2043</v>
      </c>
      <c r="F2040" t="s"/>
      <c r="G2040" t="s"/>
      <c r="H2040" t="s"/>
      <c r="I2040" t="s"/>
      <c r="J2040" t="n">
        <v>0</v>
      </c>
      <c r="K2040" t="n">
        <v>0</v>
      </c>
      <c r="L2040" t="n">
        <v>1</v>
      </c>
      <c r="M2040" t="n">
        <v>0</v>
      </c>
    </row>
    <row r="2041" spans="1:13">
      <c r="A2041" s="1">
        <f>HYPERLINK("http://www.twitter.com/NathanBLawrence/status/976206567887589376", "976206567887589376")</f>
        <v/>
      </c>
      <c r="B2041" s="2" t="n">
        <v>43179.88839120371</v>
      </c>
      <c r="C2041" t="n">
        <v>0</v>
      </c>
      <c r="D2041" t="n">
        <v>1</v>
      </c>
      <c r="E2041" t="s">
        <v>2044</v>
      </c>
      <c r="F2041">
        <f>HYPERLINK("http://pbs.twimg.com/media/DYqz68cXUAAGsiS.jpg", "http://pbs.twimg.com/media/DYqz68cXUAAGsiS.jpg")</f>
        <v/>
      </c>
      <c r="G2041">
        <f>HYPERLINK("http://pbs.twimg.com/media/DYqz68aW4AEj_Vp.jpg", "http://pbs.twimg.com/media/DYqz68aW4AEj_Vp.jpg")</f>
        <v/>
      </c>
      <c r="H2041" t="s"/>
      <c r="I2041" t="s"/>
      <c r="J2041" t="n">
        <v>0</v>
      </c>
      <c r="K2041" t="n">
        <v>0</v>
      </c>
      <c r="L2041" t="n">
        <v>1</v>
      </c>
      <c r="M2041" t="n">
        <v>0</v>
      </c>
    </row>
    <row r="2042" spans="1:13">
      <c r="A2042" s="1">
        <f>HYPERLINK("http://www.twitter.com/NathanBLawrence/status/976206499574894592", "976206499574894592")</f>
        <v/>
      </c>
      <c r="B2042" s="2" t="n">
        <v>43179.88820601852</v>
      </c>
      <c r="C2042" t="n">
        <v>0</v>
      </c>
      <c r="D2042" t="n">
        <v>281</v>
      </c>
      <c r="E2042" t="s">
        <v>2045</v>
      </c>
      <c r="F2042">
        <f>HYPERLINK("http://pbs.twimg.com/media/DYqvMI_W0AA3Xpe.jpg", "http://pbs.twimg.com/media/DYqvMI_W0AA3Xpe.jpg")</f>
        <v/>
      </c>
      <c r="G2042" t="s"/>
      <c r="H2042" t="s"/>
      <c r="I2042" t="s"/>
      <c r="J2042" t="n">
        <v>0</v>
      </c>
      <c r="K2042" t="n">
        <v>0</v>
      </c>
      <c r="L2042" t="n">
        <v>1</v>
      </c>
      <c r="M2042" t="n">
        <v>0</v>
      </c>
    </row>
    <row r="2043" spans="1:13">
      <c r="A2043" s="1">
        <f>HYPERLINK("http://www.twitter.com/NathanBLawrence/status/976206458076454914", "976206458076454914")</f>
        <v/>
      </c>
      <c r="B2043" s="2" t="n">
        <v>43179.88809027777</v>
      </c>
      <c r="C2043" t="n">
        <v>0</v>
      </c>
      <c r="D2043" t="n">
        <v>76</v>
      </c>
      <c r="E2043" t="s">
        <v>2046</v>
      </c>
      <c r="F2043">
        <f>HYPERLINK("http://pbs.twimg.com/media/DYqstD_WkAAvgAk.jpg", "http://pbs.twimg.com/media/DYqstD_WkAAvgAk.jpg")</f>
        <v/>
      </c>
      <c r="G2043" t="s"/>
      <c r="H2043" t="s"/>
      <c r="I2043" t="s"/>
      <c r="J2043" t="n">
        <v>0</v>
      </c>
      <c r="K2043" t="n">
        <v>0</v>
      </c>
      <c r="L2043" t="n">
        <v>1</v>
      </c>
      <c r="M2043" t="n">
        <v>0</v>
      </c>
    </row>
    <row r="2044" spans="1:13">
      <c r="A2044" s="1">
        <f>HYPERLINK("http://www.twitter.com/NathanBLawrence/status/976206365499842560", "976206365499842560")</f>
        <v/>
      </c>
      <c r="B2044" s="2" t="n">
        <v>43179.88783564815</v>
      </c>
      <c r="C2044" t="n">
        <v>0</v>
      </c>
      <c r="D2044" t="n">
        <v>3358</v>
      </c>
      <c r="E2044" t="s">
        <v>2047</v>
      </c>
      <c r="F2044">
        <f>HYPERLINK("http://pbs.twimg.com/media/DYqsHscVoAATdfr.jpg", "http://pbs.twimg.com/media/DYqsHscVoAATdfr.jpg")</f>
        <v/>
      </c>
      <c r="G2044">
        <f>HYPERLINK("http://pbs.twimg.com/media/DYqsIgnU0AAMvj4.jpg", "http://pbs.twimg.com/media/DYqsIgnU0AAMvj4.jpg")</f>
        <v/>
      </c>
      <c r="H2044" t="s"/>
      <c r="I2044" t="s"/>
      <c r="J2044" t="n">
        <v>-0.2263</v>
      </c>
      <c r="K2044" t="n">
        <v>0.192</v>
      </c>
      <c r="L2044" t="n">
        <v>0.8080000000000001</v>
      </c>
      <c r="M2044" t="n">
        <v>0</v>
      </c>
    </row>
    <row r="2045" spans="1:13">
      <c r="A2045" s="1">
        <f>HYPERLINK("http://www.twitter.com/NathanBLawrence/status/976206128752332800", "976206128752332800")</f>
        <v/>
      </c>
      <c r="B2045" s="2" t="n">
        <v>43179.88717592593</v>
      </c>
      <c r="C2045" t="n">
        <v>0</v>
      </c>
      <c r="D2045" t="n">
        <v>1</v>
      </c>
      <c r="E2045" t="s">
        <v>2048</v>
      </c>
      <c r="F2045" t="s"/>
      <c r="G2045" t="s"/>
      <c r="H2045" t="s"/>
      <c r="I2045" t="s"/>
      <c r="J2045" t="n">
        <v>0.508</v>
      </c>
      <c r="K2045" t="n">
        <v>0</v>
      </c>
      <c r="L2045" t="n">
        <v>0.846</v>
      </c>
      <c r="M2045" t="n">
        <v>0.154</v>
      </c>
    </row>
    <row r="2046" spans="1:13">
      <c r="A2046" s="1">
        <f>HYPERLINK("http://www.twitter.com/NathanBLawrence/status/976205446754258945", "976205446754258945")</f>
        <v/>
      </c>
      <c r="B2046" s="2" t="n">
        <v>43179.88530092593</v>
      </c>
      <c r="C2046" t="n">
        <v>2</v>
      </c>
      <c r="D2046" t="n">
        <v>0</v>
      </c>
      <c r="E2046" t="s">
        <v>2049</v>
      </c>
      <c r="F2046" t="s"/>
      <c r="G2046" t="s"/>
      <c r="H2046" t="s"/>
      <c r="I2046" t="s"/>
      <c r="J2046" t="n">
        <v>-0.2484</v>
      </c>
      <c r="K2046" t="n">
        <v>0.117</v>
      </c>
      <c r="L2046" t="n">
        <v>0.883</v>
      </c>
      <c r="M2046" t="n">
        <v>0</v>
      </c>
    </row>
    <row r="2047" spans="1:13">
      <c r="A2047" s="1">
        <f>HYPERLINK("http://www.twitter.com/NathanBLawrence/status/976205172404834304", "976205172404834304")</f>
        <v/>
      </c>
      <c r="B2047" s="2" t="n">
        <v>43179.88453703704</v>
      </c>
      <c r="C2047" t="n">
        <v>0</v>
      </c>
      <c r="D2047" t="n">
        <v>5</v>
      </c>
      <c r="E2047" t="s">
        <v>2050</v>
      </c>
      <c r="F2047" t="s"/>
      <c r="G2047" t="s"/>
      <c r="H2047" t="s"/>
      <c r="I2047" t="s"/>
      <c r="J2047" t="n">
        <v>0.8270999999999999</v>
      </c>
      <c r="K2047" t="n">
        <v>0</v>
      </c>
      <c r="L2047" t="n">
        <v>0.734</v>
      </c>
      <c r="M2047" t="n">
        <v>0.266</v>
      </c>
    </row>
    <row r="2048" spans="1:13">
      <c r="A2048" s="1">
        <f>HYPERLINK("http://www.twitter.com/NathanBLawrence/status/976205017286881280", "976205017286881280")</f>
        <v/>
      </c>
      <c r="B2048" s="2" t="n">
        <v>43179.88410879629</v>
      </c>
      <c r="C2048" t="n">
        <v>0</v>
      </c>
      <c r="D2048" t="n">
        <v>1509</v>
      </c>
      <c r="E2048" t="s">
        <v>2051</v>
      </c>
      <c r="F2048" t="s"/>
      <c r="G2048" t="s"/>
      <c r="H2048" t="s"/>
      <c r="I2048" t="s"/>
      <c r="J2048" t="n">
        <v>-0.5709</v>
      </c>
      <c r="K2048" t="n">
        <v>0.15</v>
      </c>
      <c r="L2048" t="n">
        <v>0.85</v>
      </c>
      <c r="M2048" t="n">
        <v>0</v>
      </c>
    </row>
    <row r="2049" spans="1:13">
      <c r="A2049" s="1">
        <f>HYPERLINK("http://www.twitter.com/NathanBLawrence/status/976204912064450560", "976204912064450560")</f>
        <v/>
      </c>
      <c r="B2049" s="2" t="n">
        <v>43179.88381944445</v>
      </c>
      <c r="C2049" t="n">
        <v>0</v>
      </c>
      <c r="D2049" t="n">
        <v>3</v>
      </c>
      <c r="E2049" t="s">
        <v>2052</v>
      </c>
      <c r="F2049" t="s"/>
      <c r="G2049" t="s"/>
      <c r="H2049" t="s"/>
      <c r="I2049" t="s"/>
      <c r="J2049" t="n">
        <v>0.25</v>
      </c>
      <c r="K2049" t="n">
        <v>0</v>
      </c>
      <c r="L2049" t="n">
        <v>0.905</v>
      </c>
      <c r="M2049" t="n">
        <v>0.095</v>
      </c>
    </row>
    <row r="2050" spans="1:13">
      <c r="A2050" s="1">
        <f>HYPERLINK("http://www.twitter.com/NathanBLawrence/status/976204273645170689", "976204273645170689")</f>
        <v/>
      </c>
      <c r="B2050" s="2" t="n">
        <v>43179.88206018518</v>
      </c>
      <c r="C2050" t="n">
        <v>0</v>
      </c>
      <c r="D2050" t="n">
        <v>499</v>
      </c>
      <c r="E2050" t="s">
        <v>2053</v>
      </c>
      <c r="F2050" t="s"/>
      <c r="G2050" t="s"/>
      <c r="H2050" t="s"/>
      <c r="I2050" t="s"/>
      <c r="J2050" t="n">
        <v>0.2242</v>
      </c>
      <c r="K2050" t="n">
        <v>0.092</v>
      </c>
      <c r="L2050" t="n">
        <v>0.785</v>
      </c>
      <c r="M2050" t="n">
        <v>0.123</v>
      </c>
    </row>
    <row r="2051" spans="1:13">
      <c r="A2051" s="1">
        <f>HYPERLINK("http://www.twitter.com/NathanBLawrence/status/976204185061482497", "976204185061482497")</f>
        <v/>
      </c>
      <c r="B2051" s="2" t="n">
        <v>43179.88181712963</v>
      </c>
      <c r="C2051" t="n">
        <v>1</v>
      </c>
      <c r="D2051" t="n">
        <v>0</v>
      </c>
      <c r="E2051" t="s">
        <v>2054</v>
      </c>
      <c r="F2051" t="s"/>
      <c r="G2051" t="s"/>
      <c r="H2051" t="s"/>
      <c r="I2051" t="s"/>
      <c r="J2051" t="n">
        <v>-0.3612</v>
      </c>
      <c r="K2051" t="n">
        <v>0.116</v>
      </c>
      <c r="L2051" t="n">
        <v>0.884</v>
      </c>
      <c r="M2051" t="n">
        <v>0</v>
      </c>
    </row>
    <row r="2052" spans="1:13">
      <c r="A2052" s="1">
        <f>HYPERLINK("http://www.twitter.com/NathanBLawrence/status/976204052114571264", "976204052114571264")</f>
        <v/>
      </c>
      <c r="B2052" s="2" t="n">
        <v>43179.88144675926</v>
      </c>
      <c r="C2052" t="n">
        <v>0</v>
      </c>
      <c r="D2052" t="n">
        <v>0</v>
      </c>
      <c r="E2052" t="s">
        <v>2055</v>
      </c>
      <c r="F2052" t="s"/>
      <c r="G2052" t="s"/>
      <c r="H2052" t="s"/>
      <c r="I2052" t="s"/>
      <c r="J2052" t="n">
        <v>0.296</v>
      </c>
      <c r="K2052" t="n">
        <v>0</v>
      </c>
      <c r="L2052" t="n">
        <v>0.896</v>
      </c>
      <c r="M2052" t="n">
        <v>0.104</v>
      </c>
    </row>
    <row r="2053" spans="1:13">
      <c r="A2053" s="1">
        <f>HYPERLINK("http://www.twitter.com/NathanBLawrence/status/976204024310583296", "976204024310583296")</f>
        <v/>
      </c>
      <c r="B2053" s="2" t="n">
        <v>43179.88137731481</v>
      </c>
      <c r="C2053" t="n">
        <v>0</v>
      </c>
      <c r="D2053" t="n">
        <v>1</v>
      </c>
      <c r="E2053" t="s">
        <v>2056</v>
      </c>
      <c r="F2053" t="s"/>
      <c r="G2053" t="s"/>
      <c r="H2053" t="s"/>
      <c r="I2053" t="s"/>
      <c r="J2053" t="n">
        <v>0</v>
      </c>
      <c r="K2053" t="n">
        <v>0</v>
      </c>
      <c r="L2053" t="n">
        <v>1</v>
      </c>
      <c r="M2053" t="n">
        <v>0</v>
      </c>
    </row>
    <row r="2054" spans="1:13">
      <c r="A2054" s="1">
        <f>HYPERLINK("http://www.twitter.com/NathanBLawrence/status/976203871767973889", "976203871767973889")</f>
        <v/>
      </c>
      <c r="B2054" s="2" t="n">
        <v>43179.88094907408</v>
      </c>
      <c r="C2054" t="n">
        <v>0</v>
      </c>
      <c r="D2054" t="n">
        <v>2</v>
      </c>
      <c r="E2054" t="s">
        <v>2057</v>
      </c>
      <c r="F2054" t="s"/>
      <c r="G2054" t="s"/>
      <c r="H2054" t="s"/>
      <c r="I2054" t="s"/>
      <c r="J2054" t="n">
        <v>0</v>
      </c>
      <c r="K2054" t="n">
        <v>0</v>
      </c>
      <c r="L2054" t="n">
        <v>1</v>
      </c>
      <c r="M2054" t="n">
        <v>0</v>
      </c>
    </row>
    <row r="2055" spans="1:13">
      <c r="A2055" s="1">
        <f>HYPERLINK("http://www.twitter.com/NathanBLawrence/status/976203599507271682", "976203599507271682")</f>
        <v/>
      </c>
      <c r="B2055" s="2" t="n">
        <v>43179.88019675926</v>
      </c>
      <c r="C2055" t="n">
        <v>0</v>
      </c>
      <c r="D2055" t="n">
        <v>1</v>
      </c>
      <c r="E2055" t="s">
        <v>2058</v>
      </c>
      <c r="F2055" t="s"/>
      <c r="G2055" t="s"/>
      <c r="H2055" t="s"/>
      <c r="I2055" t="s"/>
      <c r="J2055" t="n">
        <v>0</v>
      </c>
      <c r="K2055" t="n">
        <v>0</v>
      </c>
      <c r="L2055" t="n">
        <v>1</v>
      </c>
      <c r="M2055" t="n">
        <v>0</v>
      </c>
    </row>
    <row r="2056" spans="1:13">
      <c r="A2056" s="1">
        <f>HYPERLINK("http://www.twitter.com/NathanBLawrence/status/976203575524315137", "976203575524315137")</f>
        <v/>
      </c>
      <c r="B2056" s="2" t="n">
        <v>43179.88013888889</v>
      </c>
      <c r="C2056" t="n">
        <v>0</v>
      </c>
      <c r="D2056" t="n">
        <v>1</v>
      </c>
      <c r="E2056" t="s">
        <v>2059</v>
      </c>
      <c r="F2056" t="s"/>
      <c r="G2056" t="s"/>
      <c r="H2056" t="s"/>
      <c r="I2056" t="s"/>
      <c r="J2056" t="n">
        <v>0</v>
      </c>
      <c r="K2056" t="n">
        <v>0</v>
      </c>
      <c r="L2056" t="n">
        <v>1</v>
      </c>
      <c r="M2056" t="n">
        <v>0</v>
      </c>
    </row>
    <row r="2057" spans="1:13">
      <c r="A2057" s="1">
        <f>HYPERLINK("http://www.twitter.com/NathanBLawrence/status/976203314026119169", "976203314026119169")</f>
        <v/>
      </c>
      <c r="B2057" s="2" t="n">
        <v>43179.87940972222</v>
      </c>
      <c r="C2057" t="n">
        <v>0</v>
      </c>
      <c r="D2057" t="n">
        <v>221</v>
      </c>
      <c r="E2057" t="s">
        <v>2060</v>
      </c>
      <c r="F2057">
        <f>HYPERLINK("http://pbs.twimg.com/media/DYuS4JEXcAAEPK6.jpg", "http://pbs.twimg.com/media/DYuS4JEXcAAEPK6.jpg")</f>
        <v/>
      </c>
      <c r="G2057" t="s"/>
      <c r="H2057" t="s"/>
      <c r="I2057" t="s"/>
      <c r="J2057" t="n">
        <v>0.3786</v>
      </c>
      <c r="K2057" t="n">
        <v>0.065</v>
      </c>
      <c r="L2057" t="n">
        <v>0.795</v>
      </c>
      <c r="M2057" t="n">
        <v>0.14</v>
      </c>
    </row>
    <row r="2058" spans="1:13">
      <c r="A2058" s="1">
        <f>HYPERLINK("http://www.twitter.com/NathanBLawrence/status/976203177572884481", "976203177572884481")</f>
        <v/>
      </c>
      <c r="B2058" s="2" t="n">
        <v>43179.87903935185</v>
      </c>
      <c r="C2058" t="n">
        <v>0</v>
      </c>
      <c r="D2058" t="n">
        <v>951</v>
      </c>
      <c r="E2058" t="s">
        <v>2061</v>
      </c>
      <c r="F2058">
        <f>HYPERLINK("http://pbs.twimg.com/media/DYvTLE7WAAAFoi-.jpg", "http://pbs.twimg.com/media/DYvTLE7WAAAFoi-.jpg")</f>
        <v/>
      </c>
      <c r="G2058" t="s"/>
      <c r="H2058" t="s"/>
      <c r="I2058" t="s"/>
      <c r="J2058" t="n">
        <v>-0.3612</v>
      </c>
      <c r="K2058" t="n">
        <v>0.152</v>
      </c>
      <c r="L2058" t="n">
        <v>0.848</v>
      </c>
      <c r="M2058" t="n">
        <v>0</v>
      </c>
    </row>
    <row r="2059" spans="1:13">
      <c r="A2059" s="1">
        <f>HYPERLINK("http://www.twitter.com/NathanBLawrence/status/975485309197701120", "975485309197701120")</f>
        <v/>
      </c>
      <c r="B2059" s="2" t="n">
        <v>43177.89810185185</v>
      </c>
      <c r="C2059" t="n">
        <v>0</v>
      </c>
      <c r="D2059" t="n">
        <v>0</v>
      </c>
      <c r="E2059" t="s">
        <v>2062</v>
      </c>
      <c r="F2059" t="s"/>
      <c r="G2059" t="s"/>
      <c r="H2059" t="s"/>
      <c r="I2059" t="s"/>
      <c r="J2059" t="n">
        <v>0.4767</v>
      </c>
      <c r="K2059" t="n">
        <v>0.05</v>
      </c>
      <c r="L2059" t="n">
        <v>0.844</v>
      </c>
      <c r="M2059" t="n">
        <v>0.106</v>
      </c>
    </row>
    <row r="2060" spans="1:13">
      <c r="A2060" s="1">
        <f>HYPERLINK("http://www.twitter.com/NathanBLawrence/status/975483219654184960", "975483219654184960")</f>
        <v/>
      </c>
      <c r="B2060" s="2" t="n">
        <v>43177.89232638889</v>
      </c>
      <c r="C2060" t="n">
        <v>0</v>
      </c>
      <c r="D2060" t="n">
        <v>0</v>
      </c>
      <c r="E2060" t="s">
        <v>2063</v>
      </c>
      <c r="F2060" t="s"/>
      <c r="G2060" t="s"/>
      <c r="H2060" t="s"/>
      <c r="I2060" t="s"/>
      <c r="J2060" t="n">
        <v>0</v>
      </c>
      <c r="K2060" t="n">
        <v>0</v>
      </c>
      <c r="L2060" t="n">
        <v>1</v>
      </c>
      <c r="M2060" t="n">
        <v>0</v>
      </c>
    </row>
    <row r="2061" spans="1:13">
      <c r="A2061" s="1">
        <f>HYPERLINK("http://www.twitter.com/NathanBLawrence/status/975482947838054400", "975482947838054400")</f>
        <v/>
      </c>
      <c r="B2061" s="2" t="n">
        <v>43177.89158564815</v>
      </c>
      <c r="C2061" t="n">
        <v>0</v>
      </c>
      <c r="D2061" t="n">
        <v>2</v>
      </c>
      <c r="E2061" t="s">
        <v>2064</v>
      </c>
      <c r="F2061" t="s"/>
      <c r="G2061" t="s"/>
      <c r="H2061" t="s"/>
      <c r="I2061" t="s"/>
      <c r="J2061" t="n">
        <v>0</v>
      </c>
      <c r="K2061" t="n">
        <v>0</v>
      </c>
      <c r="L2061" t="n">
        <v>1</v>
      </c>
      <c r="M2061" t="n">
        <v>0</v>
      </c>
    </row>
    <row r="2062" spans="1:13">
      <c r="A2062" s="1">
        <f>HYPERLINK("http://www.twitter.com/NathanBLawrence/status/975482904221552640", "975482904221552640")</f>
        <v/>
      </c>
      <c r="B2062" s="2" t="n">
        <v>43177.89145833333</v>
      </c>
      <c r="C2062" t="n">
        <v>0</v>
      </c>
      <c r="D2062" t="n">
        <v>15</v>
      </c>
      <c r="E2062" t="s">
        <v>2065</v>
      </c>
      <c r="F2062">
        <f>HYPERLINK("http://pbs.twimg.com/media/DYbH2YsXkAIG0lv.jpg", "http://pbs.twimg.com/media/DYbH2YsXkAIG0lv.jpg")</f>
        <v/>
      </c>
      <c r="G2062" t="s"/>
      <c r="H2062" t="s"/>
      <c r="I2062" t="s"/>
      <c r="J2062" t="n">
        <v>-0.1027</v>
      </c>
      <c r="K2062" t="n">
        <v>0.206</v>
      </c>
      <c r="L2062" t="n">
        <v>0.654</v>
      </c>
      <c r="M2062" t="n">
        <v>0.14</v>
      </c>
    </row>
    <row r="2063" spans="1:13">
      <c r="A2063" s="1">
        <f>HYPERLINK("http://www.twitter.com/NathanBLawrence/status/975482784239308800", "975482784239308800")</f>
        <v/>
      </c>
      <c r="B2063" s="2" t="n">
        <v>43177.89113425926</v>
      </c>
      <c r="C2063" t="n">
        <v>0</v>
      </c>
      <c r="D2063" t="n">
        <v>7</v>
      </c>
      <c r="E2063" t="s">
        <v>2066</v>
      </c>
      <c r="F2063">
        <f>HYPERLINK("http://pbs.twimg.com/media/DYb2m-LW4AAjDgJ.jpg", "http://pbs.twimg.com/media/DYb2m-LW4AAjDgJ.jpg")</f>
        <v/>
      </c>
      <c r="G2063" t="s"/>
      <c r="H2063" t="s"/>
      <c r="I2063" t="s"/>
      <c r="J2063" t="n">
        <v>-0.3818</v>
      </c>
      <c r="K2063" t="n">
        <v>0.13</v>
      </c>
      <c r="L2063" t="n">
        <v>0.802</v>
      </c>
      <c r="M2063" t="n">
        <v>0.06900000000000001</v>
      </c>
    </row>
    <row r="2064" spans="1:13">
      <c r="A2064" s="1">
        <f>HYPERLINK("http://www.twitter.com/NathanBLawrence/status/975482680388280320", "975482680388280320")</f>
        <v/>
      </c>
      <c r="B2064" s="2" t="n">
        <v>43177.89084490741</v>
      </c>
      <c r="C2064" t="n">
        <v>0</v>
      </c>
      <c r="D2064" t="n">
        <v>10</v>
      </c>
      <c r="E2064" t="s">
        <v>2067</v>
      </c>
      <c r="F2064">
        <f>HYPERLINK("http://pbs.twimg.com/media/DYcNCWAX0AMcw5F.jpg", "http://pbs.twimg.com/media/DYcNCWAX0AMcw5F.jpg")</f>
        <v/>
      </c>
      <c r="G2064" t="s"/>
      <c r="H2064" t="s"/>
      <c r="I2064" t="s"/>
      <c r="J2064" t="n">
        <v>0.5233</v>
      </c>
      <c r="K2064" t="n">
        <v>0.076</v>
      </c>
      <c r="L2064" t="n">
        <v>0.6820000000000001</v>
      </c>
      <c r="M2064" t="n">
        <v>0.242</v>
      </c>
    </row>
    <row r="2065" spans="1:13">
      <c r="A2065" s="1">
        <f>HYPERLINK("http://www.twitter.com/NathanBLawrence/status/975482398875045888", "975482398875045888")</f>
        <v/>
      </c>
      <c r="B2065" s="2" t="n">
        <v>43177.89006944445</v>
      </c>
      <c r="C2065" t="n">
        <v>0</v>
      </c>
      <c r="D2065" t="n">
        <v>2330</v>
      </c>
      <c r="E2065" t="s">
        <v>2068</v>
      </c>
      <c r="F2065" t="s"/>
      <c r="G2065" t="s"/>
      <c r="H2065" t="s"/>
      <c r="I2065" t="s"/>
      <c r="J2065" t="n">
        <v>-0.8270999999999999</v>
      </c>
      <c r="K2065" t="n">
        <v>0.339</v>
      </c>
      <c r="L2065" t="n">
        <v>0.661</v>
      </c>
      <c r="M2065" t="n">
        <v>0</v>
      </c>
    </row>
    <row r="2066" spans="1:13">
      <c r="A2066" s="1">
        <f>HYPERLINK("http://www.twitter.com/NathanBLawrence/status/975482090975264769", "975482090975264769")</f>
        <v/>
      </c>
      <c r="B2066" s="2" t="n">
        <v>43177.88921296296</v>
      </c>
      <c r="C2066" t="n">
        <v>0</v>
      </c>
      <c r="D2066" t="n">
        <v>0</v>
      </c>
      <c r="E2066" t="s">
        <v>2069</v>
      </c>
      <c r="F2066" t="s"/>
      <c r="G2066" t="s"/>
      <c r="H2066" t="s"/>
      <c r="I2066" t="s"/>
      <c r="J2066" t="n">
        <v>0</v>
      </c>
      <c r="K2066" t="n">
        <v>0</v>
      </c>
      <c r="L2066" t="n">
        <v>1</v>
      </c>
      <c r="M2066" t="n">
        <v>0</v>
      </c>
    </row>
    <row r="2067" spans="1:13">
      <c r="A2067" s="1">
        <f>HYPERLINK("http://www.twitter.com/NathanBLawrence/status/975481900226793478", "975481900226793478")</f>
        <v/>
      </c>
      <c r="B2067" s="2" t="n">
        <v>43177.88869212963</v>
      </c>
      <c r="C2067" t="n">
        <v>0</v>
      </c>
      <c r="D2067" t="n">
        <v>0</v>
      </c>
      <c r="E2067" t="s">
        <v>2070</v>
      </c>
      <c r="F2067" t="s"/>
      <c r="G2067" t="s"/>
      <c r="H2067" t="s"/>
      <c r="I2067" t="s"/>
      <c r="J2067" t="n">
        <v>0.6249</v>
      </c>
      <c r="K2067" t="n">
        <v>0</v>
      </c>
      <c r="L2067" t="n">
        <v>0.579</v>
      </c>
      <c r="M2067" t="n">
        <v>0.421</v>
      </c>
    </row>
    <row r="2068" spans="1:13">
      <c r="A2068" s="1">
        <f>HYPERLINK("http://www.twitter.com/NathanBLawrence/status/975481580247449606", "975481580247449606")</f>
        <v/>
      </c>
      <c r="B2068" s="2" t="n">
        <v>43177.88780092593</v>
      </c>
      <c r="C2068" t="n">
        <v>0</v>
      </c>
      <c r="D2068" t="n">
        <v>0</v>
      </c>
      <c r="E2068" t="s">
        <v>2071</v>
      </c>
      <c r="F2068" t="s"/>
      <c r="G2068" t="s"/>
      <c r="H2068" t="s"/>
      <c r="I2068" t="s"/>
      <c r="J2068" t="n">
        <v>-0.2263</v>
      </c>
      <c r="K2068" t="n">
        <v>0.235</v>
      </c>
      <c r="L2068" t="n">
        <v>0.588</v>
      </c>
      <c r="M2068" t="n">
        <v>0.176</v>
      </c>
    </row>
    <row r="2069" spans="1:13">
      <c r="A2069" s="1">
        <f>HYPERLINK("http://www.twitter.com/NathanBLawrence/status/975481347002298368", "975481347002298368")</f>
        <v/>
      </c>
      <c r="B2069" s="2" t="n">
        <v>43177.88716435185</v>
      </c>
      <c r="C2069" t="n">
        <v>2</v>
      </c>
      <c r="D2069" t="n">
        <v>1</v>
      </c>
      <c r="E2069" t="s">
        <v>2072</v>
      </c>
      <c r="F2069" t="s"/>
      <c r="G2069" t="s"/>
      <c r="H2069" t="s"/>
      <c r="I2069" t="s"/>
      <c r="J2069" t="n">
        <v>0.1779</v>
      </c>
      <c r="K2069" t="n">
        <v>0.07199999999999999</v>
      </c>
      <c r="L2069" t="n">
        <v>0.822</v>
      </c>
      <c r="M2069" t="n">
        <v>0.106</v>
      </c>
    </row>
    <row r="2070" spans="1:13">
      <c r="A2070" s="1">
        <f>HYPERLINK("http://www.twitter.com/NathanBLawrence/status/975480655911051264", "975480655911051264")</f>
        <v/>
      </c>
      <c r="B2070" s="2" t="n">
        <v>43177.88525462963</v>
      </c>
      <c r="C2070" t="n">
        <v>0</v>
      </c>
      <c r="D2070" t="n">
        <v>4</v>
      </c>
      <c r="E2070" t="s">
        <v>2073</v>
      </c>
      <c r="F2070" t="s"/>
      <c r="G2070" t="s"/>
      <c r="H2070" t="s"/>
      <c r="I2070" t="s"/>
      <c r="J2070" t="n">
        <v>0.1613</v>
      </c>
      <c r="K2070" t="n">
        <v>0.107</v>
      </c>
      <c r="L2070" t="n">
        <v>0.762</v>
      </c>
      <c r="M2070" t="n">
        <v>0.131</v>
      </c>
    </row>
    <row r="2071" spans="1:13">
      <c r="A2071" s="1">
        <f>HYPERLINK("http://www.twitter.com/NathanBLawrence/status/975480584020643848", "975480584020643848")</f>
        <v/>
      </c>
      <c r="B2071" s="2" t="n">
        <v>43177.88505787037</v>
      </c>
      <c r="C2071" t="n">
        <v>0</v>
      </c>
      <c r="D2071" t="n">
        <v>10</v>
      </c>
      <c r="E2071" t="s">
        <v>2074</v>
      </c>
      <c r="F2071" t="s"/>
      <c r="G2071" t="s"/>
      <c r="H2071" t="s"/>
      <c r="I2071" t="s"/>
      <c r="J2071" t="n">
        <v>0.7475000000000001</v>
      </c>
      <c r="K2071" t="n">
        <v>0</v>
      </c>
      <c r="L2071" t="n">
        <v>0.721</v>
      </c>
      <c r="M2071" t="n">
        <v>0.279</v>
      </c>
    </row>
    <row r="2072" spans="1:13">
      <c r="A2072" s="1">
        <f>HYPERLINK("http://www.twitter.com/NathanBLawrence/status/975480559764934662", "975480559764934662")</f>
        <v/>
      </c>
      <c r="B2072" s="2" t="n">
        <v>43177.88498842593</v>
      </c>
      <c r="C2072" t="n">
        <v>0</v>
      </c>
      <c r="D2072" t="n">
        <v>0</v>
      </c>
      <c r="E2072" t="s">
        <v>2075</v>
      </c>
      <c r="F2072" t="s"/>
      <c r="G2072" t="s"/>
      <c r="H2072" t="s"/>
      <c r="I2072" t="s"/>
      <c r="J2072" t="n">
        <v>0</v>
      </c>
      <c r="K2072" t="n">
        <v>0</v>
      </c>
      <c r="L2072" t="n">
        <v>1</v>
      </c>
      <c r="M2072" t="n">
        <v>0</v>
      </c>
    </row>
    <row r="2073" spans="1:13">
      <c r="A2073" s="1">
        <f>HYPERLINK("http://www.twitter.com/NathanBLawrence/status/975480413975171075", "975480413975171075")</f>
        <v/>
      </c>
      <c r="B2073" s="2" t="n">
        <v>43177.88458333333</v>
      </c>
      <c r="C2073" t="n">
        <v>1</v>
      </c>
      <c r="D2073" t="n">
        <v>0</v>
      </c>
      <c r="E2073" t="s">
        <v>2076</v>
      </c>
      <c r="F2073" t="s"/>
      <c r="G2073" t="s"/>
      <c r="H2073" t="s"/>
      <c r="I2073" t="s"/>
      <c r="J2073" t="n">
        <v>0.6369</v>
      </c>
      <c r="K2073" t="n">
        <v>0</v>
      </c>
      <c r="L2073" t="n">
        <v>0.488</v>
      </c>
      <c r="M2073" t="n">
        <v>0.512</v>
      </c>
    </row>
    <row r="2074" spans="1:13">
      <c r="A2074" s="1">
        <f>HYPERLINK("http://www.twitter.com/NathanBLawrence/status/975480368341159936", "975480368341159936")</f>
        <v/>
      </c>
      <c r="B2074" s="2" t="n">
        <v>43177.88446759259</v>
      </c>
      <c r="C2074" t="n">
        <v>0</v>
      </c>
      <c r="D2074" t="n">
        <v>6</v>
      </c>
      <c r="E2074" t="s">
        <v>2077</v>
      </c>
      <c r="F2074">
        <f>HYPERLINK("http://pbs.twimg.com/media/DXsnARbW0AI78dg.jpg", "http://pbs.twimg.com/media/DXsnARbW0AI78dg.jpg")</f>
        <v/>
      </c>
      <c r="G2074">
        <f>HYPERLINK("http://pbs.twimg.com/media/DXsnARmW0AA9BWJ.jpg", "http://pbs.twimg.com/media/DXsnARmW0AA9BWJ.jpg")</f>
        <v/>
      </c>
      <c r="H2074">
        <f>HYPERLINK("http://pbs.twimg.com/media/DXsnAReWsAAsUqa.jpg", "http://pbs.twimg.com/media/DXsnAReWsAAsUqa.jpg")</f>
        <v/>
      </c>
      <c r="I2074" t="s"/>
      <c r="J2074" t="n">
        <v>0</v>
      </c>
      <c r="K2074" t="n">
        <v>0</v>
      </c>
      <c r="L2074" t="n">
        <v>1</v>
      </c>
      <c r="M2074" t="n">
        <v>0</v>
      </c>
    </row>
    <row r="2075" spans="1:13">
      <c r="A2075" s="1">
        <f>HYPERLINK("http://www.twitter.com/NathanBLawrence/status/975480326846902272", "975480326846902272")</f>
        <v/>
      </c>
      <c r="B2075" s="2" t="n">
        <v>43177.88435185186</v>
      </c>
      <c r="C2075" t="n">
        <v>0</v>
      </c>
      <c r="D2075" t="n">
        <v>5</v>
      </c>
      <c r="E2075" t="s">
        <v>2078</v>
      </c>
      <c r="F2075" t="s"/>
      <c r="G2075" t="s"/>
      <c r="H2075" t="s"/>
      <c r="I2075" t="s"/>
      <c r="J2075" t="n">
        <v>-0.34</v>
      </c>
      <c r="K2075" t="n">
        <v>0.098</v>
      </c>
      <c r="L2075" t="n">
        <v>0.902</v>
      </c>
      <c r="M2075" t="n">
        <v>0</v>
      </c>
    </row>
    <row r="2076" spans="1:13">
      <c r="A2076" s="1">
        <f>HYPERLINK("http://www.twitter.com/NathanBLawrence/status/975480277903511556", "975480277903511556")</f>
        <v/>
      </c>
      <c r="B2076" s="2" t="n">
        <v>43177.88421296296</v>
      </c>
      <c r="C2076" t="n">
        <v>0</v>
      </c>
      <c r="D2076" t="n">
        <v>4</v>
      </c>
      <c r="E2076" t="s">
        <v>2079</v>
      </c>
      <c r="F2076">
        <f>HYPERLINK("http://pbs.twimg.com/media/DXsgr1AX4AI6gV0.jpg", "http://pbs.twimg.com/media/DXsgr1AX4AI6gV0.jpg")</f>
        <v/>
      </c>
      <c r="G2076" t="s"/>
      <c r="H2076" t="s"/>
      <c r="I2076" t="s"/>
      <c r="J2076" t="n">
        <v>-0.7351</v>
      </c>
      <c r="K2076" t="n">
        <v>0.212</v>
      </c>
      <c r="L2076" t="n">
        <v>0.788</v>
      </c>
      <c r="M2076" t="n">
        <v>0</v>
      </c>
    </row>
    <row r="2077" spans="1:13">
      <c r="A2077" s="1">
        <f>HYPERLINK("http://www.twitter.com/NathanBLawrence/status/975480216578613254", "975480216578613254")</f>
        <v/>
      </c>
      <c r="B2077" s="2" t="n">
        <v>43177.88403935185</v>
      </c>
      <c r="C2077" t="n">
        <v>0</v>
      </c>
      <c r="D2077" t="n">
        <v>805</v>
      </c>
      <c r="E2077" t="s">
        <v>2080</v>
      </c>
      <c r="F2077">
        <f>HYPERLINK("https://video.twimg.com/amplify_video/975193187852701697/vid/1280x720/vUcpGkL9UDeLGQw5.mp4", "https://video.twimg.com/amplify_video/975193187852701697/vid/1280x720/vUcpGkL9UDeLGQw5.mp4")</f>
        <v/>
      </c>
      <c r="G2077" t="s"/>
      <c r="H2077" t="s"/>
      <c r="I2077" t="s"/>
      <c r="J2077" t="n">
        <v>0.4019</v>
      </c>
      <c r="K2077" t="n">
        <v>0</v>
      </c>
      <c r="L2077" t="n">
        <v>0.886</v>
      </c>
      <c r="M2077" t="n">
        <v>0.114</v>
      </c>
    </row>
    <row r="2078" spans="1:13">
      <c r="A2078" s="1">
        <f>HYPERLINK("http://www.twitter.com/NathanBLawrence/status/975479868455636994", "975479868455636994")</f>
        <v/>
      </c>
      <c r="B2078" s="2" t="n">
        <v>43177.8830787037</v>
      </c>
      <c r="C2078" t="n">
        <v>0</v>
      </c>
      <c r="D2078" t="n">
        <v>1843</v>
      </c>
      <c r="E2078" t="s">
        <v>2081</v>
      </c>
      <c r="F2078">
        <f>HYPERLINK("https://video.twimg.com/amplify_video/975384027975880704/vid/1280x720/ABXDEXjtOjLgQtfF.mp4", "https://video.twimg.com/amplify_video/975384027975880704/vid/1280x720/ABXDEXjtOjLgQtfF.mp4")</f>
        <v/>
      </c>
      <c r="G2078" t="s"/>
      <c r="H2078" t="s"/>
      <c r="I2078" t="s"/>
      <c r="J2078" t="n">
        <v>-0.7269</v>
      </c>
      <c r="K2078" t="n">
        <v>0.253</v>
      </c>
      <c r="L2078" t="n">
        <v>0.747</v>
      </c>
      <c r="M2078" t="n">
        <v>0</v>
      </c>
    </row>
    <row r="2079" spans="1:13">
      <c r="A2079" s="1">
        <f>HYPERLINK("http://www.twitter.com/NathanBLawrence/status/975479679221207043", "975479679221207043")</f>
        <v/>
      </c>
      <c r="B2079" s="2" t="n">
        <v>43177.88255787037</v>
      </c>
      <c r="C2079" t="n">
        <v>0</v>
      </c>
      <c r="D2079" t="n">
        <v>4</v>
      </c>
      <c r="E2079" t="s">
        <v>2082</v>
      </c>
      <c r="F2079">
        <f>HYPERLINK("http://pbs.twimg.com/media/DXsdPMeXUAAJRtL.jpg", "http://pbs.twimg.com/media/DXsdPMeXUAAJRtL.jpg")</f>
        <v/>
      </c>
      <c r="G2079">
        <f>HYPERLINK("http://pbs.twimg.com/media/DXsdPMRXUAEUM8q.jpg", "http://pbs.twimg.com/media/DXsdPMRXUAEUM8q.jpg")</f>
        <v/>
      </c>
      <c r="H2079" t="s"/>
      <c r="I2079" t="s"/>
      <c r="J2079" t="n">
        <v>-0.186</v>
      </c>
      <c r="K2079" t="n">
        <v>0.199</v>
      </c>
      <c r="L2079" t="n">
        <v>0.671</v>
      </c>
      <c r="M2079" t="n">
        <v>0.13</v>
      </c>
    </row>
    <row r="2080" spans="1:13">
      <c r="A2080" s="1">
        <f>HYPERLINK("http://www.twitter.com/NathanBLawrence/status/975479589404336128", "975479589404336128")</f>
        <v/>
      </c>
      <c r="B2080" s="2" t="n">
        <v>43177.88231481481</v>
      </c>
      <c r="C2080" t="n">
        <v>0</v>
      </c>
      <c r="D2080" t="n">
        <v>6</v>
      </c>
      <c r="E2080" t="s">
        <v>2083</v>
      </c>
      <c r="F2080">
        <f>HYPERLINK("http://pbs.twimg.com/media/DXsXkS2W4AUTzCL.jpg", "http://pbs.twimg.com/media/DXsXkS2W4AUTzCL.jpg")</f>
        <v/>
      </c>
      <c r="G2080">
        <f>HYPERLINK("http://pbs.twimg.com/media/DXsXkSpW0AAk_91.jpg", "http://pbs.twimg.com/media/DXsXkSpW0AAk_91.jpg")</f>
        <v/>
      </c>
      <c r="H2080">
        <f>HYPERLINK("http://pbs.twimg.com/media/DXsXkScX4AE9PjP.jpg", "http://pbs.twimg.com/media/DXsXkScX4AE9PjP.jpg")</f>
        <v/>
      </c>
      <c r="I2080">
        <f>HYPERLINK("http://pbs.twimg.com/media/DXsXkSeWAAASalX.jpg", "http://pbs.twimg.com/media/DXsXkSeWAAASalX.jpg")</f>
        <v/>
      </c>
      <c r="J2080" t="n">
        <v>-0.3818</v>
      </c>
      <c r="K2080" t="n">
        <v>0.094</v>
      </c>
      <c r="L2080" t="n">
        <v>0.906</v>
      </c>
      <c r="M2080" t="n">
        <v>0</v>
      </c>
    </row>
    <row r="2081" spans="1:13">
      <c r="A2081" s="1">
        <f>HYPERLINK("http://www.twitter.com/NathanBLawrence/status/975479437293772801", "975479437293772801")</f>
        <v/>
      </c>
      <c r="B2081" s="2" t="n">
        <v>43177.88189814815</v>
      </c>
      <c r="C2081" t="n">
        <v>0</v>
      </c>
      <c r="D2081" t="n">
        <v>5</v>
      </c>
      <c r="E2081" t="s">
        <v>2084</v>
      </c>
      <c r="F2081" t="s"/>
      <c r="G2081" t="s"/>
      <c r="H2081" t="s"/>
      <c r="I2081" t="s"/>
      <c r="J2081" t="n">
        <v>-0.7351</v>
      </c>
      <c r="K2081" t="n">
        <v>0.228</v>
      </c>
      <c r="L2081" t="n">
        <v>0.772</v>
      </c>
      <c r="M2081" t="n">
        <v>0</v>
      </c>
    </row>
    <row r="2082" spans="1:13">
      <c r="A2082" s="1">
        <f>HYPERLINK("http://www.twitter.com/NathanBLawrence/status/975479408164261888", "975479408164261888")</f>
        <v/>
      </c>
      <c r="B2082" s="2" t="n">
        <v>43177.88181712963</v>
      </c>
      <c r="C2082" t="n">
        <v>0</v>
      </c>
      <c r="D2082" t="n">
        <v>7</v>
      </c>
      <c r="E2082" t="s">
        <v>2085</v>
      </c>
      <c r="F2082" t="s"/>
      <c r="G2082" t="s"/>
      <c r="H2082" t="s"/>
      <c r="I2082" t="s"/>
      <c r="J2082" t="n">
        <v>-0.4767</v>
      </c>
      <c r="K2082" t="n">
        <v>0.147</v>
      </c>
      <c r="L2082" t="n">
        <v>0.853</v>
      </c>
      <c r="M2082" t="n">
        <v>0</v>
      </c>
    </row>
    <row r="2083" spans="1:13">
      <c r="A2083" s="1">
        <f>HYPERLINK("http://www.twitter.com/NathanBLawrence/status/975479354166824960", "975479354166824960")</f>
        <v/>
      </c>
      <c r="B2083" s="2" t="n">
        <v>43177.88166666667</v>
      </c>
      <c r="C2083" t="n">
        <v>0</v>
      </c>
      <c r="D2083" t="n">
        <v>6</v>
      </c>
      <c r="E2083" t="s">
        <v>2086</v>
      </c>
      <c r="F2083" t="s"/>
      <c r="G2083" t="s"/>
      <c r="H2083" t="s"/>
      <c r="I2083" t="s"/>
      <c r="J2083" t="n">
        <v>0.5204</v>
      </c>
      <c r="K2083" t="n">
        <v>0</v>
      </c>
      <c r="L2083" t="n">
        <v>0.862</v>
      </c>
      <c r="M2083" t="n">
        <v>0.138</v>
      </c>
    </row>
    <row r="2084" spans="1:13">
      <c r="A2084" s="1">
        <f>HYPERLINK("http://www.twitter.com/NathanBLawrence/status/975479327348396034", "975479327348396034")</f>
        <v/>
      </c>
      <c r="B2084" s="2" t="n">
        <v>43177.88158564815</v>
      </c>
      <c r="C2084" t="n">
        <v>0</v>
      </c>
      <c r="D2084" t="n">
        <v>4</v>
      </c>
      <c r="E2084" t="s">
        <v>2087</v>
      </c>
      <c r="F2084">
        <f>HYPERLINK("http://pbs.twimg.com/media/DXsOgp5WsAAdqHk.jpg", "http://pbs.twimg.com/media/DXsOgp5WsAAdqHk.jpg")</f>
        <v/>
      </c>
      <c r="G2084">
        <f>HYPERLINK("http://pbs.twimg.com/media/DXsOgp5XkAEwit1.jpg", "http://pbs.twimg.com/media/DXsOgp5XkAEwit1.jpg")</f>
        <v/>
      </c>
      <c r="H2084">
        <f>HYPERLINK("http://pbs.twimg.com/media/DXsOgp8WAAAxT9E.jpg", "http://pbs.twimg.com/media/DXsOgp8WAAAxT9E.jpg")</f>
        <v/>
      </c>
      <c r="I2084">
        <f>HYPERLINK("http://pbs.twimg.com/media/DXsOgp-WkAABsFm.jpg", "http://pbs.twimg.com/media/DXsOgp-WkAABsFm.jpg")</f>
        <v/>
      </c>
      <c r="J2084" t="n">
        <v>0.2997</v>
      </c>
      <c r="K2084" t="n">
        <v>0.201</v>
      </c>
      <c r="L2084" t="n">
        <v>0.5580000000000001</v>
      </c>
      <c r="M2084" t="n">
        <v>0.241</v>
      </c>
    </row>
    <row r="2085" spans="1:13">
      <c r="A2085" s="1">
        <f>HYPERLINK("http://www.twitter.com/NathanBLawrence/status/975479301381423104", "975479301381423104")</f>
        <v/>
      </c>
      <c r="B2085" s="2" t="n">
        <v>43177.88151620371</v>
      </c>
      <c r="C2085" t="n">
        <v>0</v>
      </c>
      <c r="D2085" t="n">
        <v>5</v>
      </c>
      <c r="E2085" t="s">
        <v>2088</v>
      </c>
      <c r="F2085">
        <f>HYPERLINK("http://pbs.twimg.com/media/DXsG5nuW4AAPFJ9.jpg", "http://pbs.twimg.com/media/DXsG5nuW4AAPFJ9.jpg")</f>
        <v/>
      </c>
      <c r="G2085">
        <f>HYPERLINK("http://pbs.twimg.com/media/DXsG5n4X4AADoRK.jpg", "http://pbs.twimg.com/media/DXsG5n4X4AADoRK.jpg")</f>
        <v/>
      </c>
      <c r="H2085">
        <f>HYPERLINK("http://pbs.twimg.com/media/DXsG5n3XUAEjulS.jpg", "http://pbs.twimg.com/media/DXsG5n3XUAEjulS.jpg")</f>
        <v/>
      </c>
      <c r="I2085">
        <f>HYPERLINK("http://pbs.twimg.com/media/DXsG5n7WsAApTNR.jpg", "http://pbs.twimg.com/media/DXsG5n7WsAApTNR.jpg")</f>
        <v/>
      </c>
      <c r="J2085" t="n">
        <v>-0.3818</v>
      </c>
      <c r="K2085" t="n">
        <v>0.11</v>
      </c>
      <c r="L2085" t="n">
        <v>0.89</v>
      </c>
      <c r="M2085" t="n">
        <v>0</v>
      </c>
    </row>
    <row r="2086" spans="1:13">
      <c r="A2086" s="1">
        <f>HYPERLINK("http://www.twitter.com/NathanBLawrence/status/975478896530460673", "975478896530460673")</f>
        <v/>
      </c>
      <c r="B2086" s="2" t="n">
        <v>43177.88040509259</v>
      </c>
      <c r="C2086" t="n">
        <v>0</v>
      </c>
      <c r="D2086" t="n">
        <v>8</v>
      </c>
      <c r="E2086" t="s">
        <v>2089</v>
      </c>
      <c r="F2086">
        <f>HYPERLINK("http://pbs.twimg.com/media/DXsAXnVW0AAJhTT.jpg", "http://pbs.twimg.com/media/DXsAXnVW0AAJhTT.jpg")</f>
        <v/>
      </c>
      <c r="G2086" t="s"/>
      <c r="H2086" t="s"/>
      <c r="I2086" t="s"/>
      <c r="J2086" t="n">
        <v>-0.6661</v>
      </c>
      <c r="K2086" t="n">
        <v>0.244</v>
      </c>
      <c r="L2086" t="n">
        <v>0.756</v>
      </c>
      <c r="M2086" t="n">
        <v>0</v>
      </c>
    </row>
    <row r="2087" spans="1:13">
      <c r="A2087" s="1">
        <f>HYPERLINK("http://www.twitter.com/NathanBLawrence/status/975466754863521797", "975466754863521797")</f>
        <v/>
      </c>
      <c r="B2087" s="2" t="n">
        <v>43177.84689814815</v>
      </c>
      <c r="C2087" t="n">
        <v>0</v>
      </c>
      <c r="D2087" t="n">
        <v>0</v>
      </c>
      <c r="E2087" t="s">
        <v>2090</v>
      </c>
      <c r="F2087" t="s"/>
      <c r="G2087" t="s"/>
      <c r="H2087" t="s"/>
      <c r="I2087" t="s"/>
      <c r="J2087" t="n">
        <v>0.7269</v>
      </c>
      <c r="K2087" t="n">
        <v>0</v>
      </c>
      <c r="L2087" t="n">
        <v>0.141</v>
      </c>
      <c r="M2087" t="n">
        <v>0.859</v>
      </c>
    </row>
    <row r="2088" spans="1:13">
      <c r="A2088" s="1">
        <f>HYPERLINK("http://www.twitter.com/NathanBLawrence/status/975466626337398785", "975466626337398785")</f>
        <v/>
      </c>
      <c r="B2088" s="2" t="n">
        <v>43177.84653935185</v>
      </c>
      <c r="C2088" t="n">
        <v>0</v>
      </c>
      <c r="D2088" t="n">
        <v>0</v>
      </c>
      <c r="E2088" t="s">
        <v>2091</v>
      </c>
      <c r="F2088" t="s"/>
      <c r="G2088" t="s"/>
      <c r="H2088" t="s"/>
      <c r="I2088" t="s"/>
      <c r="J2088" t="n">
        <v>0</v>
      </c>
      <c r="K2088" t="n">
        <v>0</v>
      </c>
      <c r="L2088" t="n">
        <v>1</v>
      </c>
      <c r="M2088" t="n">
        <v>0</v>
      </c>
    </row>
    <row r="2089" spans="1:13">
      <c r="A2089" s="1">
        <f>HYPERLINK("http://www.twitter.com/NathanBLawrence/status/975449988045131777", "975449988045131777")</f>
        <v/>
      </c>
      <c r="B2089" s="2" t="n">
        <v>43177.800625</v>
      </c>
      <c r="C2089" t="n">
        <v>0</v>
      </c>
      <c r="D2089" t="n">
        <v>0</v>
      </c>
      <c r="E2089" t="s">
        <v>2092</v>
      </c>
      <c r="F2089" t="s"/>
      <c r="G2089" t="s"/>
      <c r="H2089" t="s"/>
      <c r="I2089" t="s"/>
      <c r="J2089" t="n">
        <v>0.4738</v>
      </c>
      <c r="K2089" t="n">
        <v>0</v>
      </c>
      <c r="L2089" t="n">
        <v>0.493</v>
      </c>
      <c r="M2089" t="n">
        <v>0.507</v>
      </c>
    </row>
    <row r="2090" spans="1:13">
      <c r="A2090" s="1">
        <f>HYPERLINK("http://www.twitter.com/NathanBLawrence/status/975449921779322880", "975449921779322880")</f>
        <v/>
      </c>
      <c r="B2090" s="2" t="n">
        <v>43177.80043981481</v>
      </c>
      <c r="C2090" t="n">
        <v>0</v>
      </c>
      <c r="D2090" t="n">
        <v>1</v>
      </c>
      <c r="E2090" t="s">
        <v>2093</v>
      </c>
      <c r="F2090" t="s"/>
      <c r="G2090" t="s"/>
      <c r="H2090" t="s"/>
      <c r="I2090" t="s"/>
      <c r="J2090" t="n">
        <v>-0.7179</v>
      </c>
      <c r="K2090" t="n">
        <v>0.27</v>
      </c>
      <c r="L2090" t="n">
        <v>0.594</v>
      </c>
      <c r="M2090" t="n">
        <v>0.135</v>
      </c>
    </row>
    <row r="2091" spans="1:13">
      <c r="A2091" s="1">
        <f>HYPERLINK("http://www.twitter.com/NathanBLawrence/status/975449650751856641", "975449650751856641")</f>
        <v/>
      </c>
      <c r="B2091" s="2" t="n">
        <v>43177.79969907407</v>
      </c>
      <c r="C2091" t="n">
        <v>0</v>
      </c>
      <c r="D2091" t="n">
        <v>0</v>
      </c>
      <c r="E2091" t="s">
        <v>2094</v>
      </c>
      <c r="F2091" t="s"/>
      <c r="G2091" t="s"/>
      <c r="H2091" t="s"/>
      <c r="I2091" t="s"/>
      <c r="J2091" t="n">
        <v>0.893</v>
      </c>
      <c r="K2091" t="n">
        <v>0</v>
      </c>
      <c r="L2091" t="n">
        <v>0.507</v>
      </c>
      <c r="M2091" t="n">
        <v>0.493</v>
      </c>
    </row>
    <row r="2092" spans="1:13">
      <c r="A2092" s="1">
        <f>HYPERLINK("http://www.twitter.com/NathanBLawrence/status/975449517981085698", "975449517981085698")</f>
        <v/>
      </c>
      <c r="B2092" s="2" t="n">
        <v>43177.7993287037</v>
      </c>
      <c r="C2092" t="n">
        <v>0</v>
      </c>
      <c r="D2092" t="n">
        <v>1</v>
      </c>
      <c r="E2092" t="s">
        <v>2095</v>
      </c>
      <c r="F2092">
        <f>HYPERLINK("http://pbs.twimg.com/media/DYgVc9nVQAAOl2Y.jpg", "http://pbs.twimg.com/media/DYgVc9nVQAAOl2Y.jpg")</f>
        <v/>
      </c>
      <c r="G2092" t="s"/>
      <c r="H2092" t="s"/>
      <c r="I2092" t="s"/>
      <c r="J2092" t="n">
        <v>0</v>
      </c>
      <c r="K2092" t="n">
        <v>0</v>
      </c>
      <c r="L2092" t="n">
        <v>1</v>
      </c>
      <c r="M2092" t="n">
        <v>0</v>
      </c>
    </row>
    <row r="2093" spans="1:13">
      <c r="A2093" s="1">
        <f>HYPERLINK("http://www.twitter.com/NathanBLawrence/status/975449334597726208", "975449334597726208")</f>
        <v/>
      </c>
      <c r="B2093" s="2" t="n">
        <v>43177.79881944445</v>
      </c>
      <c r="C2093" t="n">
        <v>1</v>
      </c>
      <c r="D2093" t="n">
        <v>0</v>
      </c>
      <c r="E2093" t="s">
        <v>2096</v>
      </c>
      <c r="F2093" t="s"/>
      <c r="G2093" t="s"/>
      <c r="H2093" t="s"/>
      <c r="I2093" t="s"/>
      <c r="J2093" t="n">
        <v>0.6808</v>
      </c>
      <c r="K2093" t="n">
        <v>0</v>
      </c>
      <c r="L2093" t="n">
        <v>0.741</v>
      </c>
      <c r="M2093" t="n">
        <v>0.259</v>
      </c>
    </row>
    <row r="2094" spans="1:13">
      <c r="A2094" s="1">
        <f>HYPERLINK("http://www.twitter.com/NathanBLawrence/status/975449127411703813", "975449127411703813")</f>
        <v/>
      </c>
      <c r="B2094" s="2" t="n">
        <v>43177.79825231482</v>
      </c>
      <c r="C2094" t="n">
        <v>0</v>
      </c>
      <c r="D2094" t="n">
        <v>1</v>
      </c>
      <c r="E2094" t="s">
        <v>2097</v>
      </c>
      <c r="F2094" t="s"/>
      <c r="G2094" t="s"/>
      <c r="H2094" t="s"/>
      <c r="I2094" t="s"/>
      <c r="J2094" t="n">
        <v>0</v>
      </c>
      <c r="K2094" t="n">
        <v>0</v>
      </c>
      <c r="L2094" t="n">
        <v>1</v>
      </c>
      <c r="M2094" t="n">
        <v>0</v>
      </c>
    </row>
    <row r="2095" spans="1:13">
      <c r="A2095" s="1">
        <f>HYPERLINK("http://www.twitter.com/NathanBLawrence/status/975449068553101312", "975449068553101312")</f>
        <v/>
      </c>
      <c r="B2095" s="2" t="n">
        <v>43177.79809027778</v>
      </c>
      <c r="C2095" t="n">
        <v>0</v>
      </c>
      <c r="D2095" t="n">
        <v>0</v>
      </c>
      <c r="E2095" t="s">
        <v>2098</v>
      </c>
      <c r="F2095" t="s"/>
      <c r="G2095" t="s"/>
      <c r="H2095" t="s"/>
      <c r="I2095" t="s"/>
      <c r="J2095" t="n">
        <v>-0.3049</v>
      </c>
      <c r="K2095" t="n">
        <v>0.123</v>
      </c>
      <c r="L2095" t="n">
        <v>0.877</v>
      </c>
      <c r="M2095" t="n">
        <v>0</v>
      </c>
    </row>
    <row r="2096" spans="1:13">
      <c r="A2096" s="1">
        <f>HYPERLINK("http://www.twitter.com/NathanBLawrence/status/975448718752342021", "975448718752342021")</f>
        <v/>
      </c>
      <c r="B2096" s="2" t="n">
        <v>43177.79712962963</v>
      </c>
      <c r="C2096" t="n">
        <v>0</v>
      </c>
      <c r="D2096" t="n">
        <v>0</v>
      </c>
      <c r="E2096" t="s">
        <v>2099</v>
      </c>
      <c r="F2096" t="s"/>
      <c r="G2096" t="s"/>
      <c r="H2096" t="s"/>
      <c r="I2096" t="s"/>
      <c r="J2096" t="n">
        <v>0.296</v>
      </c>
      <c r="K2096" t="n">
        <v>0</v>
      </c>
      <c r="L2096" t="n">
        <v>0.645</v>
      </c>
      <c r="M2096" t="n">
        <v>0.355</v>
      </c>
    </row>
    <row r="2097" spans="1:13">
      <c r="A2097" s="1">
        <f>HYPERLINK("http://www.twitter.com/NathanBLawrence/status/975448265805221890", "975448265805221890")</f>
        <v/>
      </c>
      <c r="B2097" s="2" t="n">
        <v>43177.79587962963</v>
      </c>
      <c r="C2097" t="n">
        <v>0</v>
      </c>
      <c r="D2097" t="n">
        <v>1</v>
      </c>
      <c r="E2097" t="s">
        <v>2100</v>
      </c>
      <c r="F2097" t="s"/>
      <c r="G2097" t="s"/>
      <c r="H2097" t="s"/>
      <c r="I2097" t="s"/>
      <c r="J2097" t="n">
        <v>0.5859</v>
      </c>
      <c r="K2097" t="n">
        <v>0</v>
      </c>
      <c r="L2097" t="n">
        <v>0.858</v>
      </c>
      <c r="M2097" t="n">
        <v>0.142</v>
      </c>
    </row>
    <row r="2098" spans="1:13">
      <c r="A2098" s="1">
        <f>HYPERLINK("http://www.twitter.com/NathanBLawrence/status/975447846903312384", "975447846903312384")</f>
        <v/>
      </c>
      <c r="B2098" s="2" t="n">
        <v>43177.79472222222</v>
      </c>
      <c r="C2098" t="n">
        <v>1</v>
      </c>
      <c r="D2098" t="n">
        <v>0</v>
      </c>
      <c r="E2098" t="s">
        <v>2101</v>
      </c>
      <c r="F2098" t="s"/>
      <c r="G2098" t="s"/>
      <c r="H2098" t="s"/>
      <c r="I2098" t="s"/>
      <c r="J2098" t="n">
        <v>0.7506</v>
      </c>
      <c r="K2098" t="n">
        <v>0</v>
      </c>
      <c r="L2098" t="n">
        <v>0.819</v>
      </c>
      <c r="M2098" t="n">
        <v>0.181</v>
      </c>
    </row>
    <row r="2099" spans="1:13">
      <c r="A2099" s="1">
        <f>HYPERLINK("http://www.twitter.com/NathanBLawrence/status/975446546564157440", "975446546564157440")</f>
        <v/>
      </c>
      <c r="B2099" s="2" t="n">
        <v>43177.79113425926</v>
      </c>
      <c r="C2099" t="n">
        <v>0</v>
      </c>
      <c r="D2099" t="n">
        <v>0</v>
      </c>
      <c r="E2099" t="s">
        <v>2102</v>
      </c>
      <c r="F2099" t="s"/>
      <c r="G2099" t="s"/>
      <c r="H2099" t="s"/>
      <c r="I2099" t="s"/>
      <c r="J2099" t="n">
        <v>-0.9022</v>
      </c>
      <c r="K2099" t="n">
        <v>0.526</v>
      </c>
      <c r="L2099" t="n">
        <v>0.474</v>
      </c>
      <c r="M2099" t="n">
        <v>0</v>
      </c>
    </row>
    <row r="2100" spans="1:13">
      <c r="A2100" s="1">
        <f>HYPERLINK("http://www.twitter.com/NathanBLawrence/status/975441831428349957", "975441831428349957")</f>
        <v/>
      </c>
      <c r="B2100" s="2" t="n">
        <v>43177.778125</v>
      </c>
      <c r="C2100" t="n">
        <v>0</v>
      </c>
      <c r="D2100" t="n">
        <v>0</v>
      </c>
      <c r="E2100" t="s">
        <v>2103</v>
      </c>
      <c r="F2100" t="s"/>
      <c r="G2100" t="s"/>
      <c r="H2100" t="s"/>
      <c r="I2100" t="s"/>
      <c r="J2100" t="n">
        <v>-0.6467000000000001</v>
      </c>
      <c r="K2100" t="n">
        <v>0.725</v>
      </c>
      <c r="L2100" t="n">
        <v>0.275</v>
      </c>
      <c r="M2100" t="n">
        <v>0</v>
      </c>
    </row>
    <row r="2101" spans="1:13">
      <c r="A2101" s="1">
        <f>HYPERLINK("http://www.twitter.com/NathanBLawrence/status/975441528813445120", "975441528813445120")</f>
        <v/>
      </c>
      <c r="B2101" s="2" t="n">
        <v>43177.7772800926</v>
      </c>
      <c r="C2101" t="n">
        <v>0</v>
      </c>
      <c r="D2101" t="n">
        <v>0</v>
      </c>
      <c r="E2101" t="s">
        <v>2104</v>
      </c>
      <c r="F2101" t="s"/>
      <c r="G2101" t="s"/>
      <c r="H2101" t="s"/>
      <c r="I2101" t="s"/>
      <c r="J2101" t="n">
        <v>0</v>
      </c>
      <c r="K2101" t="n">
        <v>0</v>
      </c>
      <c r="L2101" t="n">
        <v>1</v>
      </c>
      <c r="M2101" t="n">
        <v>0</v>
      </c>
    </row>
    <row r="2102" spans="1:13">
      <c r="A2102" s="1">
        <f>HYPERLINK("http://www.twitter.com/NathanBLawrence/status/975441493832929280", "975441493832929280")</f>
        <v/>
      </c>
      <c r="B2102" s="2" t="n">
        <v>43177.7771875</v>
      </c>
      <c r="C2102" t="n">
        <v>0</v>
      </c>
      <c r="D2102" t="n">
        <v>1</v>
      </c>
      <c r="E2102" t="s">
        <v>2105</v>
      </c>
      <c r="F2102" t="s"/>
      <c r="G2102" t="s"/>
      <c r="H2102" t="s"/>
      <c r="I2102" t="s"/>
      <c r="J2102" t="n">
        <v>0.4019</v>
      </c>
      <c r="K2102" t="n">
        <v>0</v>
      </c>
      <c r="L2102" t="n">
        <v>0.769</v>
      </c>
      <c r="M2102" t="n">
        <v>0.231</v>
      </c>
    </row>
    <row r="2103" spans="1:13">
      <c r="A2103" s="1">
        <f>HYPERLINK("http://www.twitter.com/NathanBLawrence/status/975441400400576523", "975441400400576523")</f>
        <v/>
      </c>
      <c r="B2103" s="2" t="n">
        <v>43177.77693287037</v>
      </c>
      <c r="C2103" t="n">
        <v>1</v>
      </c>
      <c r="D2103" t="n">
        <v>0</v>
      </c>
      <c r="E2103" t="s">
        <v>2106</v>
      </c>
      <c r="F2103" t="s"/>
      <c r="G2103" t="s"/>
      <c r="H2103" t="s"/>
      <c r="I2103" t="s"/>
      <c r="J2103" t="n">
        <v>0</v>
      </c>
      <c r="K2103" t="n">
        <v>0</v>
      </c>
      <c r="L2103" t="n">
        <v>1</v>
      </c>
      <c r="M2103" t="n">
        <v>0</v>
      </c>
    </row>
    <row r="2104" spans="1:13">
      <c r="A2104" s="1">
        <f>HYPERLINK("http://www.twitter.com/NathanBLawrence/status/975440720520720384", "975440720520720384")</f>
        <v/>
      </c>
      <c r="B2104" s="2" t="n">
        <v>43177.77505787037</v>
      </c>
      <c r="C2104" t="n">
        <v>3</v>
      </c>
      <c r="D2104" t="n">
        <v>0</v>
      </c>
      <c r="E2104" t="s">
        <v>2107</v>
      </c>
      <c r="F2104" t="s"/>
      <c r="G2104" t="s"/>
      <c r="H2104" t="s"/>
      <c r="I2104" t="s"/>
      <c r="J2104" t="n">
        <v>0.9343</v>
      </c>
      <c r="K2104" t="n">
        <v>0</v>
      </c>
      <c r="L2104" t="n">
        <v>0.533</v>
      </c>
      <c r="M2104" t="n">
        <v>0.467</v>
      </c>
    </row>
    <row r="2105" spans="1:13">
      <c r="A2105" s="1">
        <f>HYPERLINK("http://www.twitter.com/NathanBLawrence/status/975440337601794049", "975440337601794049")</f>
        <v/>
      </c>
      <c r="B2105" s="2" t="n">
        <v>43177.77399305555</v>
      </c>
      <c r="C2105" t="n">
        <v>0</v>
      </c>
      <c r="D2105" t="n">
        <v>2</v>
      </c>
      <c r="E2105" t="s">
        <v>2108</v>
      </c>
      <c r="F2105" t="s"/>
      <c r="G2105" t="s"/>
      <c r="H2105" t="s"/>
      <c r="I2105" t="s"/>
      <c r="J2105" t="n">
        <v>-0.7574</v>
      </c>
      <c r="K2105" t="n">
        <v>0.305</v>
      </c>
      <c r="L2105" t="n">
        <v>0.61</v>
      </c>
      <c r="M2105" t="n">
        <v>0.08500000000000001</v>
      </c>
    </row>
    <row r="2106" spans="1:13">
      <c r="A2106" s="1">
        <f>HYPERLINK("http://www.twitter.com/NathanBLawrence/status/975440145389367296", "975440145389367296")</f>
        <v/>
      </c>
      <c r="B2106" s="2" t="n">
        <v>43177.77347222222</v>
      </c>
      <c r="C2106" t="n">
        <v>0</v>
      </c>
      <c r="D2106" t="n">
        <v>1</v>
      </c>
      <c r="E2106" t="s">
        <v>2109</v>
      </c>
      <c r="F2106" t="s"/>
      <c r="G2106" t="s"/>
      <c r="H2106" t="s"/>
      <c r="I2106" t="s"/>
      <c r="J2106" t="n">
        <v>0.7717000000000001</v>
      </c>
      <c r="K2106" t="n">
        <v>0</v>
      </c>
      <c r="L2106" t="n">
        <v>0.66</v>
      </c>
      <c r="M2106" t="n">
        <v>0.34</v>
      </c>
    </row>
    <row r="2107" spans="1:13">
      <c r="A2107" s="1">
        <f>HYPERLINK("http://www.twitter.com/NathanBLawrence/status/975440032453537792", "975440032453537792")</f>
        <v/>
      </c>
      <c r="B2107" s="2" t="n">
        <v>43177.77315972222</v>
      </c>
      <c r="C2107" t="n">
        <v>0</v>
      </c>
      <c r="D2107" t="n">
        <v>1</v>
      </c>
      <c r="E2107" t="s">
        <v>2110</v>
      </c>
      <c r="F2107" t="s"/>
      <c r="G2107" t="s"/>
      <c r="H2107" t="s"/>
      <c r="I2107" t="s"/>
      <c r="J2107" t="n">
        <v>0.847</v>
      </c>
      <c r="K2107" t="n">
        <v>0</v>
      </c>
      <c r="L2107" t="n">
        <v>0.696</v>
      </c>
      <c r="M2107" t="n">
        <v>0.304</v>
      </c>
    </row>
    <row r="2108" spans="1:13">
      <c r="A2108" s="1">
        <f>HYPERLINK("http://www.twitter.com/NathanBLawrence/status/975439840912257025", "975439840912257025")</f>
        <v/>
      </c>
      <c r="B2108" s="2" t="n">
        <v>43177.77262731481</v>
      </c>
      <c r="C2108" t="n">
        <v>0</v>
      </c>
      <c r="D2108" t="n">
        <v>0</v>
      </c>
      <c r="E2108" t="s">
        <v>2111</v>
      </c>
      <c r="F2108" t="s"/>
      <c r="G2108" t="s"/>
      <c r="H2108" t="s"/>
      <c r="I2108" t="s"/>
      <c r="J2108" t="n">
        <v>0</v>
      </c>
      <c r="K2108" t="n">
        <v>0</v>
      </c>
      <c r="L2108" t="n">
        <v>1</v>
      </c>
      <c r="M2108" t="n">
        <v>0</v>
      </c>
    </row>
    <row r="2109" spans="1:13">
      <c r="A2109" s="1">
        <f>HYPERLINK("http://www.twitter.com/NathanBLawrence/status/975438801467334657", "975438801467334657")</f>
        <v/>
      </c>
      <c r="B2109" s="2" t="n">
        <v>43177.76975694444</v>
      </c>
      <c r="C2109" t="n">
        <v>0</v>
      </c>
      <c r="D2109" t="n">
        <v>5</v>
      </c>
      <c r="E2109" t="s">
        <v>2112</v>
      </c>
      <c r="F2109" t="s"/>
      <c r="G2109" t="s"/>
      <c r="H2109" t="s"/>
      <c r="I2109" t="s"/>
      <c r="J2109" t="n">
        <v>-0.7964</v>
      </c>
      <c r="K2109" t="n">
        <v>0.244</v>
      </c>
      <c r="L2109" t="n">
        <v>0.756</v>
      </c>
      <c r="M2109" t="n">
        <v>0</v>
      </c>
    </row>
    <row r="2110" spans="1:13">
      <c r="A2110" s="1">
        <f>HYPERLINK("http://www.twitter.com/NathanBLawrence/status/975437823024291840", "975437823024291840")</f>
        <v/>
      </c>
      <c r="B2110" s="2" t="n">
        <v>43177.76706018519</v>
      </c>
      <c r="C2110" t="n">
        <v>1</v>
      </c>
      <c r="D2110" t="n">
        <v>0</v>
      </c>
      <c r="E2110" t="s">
        <v>2113</v>
      </c>
      <c r="F2110" t="s"/>
      <c r="G2110" t="s"/>
      <c r="H2110" t="s"/>
      <c r="I2110" t="s"/>
      <c r="J2110" t="n">
        <v>-0.8257</v>
      </c>
      <c r="K2110" t="n">
        <v>0.215</v>
      </c>
      <c r="L2110" t="n">
        <v>0.747</v>
      </c>
      <c r="M2110" t="n">
        <v>0.037</v>
      </c>
    </row>
    <row r="2111" spans="1:13">
      <c r="A2111" s="1">
        <f>HYPERLINK("http://www.twitter.com/NathanBLawrence/status/975436844925116416", "975436844925116416")</f>
        <v/>
      </c>
      <c r="B2111" s="2" t="n">
        <v>43177.76436342593</v>
      </c>
      <c r="C2111" t="n">
        <v>0</v>
      </c>
      <c r="D2111" t="n">
        <v>10</v>
      </c>
      <c r="E2111" t="s">
        <v>2114</v>
      </c>
      <c r="F2111" t="s"/>
      <c r="G2111" t="s"/>
      <c r="H2111" t="s"/>
      <c r="I2111" t="s"/>
      <c r="J2111" t="n">
        <v>-0.34</v>
      </c>
      <c r="K2111" t="n">
        <v>0.091</v>
      </c>
      <c r="L2111" t="n">
        <v>0.909</v>
      </c>
      <c r="M2111" t="n">
        <v>0</v>
      </c>
    </row>
    <row r="2112" spans="1:13">
      <c r="A2112" s="1">
        <f>HYPERLINK("http://www.twitter.com/NathanBLawrence/status/975436694307725315", "975436694307725315")</f>
        <v/>
      </c>
      <c r="B2112" s="2" t="n">
        <v>43177.76394675926</v>
      </c>
      <c r="C2112" t="n">
        <v>0</v>
      </c>
      <c r="D2112" t="n">
        <v>0</v>
      </c>
      <c r="E2112" t="s">
        <v>2115</v>
      </c>
      <c r="F2112" t="s"/>
      <c r="G2112" t="s"/>
      <c r="H2112" t="s"/>
      <c r="I2112" t="s"/>
      <c r="J2112" t="n">
        <v>0</v>
      </c>
      <c r="K2112" t="n">
        <v>0</v>
      </c>
      <c r="L2112" t="n">
        <v>1</v>
      </c>
      <c r="M2112" t="n">
        <v>0</v>
      </c>
    </row>
    <row r="2113" spans="1:13">
      <c r="A2113" s="1">
        <f>HYPERLINK("http://www.twitter.com/NathanBLawrence/status/975436510685270016", "975436510685270016")</f>
        <v/>
      </c>
      <c r="B2113" s="2" t="n">
        <v>43177.7634375</v>
      </c>
      <c r="C2113" t="n">
        <v>0</v>
      </c>
      <c r="D2113" t="n">
        <v>0</v>
      </c>
      <c r="E2113" t="s">
        <v>2116</v>
      </c>
      <c r="F2113" t="s"/>
      <c r="G2113" t="s"/>
      <c r="H2113" t="s"/>
      <c r="I2113" t="s"/>
      <c r="J2113" t="n">
        <v>0.594</v>
      </c>
      <c r="K2113" t="n">
        <v>0</v>
      </c>
      <c r="L2113" t="n">
        <v>0.872</v>
      </c>
      <c r="M2113" t="n">
        <v>0.128</v>
      </c>
    </row>
    <row r="2114" spans="1:13">
      <c r="A2114" s="1">
        <f>HYPERLINK("http://www.twitter.com/NathanBLawrence/status/975434992523382785", "975434992523382785")</f>
        <v/>
      </c>
      <c r="B2114" s="2" t="n">
        <v>43177.75924768519</v>
      </c>
      <c r="C2114" t="n">
        <v>0</v>
      </c>
      <c r="D2114" t="n">
        <v>5</v>
      </c>
      <c r="E2114" t="s">
        <v>2117</v>
      </c>
      <c r="F2114">
        <f>HYPERLINK("https://video.twimg.com/ext_tw_video/950870231794171904/pu/vid/1280x720/BCN6vJ6olaBMofkJ.mp4", "https://video.twimg.com/ext_tw_video/950870231794171904/pu/vid/1280x720/BCN6vJ6olaBMofkJ.mp4")</f>
        <v/>
      </c>
      <c r="G2114" t="s"/>
      <c r="H2114" t="s"/>
      <c r="I2114" t="s"/>
      <c r="J2114" t="n">
        <v>0.128</v>
      </c>
      <c r="K2114" t="n">
        <v>0</v>
      </c>
      <c r="L2114" t="n">
        <v>0.93</v>
      </c>
      <c r="M2114" t="n">
        <v>0.07000000000000001</v>
      </c>
    </row>
    <row r="2115" spans="1:13">
      <c r="A2115" s="1">
        <f>HYPERLINK("http://www.twitter.com/NathanBLawrence/status/975434699358294016", "975434699358294016")</f>
        <v/>
      </c>
      <c r="B2115" s="2" t="n">
        <v>43177.7584375</v>
      </c>
      <c r="C2115" t="n">
        <v>0</v>
      </c>
      <c r="D2115" t="n">
        <v>0</v>
      </c>
      <c r="E2115" t="s">
        <v>2118</v>
      </c>
      <c r="F2115" t="s"/>
      <c r="G2115" t="s"/>
      <c r="H2115" t="s"/>
      <c r="I2115" t="s"/>
      <c r="J2115" t="n">
        <v>0</v>
      </c>
      <c r="K2115" t="n">
        <v>0</v>
      </c>
      <c r="L2115" t="n">
        <v>1</v>
      </c>
      <c r="M2115" t="n">
        <v>0</v>
      </c>
    </row>
    <row r="2116" spans="1:13">
      <c r="A2116" s="1">
        <f>HYPERLINK("http://www.twitter.com/NathanBLawrence/status/975434436937420800", "975434436937420800")</f>
        <v/>
      </c>
      <c r="B2116" s="2" t="n">
        <v>43177.75771990741</v>
      </c>
      <c r="C2116" t="n">
        <v>0</v>
      </c>
      <c r="D2116" t="n">
        <v>0</v>
      </c>
      <c r="E2116" t="s">
        <v>2119</v>
      </c>
      <c r="F2116" t="s"/>
      <c r="G2116" t="s"/>
      <c r="H2116" t="s"/>
      <c r="I2116" t="s"/>
      <c r="J2116" t="n">
        <v>0.4019</v>
      </c>
      <c r="K2116" t="n">
        <v>0</v>
      </c>
      <c r="L2116" t="n">
        <v>0.863</v>
      </c>
      <c r="M2116" t="n">
        <v>0.137</v>
      </c>
    </row>
    <row r="2117" spans="1:13">
      <c r="A2117" s="1">
        <f>HYPERLINK("http://www.twitter.com/NathanBLawrence/status/975434070422376449", "975434070422376449")</f>
        <v/>
      </c>
      <c r="B2117" s="2" t="n">
        <v>43177.75670138889</v>
      </c>
      <c r="C2117" t="n">
        <v>0</v>
      </c>
      <c r="D2117" t="n">
        <v>1</v>
      </c>
      <c r="E2117" t="s">
        <v>2120</v>
      </c>
      <c r="F2117" t="s"/>
      <c r="G2117" t="s"/>
      <c r="H2117" t="s"/>
      <c r="I2117" t="s"/>
      <c r="J2117" t="n">
        <v>-0.4939</v>
      </c>
      <c r="K2117" t="n">
        <v>0.138</v>
      </c>
      <c r="L2117" t="n">
        <v>0.862</v>
      </c>
      <c r="M2117" t="n">
        <v>0</v>
      </c>
    </row>
    <row r="2118" spans="1:13">
      <c r="A2118" s="1">
        <f>HYPERLINK("http://www.twitter.com/NathanBLawrence/status/975434013233074178", "975434013233074178")</f>
        <v/>
      </c>
      <c r="B2118" s="2" t="n">
        <v>43177.75655092593</v>
      </c>
      <c r="C2118" t="n">
        <v>0</v>
      </c>
      <c r="D2118" t="n">
        <v>1</v>
      </c>
      <c r="E2118" t="s">
        <v>2121</v>
      </c>
      <c r="F2118" t="s"/>
      <c r="G2118" t="s"/>
      <c r="H2118" t="s"/>
      <c r="I2118" t="s"/>
      <c r="J2118" t="n">
        <v>0.3182</v>
      </c>
      <c r="K2118" t="n">
        <v>0</v>
      </c>
      <c r="L2118" t="n">
        <v>0.881</v>
      </c>
      <c r="M2118" t="n">
        <v>0.119</v>
      </c>
    </row>
    <row r="2119" spans="1:13">
      <c r="A2119" s="1">
        <f>HYPERLINK("http://www.twitter.com/NathanBLawrence/status/975433879556382720", "975433879556382720")</f>
        <v/>
      </c>
      <c r="B2119" s="2" t="n">
        <v>43177.75618055555</v>
      </c>
      <c r="C2119" t="n">
        <v>0</v>
      </c>
      <c r="D2119" t="n">
        <v>0</v>
      </c>
      <c r="E2119" t="s">
        <v>2122</v>
      </c>
      <c r="F2119" t="s"/>
      <c r="G2119" t="s"/>
      <c r="H2119" t="s"/>
      <c r="I2119" t="s"/>
      <c r="J2119" t="n">
        <v>-0.9571</v>
      </c>
      <c r="K2119" t="n">
        <v>0.372</v>
      </c>
      <c r="L2119" t="n">
        <v>0.578</v>
      </c>
      <c r="M2119" t="n">
        <v>0.051</v>
      </c>
    </row>
    <row r="2120" spans="1:13">
      <c r="A2120" s="1">
        <f>HYPERLINK("http://www.twitter.com/NathanBLawrence/status/975432515195490311", "975432515195490311")</f>
        <v/>
      </c>
      <c r="B2120" s="2" t="n">
        <v>43177.75240740741</v>
      </c>
      <c r="C2120" t="n">
        <v>0</v>
      </c>
      <c r="D2120" t="n">
        <v>1</v>
      </c>
      <c r="E2120" t="s">
        <v>2123</v>
      </c>
      <c r="F2120" t="s"/>
      <c r="G2120" t="s"/>
      <c r="H2120" t="s"/>
      <c r="I2120" t="s"/>
      <c r="J2120" t="n">
        <v>0</v>
      </c>
      <c r="K2120" t="n">
        <v>0</v>
      </c>
      <c r="L2120" t="n">
        <v>1</v>
      </c>
      <c r="M2120" t="n">
        <v>0</v>
      </c>
    </row>
    <row r="2121" spans="1:13">
      <c r="A2121" s="1">
        <f>HYPERLINK("http://www.twitter.com/NathanBLawrence/status/975431612862205952", "975431612862205952")</f>
        <v/>
      </c>
      <c r="B2121" s="2" t="n">
        <v>43177.74991898148</v>
      </c>
      <c r="C2121" t="n">
        <v>0</v>
      </c>
      <c r="D2121" t="n">
        <v>1</v>
      </c>
      <c r="E2121" t="s">
        <v>2124</v>
      </c>
      <c r="F2121" t="s"/>
      <c r="G2121" t="s"/>
      <c r="H2121" t="s"/>
      <c r="I2121" t="s"/>
      <c r="J2121" t="n">
        <v>0.4404</v>
      </c>
      <c r="K2121" t="n">
        <v>0</v>
      </c>
      <c r="L2121" t="n">
        <v>0.868</v>
      </c>
      <c r="M2121" t="n">
        <v>0.132</v>
      </c>
    </row>
    <row r="2122" spans="1:13">
      <c r="A2122" s="1">
        <f>HYPERLINK("http://www.twitter.com/NathanBLawrence/status/975406242570088449", "975406242570088449")</f>
        <v/>
      </c>
      <c r="B2122" s="2" t="n">
        <v>43177.67991898148</v>
      </c>
      <c r="C2122" t="n">
        <v>0</v>
      </c>
      <c r="D2122" t="n">
        <v>1</v>
      </c>
      <c r="E2122" t="s">
        <v>2125</v>
      </c>
      <c r="F2122" t="s"/>
      <c r="G2122" t="s"/>
      <c r="H2122" t="s"/>
      <c r="I2122" t="s"/>
      <c r="J2122" t="n">
        <v>-0.1531</v>
      </c>
      <c r="K2122" t="n">
        <v>0.079</v>
      </c>
      <c r="L2122" t="n">
        <v>0.868</v>
      </c>
      <c r="M2122" t="n">
        <v>0.054</v>
      </c>
    </row>
    <row r="2123" spans="1:13">
      <c r="A2123" s="1">
        <f>HYPERLINK("http://www.twitter.com/NathanBLawrence/status/975405854219558912", "975405854219558912")</f>
        <v/>
      </c>
      <c r="B2123" s="2" t="n">
        <v>43177.67884259259</v>
      </c>
      <c r="C2123" t="n">
        <v>1</v>
      </c>
      <c r="D2123" t="n">
        <v>1</v>
      </c>
      <c r="E2123" t="s">
        <v>2126</v>
      </c>
      <c r="F2123" t="s"/>
      <c r="G2123" t="s"/>
      <c r="H2123" t="s"/>
      <c r="I2123" t="s"/>
      <c r="J2123" t="n">
        <v>0.1612</v>
      </c>
      <c r="K2123" t="n">
        <v>0.095</v>
      </c>
      <c r="L2123" t="n">
        <v>0.779</v>
      </c>
      <c r="M2123" t="n">
        <v>0.127</v>
      </c>
    </row>
    <row r="2124" spans="1:13">
      <c r="A2124" s="1">
        <f>HYPERLINK("http://www.twitter.com/NathanBLawrence/status/975404836127690752", "975404836127690752")</f>
        <v/>
      </c>
      <c r="B2124" s="2" t="n">
        <v>43177.6760300926</v>
      </c>
      <c r="C2124" t="n">
        <v>0</v>
      </c>
      <c r="D2124" t="n">
        <v>1</v>
      </c>
      <c r="E2124" t="s">
        <v>2127</v>
      </c>
      <c r="F2124" t="s"/>
      <c r="G2124" t="s"/>
      <c r="H2124" t="s"/>
      <c r="I2124" t="s"/>
      <c r="J2124" t="n">
        <v>-0.5256</v>
      </c>
      <c r="K2124" t="n">
        <v>0.27</v>
      </c>
      <c r="L2124" t="n">
        <v>0.5590000000000001</v>
      </c>
      <c r="M2124" t="n">
        <v>0.171</v>
      </c>
    </row>
    <row r="2125" spans="1:13">
      <c r="A2125" s="1">
        <f>HYPERLINK("http://www.twitter.com/NathanBLawrence/status/975404307523743744", "975404307523743744")</f>
        <v/>
      </c>
      <c r="B2125" s="2" t="n">
        <v>43177.67457175926</v>
      </c>
      <c r="C2125" t="n">
        <v>0</v>
      </c>
      <c r="D2125" t="n">
        <v>1</v>
      </c>
      <c r="E2125" t="s">
        <v>2128</v>
      </c>
      <c r="F2125" t="s"/>
      <c r="G2125" t="s"/>
      <c r="H2125" t="s"/>
      <c r="I2125" t="s"/>
      <c r="J2125" t="n">
        <v>0</v>
      </c>
      <c r="K2125" t="n">
        <v>0</v>
      </c>
      <c r="L2125" t="n">
        <v>1</v>
      </c>
      <c r="M2125" t="n">
        <v>0</v>
      </c>
    </row>
    <row r="2126" spans="1:13">
      <c r="A2126" s="1">
        <f>HYPERLINK("http://www.twitter.com/NathanBLawrence/status/975404231556464640", "975404231556464640")</f>
        <v/>
      </c>
      <c r="B2126" s="2" t="n">
        <v>43177.67436342593</v>
      </c>
      <c r="C2126" t="n">
        <v>0</v>
      </c>
      <c r="D2126" t="n">
        <v>0</v>
      </c>
      <c r="E2126" t="s">
        <v>2129</v>
      </c>
      <c r="F2126" t="s"/>
      <c r="G2126" t="s"/>
      <c r="H2126" t="s"/>
      <c r="I2126" t="s"/>
      <c r="J2126" t="n">
        <v>0.5266999999999999</v>
      </c>
      <c r="K2126" t="n">
        <v>0</v>
      </c>
      <c r="L2126" t="n">
        <v>0.638</v>
      </c>
      <c r="M2126" t="n">
        <v>0.362</v>
      </c>
    </row>
    <row r="2127" spans="1:13">
      <c r="A2127" s="1">
        <f>HYPERLINK("http://www.twitter.com/NathanBLawrence/status/975404057991921665", "975404057991921665")</f>
        <v/>
      </c>
      <c r="B2127" s="2" t="n">
        <v>43177.67388888889</v>
      </c>
      <c r="C2127" t="n">
        <v>0</v>
      </c>
      <c r="D2127" t="n">
        <v>0</v>
      </c>
      <c r="E2127" t="s">
        <v>2130</v>
      </c>
      <c r="F2127" t="s"/>
      <c r="G2127" t="s"/>
      <c r="H2127" t="s"/>
      <c r="I2127" t="s"/>
      <c r="J2127" t="n">
        <v>-0.5719</v>
      </c>
      <c r="K2127" t="n">
        <v>0.156</v>
      </c>
      <c r="L2127" t="n">
        <v>0.844</v>
      </c>
      <c r="M2127" t="n">
        <v>0</v>
      </c>
    </row>
    <row r="2128" spans="1:13">
      <c r="A2128" s="1">
        <f>HYPERLINK("http://www.twitter.com/NathanBLawrence/status/975403519107829763", "975403519107829763")</f>
        <v/>
      </c>
      <c r="B2128" s="2" t="n">
        <v>43177.67239583333</v>
      </c>
      <c r="C2128" t="n">
        <v>0</v>
      </c>
      <c r="D2128" t="n">
        <v>1</v>
      </c>
      <c r="E2128" t="s">
        <v>2131</v>
      </c>
      <c r="F2128" t="s"/>
      <c r="G2128" t="s"/>
      <c r="H2128" t="s"/>
      <c r="I2128" t="s"/>
      <c r="J2128" t="n">
        <v>-0.6908</v>
      </c>
      <c r="K2128" t="n">
        <v>0.251</v>
      </c>
      <c r="L2128" t="n">
        <v>0.749</v>
      </c>
      <c r="M2128" t="n">
        <v>0</v>
      </c>
    </row>
    <row r="2129" spans="1:13">
      <c r="A2129" s="1">
        <f>HYPERLINK("http://www.twitter.com/NathanBLawrence/status/975403496542494721", "975403496542494721")</f>
        <v/>
      </c>
      <c r="B2129" s="2" t="n">
        <v>43177.67233796296</v>
      </c>
      <c r="C2129" t="n">
        <v>0</v>
      </c>
      <c r="D2129" t="n">
        <v>1</v>
      </c>
      <c r="E2129" t="s">
        <v>2132</v>
      </c>
      <c r="F2129" t="s"/>
      <c r="G2129" t="s"/>
      <c r="H2129" t="s"/>
      <c r="I2129" t="s"/>
      <c r="J2129" t="n">
        <v>-0.6908</v>
      </c>
      <c r="K2129" t="n">
        <v>0.19</v>
      </c>
      <c r="L2129" t="n">
        <v>0.8100000000000001</v>
      </c>
      <c r="M2129" t="n">
        <v>0</v>
      </c>
    </row>
    <row r="2130" spans="1:13">
      <c r="A2130" s="1">
        <f>HYPERLINK("http://www.twitter.com/NathanBLawrence/status/975403267957010432", "975403267957010432")</f>
        <v/>
      </c>
      <c r="B2130" s="2" t="n">
        <v>43177.67170138889</v>
      </c>
      <c r="C2130" t="n">
        <v>0</v>
      </c>
      <c r="D2130" t="n">
        <v>1</v>
      </c>
      <c r="E2130" t="s">
        <v>2133</v>
      </c>
      <c r="F2130" t="s"/>
      <c r="G2130" t="s"/>
      <c r="H2130" t="s"/>
      <c r="I2130" t="s"/>
      <c r="J2130" t="n">
        <v>-0.1027</v>
      </c>
      <c r="K2130" t="n">
        <v>0.08</v>
      </c>
      <c r="L2130" t="n">
        <v>0.92</v>
      </c>
      <c r="M2130" t="n">
        <v>0</v>
      </c>
    </row>
    <row r="2131" spans="1:13">
      <c r="A2131" s="1">
        <f>HYPERLINK("http://www.twitter.com/NathanBLawrence/status/975402499187400704", "975402499187400704")</f>
        <v/>
      </c>
      <c r="B2131" s="2" t="n">
        <v>43177.66958333334</v>
      </c>
      <c r="C2131" t="n">
        <v>0</v>
      </c>
      <c r="D2131" t="n">
        <v>9</v>
      </c>
      <c r="E2131" t="s">
        <v>2134</v>
      </c>
      <c r="F2131" t="s"/>
      <c r="G2131" t="s"/>
      <c r="H2131" t="s"/>
      <c r="I2131" t="s"/>
      <c r="J2131" t="n">
        <v>-0.5719</v>
      </c>
      <c r="K2131" t="n">
        <v>0.183</v>
      </c>
      <c r="L2131" t="n">
        <v>0.8169999999999999</v>
      </c>
      <c r="M2131" t="n">
        <v>0</v>
      </c>
    </row>
    <row r="2132" spans="1:13">
      <c r="A2132" s="1">
        <f>HYPERLINK("http://www.twitter.com/NathanBLawrence/status/975402442241335301", "975402442241335301")</f>
        <v/>
      </c>
      <c r="B2132" s="2" t="n">
        <v>43177.6694212963</v>
      </c>
      <c r="C2132" t="n">
        <v>0</v>
      </c>
      <c r="D2132" t="n">
        <v>3</v>
      </c>
      <c r="E2132" t="s">
        <v>2135</v>
      </c>
      <c r="F2132" t="s"/>
      <c r="G2132" t="s"/>
      <c r="H2132" t="s"/>
      <c r="I2132" t="s"/>
      <c r="J2132" t="n">
        <v>-0.743</v>
      </c>
      <c r="K2132" t="n">
        <v>0.297</v>
      </c>
      <c r="L2132" t="n">
        <v>0.608</v>
      </c>
      <c r="M2132" t="n">
        <v>0.095</v>
      </c>
    </row>
    <row r="2133" spans="1:13">
      <c r="A2133" s="1">
        <f>HYPERLINK("http://www.twitter.com/NathanBLawrence/status/975402210447233025", "975402210447233025")</f>
        <v/>
      </c>
      <c r="B2133" s="2" t="n">
        <v>43177.66878472222</v>
      </c>
      <c r="C2133" t="n">
        <v>1</v>
      </c>
      <c r="D2133" t="n">
        <v>0</v>
      </c>
      <c r="E2133" t="s">
        <v>2136</v>
      </c>
      <c r="F2133" t="s"/>
      <c r="G2133" t="s"/>
      <c r="H2133" t="s"/>
      <c r="I2133" t="s"/>
      <c r="J2133" t="n">
        <v>-0.8079</v>
      </c>
      <c r="K2133" t="n">
        <v>0.219</v>
      </c>
      <c r="L2133" t="n">
        <v>0.781</v>
      </c>
      <c r="M2133" t="n">
        <v>0</v>
      </c>
    </row>
    <row r="2134" spans="1:13">
      <c r="A2134" s="1">
        <f>HYPERLINK("http://www.twitter.com/NathanBLawrence/status/975401391073185794", "975401391073185794")</f>
        <v/>
      </c>
      <c r="B2134" s="2" t="n">
        <v>43177.66652777778</v>
      </c>
      <c r="C2134" t="n">
        <v>0</v>
      </c>
      <c r="D2134" t="n">
        <v>1</v>
      </c>
      <c r="E2134" t="s">
        <v>2137</v>
      </c>
      <c r="F2134" t="s"/>
      <c r="G2134" t="s"/>
      <c r="H2134" t="s"/>
      <c r="I2134" t="s"/>
      <c r="J2134" t="n">
        <v>-0.549</v>
      </c>
      <c r="K2134" t="n">
        <v>0.134</v>
      </c>
      <c r="L2134" t="n">
        <v>0.866</v>
      </c>
      <c r="M2134" t="n">
        <v>0</v>
      </c>
    </row>
    <row r="2135" spans="1:13">
      <c r="A2135" s="1">
        <f>HYPERLINK("http://www.twitter.com/NathanBLawrence/status/975401306688024577", "975401306688024577")</f>
        <v/>
      </c>
      <c r="B2135" s="2" t="n">
        <v>43177.66629629629</v>
      </c>
      <c r="C2135" t="n">
        <v>0</v>
      </c>
      <c r="D2135" t="n">
        <v>0</v>
      </c>
      <c r="E2135" t="s">
        <v>2138</v>
      </c>
      <c r="F2135" t="s"/>
      <c r="G2135" t="s"/>
      <c r="H2135" t="s"/>
      <c r="I2135" t="s"/>
      <c r="J2135" t="n">
        <v>-0.5719</v>
      </c>
      <c r="K2135" t="n">
        <v>0.222</v>
      </c>
      <c r="L2135" t="n">
        <v>0.778</v>
      </c>
      <c r="M2135" t="n">
        <v>0</v>
      </c>
    </row>
    <row r="2136" spans="1:13">
      <c r="A2136" s="1">
        <f>HYPERLINK("http://www.twitter.com/NathanBLawrence/status/975400741065117699", "975400741065117699")</f>
        <v/>
      </c>
      <c r="B2136" s="2" t="n">
        <v>43177.66473379629</v>
      </c>
      <c r="C2136" t="n">
        <v>0</v>
      </c>
      <c r="D2136" t="n">
        <v>2</v>
      </c>
      <c r="E2136" t="s">
        <v>2139</v>
      </c>
      <c r="F2136" t="s"/>
      <c r="G2136" t="s"/>
      <c r="H2136" t="s"/>
      <c r="I2136" t="s"/>
      <c r="J2136" t="n">
        <v>0</v>
      </c>
      <c r="K2136" t="n">
        <v>0</v>
      </c>
      <c r="L2136" t="n">
        <v>1</v>
      </c>
      <c r="M2136" t="n">
        <v>0</v>
      </c>
    </row>
    <row r="2137" spans="1:13">
      <c r="A2137" s="1">
        <f>HYPERLINK("http://www.twitter.com/NathanBLawrence/status/975400692545458186", "975400692545458186")</f>
        <v/>
      </c>
      <c r="B2137" s="2" t="n">
        <v>43177.66459490741</v>
      </c>
      <c r="C2137" t="n">
        <v>0</v>
      </c>
      <c r="D2137" t="n">
        <v>2</v>
      </c>
      <c r="E2137" t="s">
        <v>2140</v>
      </c>
      <c r="F2137" t="s"/>
      <c r="G2137" t="s"/>
      <c r="H2137" t="s"/>
      <c r="I2137" t="s"/>
      <c r="J2137" t="n">
        <v>0</v>
      </c>
      <c r="K2137" t="n">
        <v>0</v>
      </c>
      <c r="L2137" t="n">
        <v>1</v>
      </c>
      <c r="M2137" t="n">
        <v>0</v>
      </c>
    </row>
    <row r="2138" spans="1:13">
      <c r="A2138" s="1">
        <f>HYPERLINK("http://www.twitter.com/NathanBLawrence/status/975400620256563200", "975400620256563200")</f>
        <v/>
      </c>
      <c r="B2138" s="2" t="n">
        <v>43177.66439814815</v>
      </c>
      <c r="C2138" t="n">
        <v>0</v>
      </c>
      <c r="D2138" t="n">
        <v>1</v>
      </c>
      <c r="E2138" t="s">
        <v>2141</v>
      </c>
      <c r="F2138">
        <f>HYPERLINK("http://pbs.twimg.com/media/DYbY_7-UMAAw6DK.jpg", "http://pbs.twimg.com/media/DYbY_7-UMAAw6DK.jpg")</f>
        <v/>
      </c>
      <c r="G2138" t="s"/>
      <c r="H2138" t="s"/>
      <c r="I2138" t="s"/>
      <c r="J2138" t="n">
        <v>0</v>
      </c>
      <c r="K2138" t="n">
        <v>0</v>
      </c>
      <c r="L2138" t="n">
        <v>1</v>
      </c>
      <c r="M2138" t="n">
        <v>0</v>
      </c>
    </row>
    <row r="2139" spans="1:13">
      <c r="A2139" s="1">
        <f>HYPERLINK("http://www.twitter.com/NathanBLawrence/status/975400277170933761", "975400277170933761")</f>
        <v/>
      </c>
      <c r="B2139" s="2" t="n">
        <v>43177.66344907408</v>
      </c>
      <c r="C2139" t="n">
        <v>0</v>
      </c>
      <c r="D2139" t="n">
        <v>0</v>
      </c>
      <c r="E2139" t="s">
        <v>2142</v>
      </c>
      <c r="F2139" t="s"/>
      <c r="G2139" t="s"/>
      <c r="H2139" t="s"/>
      <c r="I2139" t="s"/>
      <c r="J2139" t="n">
        <v>-0.8591</v>
      </c>
      <c r="K2139" t="n">
        <v>0.442</v>
      </c>
      <c r="L2139" t="n">
        <v>0.5580000000000001</v>
      </c>
      <c r="M2139" t="n">
        <v>0</v>
      </c>
    </row>
    <row r="2140" spans="1:13">
      <c r="A2140" s="1">
        <f>HYPERLINK("http://www.twitter.com/NathanBLawrence/status/975398766575570949", "975398766575570949")</f>
        <v/>
      </c>
      <c r="B2140" s="2" t="n">
        <v>43177.65928240741</v>
      </c>
      <c r="C2140" t="n">
        <v>0</v>
      </c>
      <c r="D2140" t="n">
        <v>1</v>
      </c>
      <c r="E2140" t="s">
        <v>2143</v>
      </c>
      <c r="F2140" t="s"/>
      <c r="G2140" t="s"/>
      <c r="H2140" t="s"/>
      <c r="I2140" t="s"/>
      <c r="J2140" t="n">
        <v>-0.628</v>
      </c>
      <c r="K2140" t="n">
        <v>0.256</v>
      </c>
      <c r="L2140" t="n">
        <v>0.744</v>
      </c>
      <c r="M2140" t="n">
        <v>0</v>
      </c>
    </row>
    <row r="2141" spans="1:13">
      <c r="A2141" s="1">
        <f>HYPERLINK("http://www.twitter.com/NathanBLawrence/status/975398641404993537", "975398641404993537")</f>
        <v/>
      </c>
      <c r="B2141" s="2" t="n">
        <v>43177.65893518519</v>
      </c>
      <c r="C2141" t="n">
        <v>0</v>
      </c>
      <c r="D2141" t="n">
        <v>0</v>
      </c>
      <c r="E2141" t="s">
        <v>2144</v>
      </c>
      <c r="F2141" t="s"/>
      <c r="G2141" t="s"/>
      <c r="H2141" t="s"/>
      <c r="I2141" t="s"/>
      <c r="J2141" t="n">
        <v>0.296</v>
      </c>
      <c r="K2141" t="n">
        <v>0</v>
      </c>
      <c r="L2141" t="n">
        <v>0.82</v>
      </c>
      <c r="M2141" t="n">
        <v>0.18</v>
      </c>
    </row>
    <row r="2142" spans="1:13">
      <c r="A2142" s="1">
        <f>HYPERLINK("http://www.twitter.com/NathanBLawrence/status/975398315595567104", "975398315595567104")</f>
        <v/>
      </c>
      <c r="B2142" s="2" t="n">
        <v>43177.65804398148</v>
      </c>
      <c r="C2142" t="n">
        <v>0</v>
      </c>
      <c r="D2142" t="n">
        <v>4</v>
      </c>
      <c r="E2142" t="s">
        <v>2145</v>
      </c>
      <c r="F2142" t="s"/>
      <c r="G2142" t="s"/>
      <c r="H2142" t="s"/>
      <c r="I2142" t="s"/>
      <c r="J2142" t="n">
        <v>0</v>
      </c>
      <c r="K2142" t="n">
        <v>0</v>
      </c>
      <c r="L2142" t="n">
        <v>1</v>
      </c>
      <c r="M2142" t="n">
        <v>0</v>
      </c>
    </row>
    <row r="2143" spans="1:13">
      <c r="A2143" s="1">
        <f>HYPERLINK("http://www.twitter.com/NathanBLawrence/status/975398245278015488", "975398245278015488")</f>
        <v/>
      </c>
      <c r="B2143" s="2" t="n">
        <v>43177.65784722222</v>
      </c>
      <c r="C2143" t="n">
        <v>0</v>
      </c>
      <c r="D2143" t="n">
        <v>0</v>
      </c>
      <c r="E2143" t="s">
        <v>2146</v>
      </c>
      <c r="F2143" t="s"/>
      <c r="G2143" t="s"/>
      <c r="H2143" t="s"/>
      <c r="I2143" t="s"/>
      <c r="J2143" t="n">
        <v>-0.8519</v>
      </c>
      <c r="K2143" t="n">
        <v>0.341</v>
      </c>
      <c r="L2143" t="n">
        <v>0.593</v>
      </c>
      <c r="M2143" t="n">
        <v>0.065</v>
      </c>
    </row>
    <row r="2144" spans="1:13">
      <c r="A2144" s="1">
        <f>HYPERLINK("http://www.twitter.com/NathanBLawrence/status/975397526135328769", "975397526135328769")</f>
        <v/>
      </c>
      <c r="B2144" s="2" t="n">
        <v>43177.65585648148</v>
      </c>
      <c r="C2144" t="n">
        <v>0</v>
      </c>
      <c r="D2144" t="n">
        <v>1</v>
      </c>
      <c r="E2144" t="s">
        <v>2147</v>
      </c>
      <c r="F2144" t="s"/>
      <c r="G2144" t="s"/>
      <c r="H2144" t="s"/>
      <c r="I2144" t="s"/>
      <c r="J2144" t="n">
        <v>0.4019</v>
      </c>
      <c r="K2144" t="n">
        <v>0</v>
      </c>
      <c r="L2144" t="n">
        <v>0.828</v>
      </c>
      <c r="M2144" t="n">
        <v>0.172</v>
      </c>
    </row>
    <row r="2145" spans="1:13">
      <c r="A2145" s="1">
        <f>HYPERLINK("http://www.twitter.com/NathanBLawrence/status/975397477665951745", "975397477665951745")</f>
        <v/>
      </c>
      <c r="B2145" s="2" t="n">
        <v>43177.65572916667</v>
      </c>
      <c r="C2145" t="n">
        <v>0</v>
      </c>
      <c r="D2145" t="n">
        <v>1</v>
      </c>
      <c r="E2145" t="s">
        <v>2148</v>
      </c>
      <c r="F2145" t="s"/>
      <c r="G2145" t="s"/>
      <c r="H2145" t="s"/>
      <c r="I2145" t="s"/>
      <c r="J2145" t="n">
        <v>0.2263</v>
      </c>
      <c r="K2145" t="n">
        <v>0</v>
      </c>
      <c r="L2145" t="n">
        <v>0.909</v>
      </c>
      <c r="M2145" t="n">
        <v>0.091</v>
      </c>
    </row>
    <row r="2146" spans="1:13">
      <c r="A2146" s="1">
        <f>HYPERLINK("http://www.twitter.com/NathanBLawrence/status/975397072747802624", "975397072747802624")</f>
        <v/>
      </c>
      <c r="B2146" s="2" t="n">
        <v>43177.65460648148</v>
      </c>
      <c r="C2146" t="n">
        <v>0</v>
      </c>
      <c r="D2146" t="n">
        <v>1</v>
      </c>
      <c r="E2146" t="s">
        <v>2149</v>
      </c>
      <c r="F2146" t="s"/>
      <c r="G2146" t="s"/>
      <c r="H2146" t="s"/>
      <c r="I2146" t="s"/>
      <c r="J2146" t="n">
        <v>0</v>
      </c>
      <c r="K2146" t="n">
        <v>0</v>
      </c>
      <c r="L2146" t="n">
        <v>1</v>
      </c>
      <c r="M2146" t="n">
        <v>0</v>
      </c>
    </row>
    <row r="2147" spans="1:13">
      <c r="A2147" s="1">
        <f>HYPERLINK("http://www.twitter.com/NathanBLawrence/status/975397062152998913", "975397062152998913")</f>
        <v/>
      </c>
      <c r="B2147" s="2" t="n">
        <v>43177.65458333334</v>
      </c>
      <c r="C2147" t="n">
        <v>0</v>
      </c>
      <c r="D2147" t="n">
        <v>1</v>
      </c>
      <c r="E2147" t="s">
        <v>2150</v>
      </c>
      <c r="F2147" t="s"/>
      <c r="G2147" t="s"/>
      <c r="H2147" t="s"/>
      <c r="I2147" t="s"/>
      <c r="J2147" t="n">
        <v>0.4738</v>
      </c>
      <c r="K2147" t="n">
        <v>0</v>
      </c>
      <c r="L2147" t="n">
        <v>0.846</v>
      </c>
      <c r="M2147" t="n">
        <v>0.154</v>
      </c>
    </row>
    <row r="2148" spans="1:13">
      <c r="A2148" s="1">
        <f>HYPERLINK("http://www.twitter.com/NathanBLawrence/status/975397008377655297", "975397008377655297")</f>
        <v/>
      </c>
      <c r="B2148" s="2" t="n">
        <v>43177.65443287037</v>
      </c>
      <c r="C2148" t="n">
        <v>0</v>
      </c>
      <c r="D2148" t="n">
        <v>4</v>
      </c>
      <c r="E2148" t="s">
        <v>2151</v>
      </c>
      <c r="F2148">
        <f>HYPERLINK("http://pbs.twimg.com/media/DYb7tqtWsAAZkh5.jpg", "http://pbs.twimg.com/media/DYb7tqtWsAAZkh5.jpg")</f>
        <v/>
      </c>
      <c r="G2148" t="s"/>
      <c r="H2148" t="s"/>
      <c r="I2148" t="s"/>
      <c r="J2148" t="n">
        <v>0</v>
      </c>
      <c r="K2148" t="n">
        <v>0</v>
      </c>
      <c r="L2148" t="n">
        <v>1</v>
      </c>
      <c r="M2148" t="n">
        <v>0</v>
      </c>
    </row>
    <row r="2149" spans="1:13">
      <c r="A2149" s="1">
        <f>HYPERLINK("http://www.twitter.com/NathanBLawrence/status/975396958058745858", "975396958058745858")</f>
        <v/>
      </c>
      <c r="B2149" s="2" t="n">
        <v>43177.65429398148</v>
      </c>
      <c r="C2149" t="n">
        <v>0</v>
      </c>
      <c r="D2149" t="n">
        <v>2</v>
      </c>
      <c r="E2149" t="s">
        <v>2152</v>
      </c>
      <c r="F2149" t="s"/>
      <c r="G2149" t="s"/>
      <c r="H2149" t="s"/>
      <c r="I2149" t="s"/>
      <c r="J2149" t="n">
        <v>-0.3612</v>
      </c>
      <c r="K2149" t="n">
        <v>0.122</v>
      </c>
      <c r="L2149" t="n">
        <v>0.878</v>
      </c>
      <c r="M2149" t="n">
        <v>0</v>
      </c>
    </row>
    <row r="2150" spans="1:13">
      <c r="A2150" s="1">
        <f>HYPERLINK("http://www.twitter.com/NathanBLawrence/status/975396395711631360", "975396395711631360")</f>
        <v/>
      </c>
      <c r="B2150" s="2" t="n">
        <v>43177.65274305556</v>
      </c>
      <c r="C2150" t="n">
        <v>0</v>
      </c>
      <c r="D2150" t="n">
        <v>0</v>
      </c>
      <c r="E2150" t="s">
        <v>2153</v>
      </c>
      <c r="F2150" t="s"/>
      <c r="G2150" t="s"/>
      <c r="H2150" t="s"/>
      <c r="I2150" t="s"/>
      <c r="J2150" t="n">
        <v>-0.7456</v>
      </c>
      <c r="K2150" t="n">
        <v>0.153</v>
      </c>
      <c r="L2150" t="n">
        <v>0.847</v>
      </c>
      <c r="M2150" t="n">
        <v>0</v>
      </c>
    </row>
    <row r="2151" spans="1:13">
      <c r="A2151" s="1">
        <f>HYPERLINK("http://www.twitter.com/NathanBLawrence/status/975394990506627073", "975394990506627073")</f>
        <v/>
      </c>
      <c r="B2151" s="2" t="n">
        <v>43177.64886574074</v>
      </c>
      <c r="C2151" t="n">
        <v>0</v>
      </c>
      <c r="D2151" t="n">
        <v>1</v>
      </c>
      <c r="E2151" t="s">
        <v>2154</v>
      </c>
      <c r="F2151" t="s"/>
      <c r="G2151" t="s"/>
      <c r="H2151" t="s"/>
      <c r="I2151" t="s"/>
      <c r="J2151" t="n">
        <v>-0.5423</v>
      </c>
      <c r="K2151" t="n">
        <v>0.123</v>
      </c>
      <c r="L2151" t="n">
        <v>0.877</v>
      </c>
      <c r="M2151" t="n">
        <v>0</v>
      </c>
    </row>
    <row r="2152" spans="1:13">
      <c r="A2152" s="1">
        <f>HYPERLINK("http://www.twitter.com/NathanBLawrence/status/975394898802339842", "975394898802339842")</f>
        <v/>
      </c>
      <c r="B2152" s="2" t="n">
        <v>43177.64861111111</v>
      </c>
      <c r="C2152" t="n">
        <v>0</v>
      </c>
      <c r="D2152" t="n">
        <v>1</v>
      </c>
      <c r="E2152" t="s">
        <v>2155</v>
      </c>
      <c r="F2152" t="s"/>
      <c r="G2152" t="s"/>
      <c r="H2152" t="s"/>
      <c r="I2152" t="s"/>
      <c r="J2152" t="n">
        <v>0</v>
      </c>
      <c r="K2152" t="n">
        <v>0</v>
      </c>
      <c r="L2152" t="n">
        <v>1</v>
      </c>
      <c r="M2152" t="n">
        <v>0</v>
      </c>
    </row>
    <row r="2153" spans="1:13">
      <c r="A2153" s="1">
        <f>HYPERLINK("http://www.twitter.com/NathanBLawrence/status/975394758616059905", "975394758616059905")</f>
        <v/>
      </c>
      <c r="B2153" s="2" t="n">
        <v>43177.64822916667</v>
      </c>
      <c r="C2153" t="n">
        <v>0</v>
      </c>
      <c r="D2153" t="n">
        <v>0</v>
      </c>
      <c r="E2153" t="s">
        <v>2156</v>
      </c>
      <c r="F2153" t="s"/>
      <c r="G2153" t="s"/>
      <c r="H2153" t="s"/>
      <c r="I2153" t="s"/>
      <c r="J2153" t="n">
        <v>0.1027</v>
      </c>
      <c r="K2153" t="n">
        <v>0.106</v>
      </c>
      <c r="L2153" t="n">
        <v>0.772</v>
      </c>
      <c r="M2153" t="n">
        <v>0.122</v>
      </c>
    </row>
    <row r="2154" spans="1:13">
      <c r="A2154" s="1">
        <f>HYPERLINK("http://www.twitter.com/NathanBLawrence/status/975394498267238401", "975394498267238401")</f>
        <v/>
      </c>
      <c r="B2154" s="2" t="n">
        <v>43177.6475</v>
      </c>
      <c r="C2154" t="n">
        <v>0</v>
      </c>
      <c r="D2154" t="n">
        <v>1</v>
      </c>
      <c r="E2154" t="s">
        <v>2157</v>
      </c>
      <c r="F2154" t="s"/>
      <c r="G2154" t="s"/>
      <c r="H2154" t="s"/>
      <c r="I2154" t="s"/>
      <c r="J2154" t="n">
        <v>0.4588</v>
      </c>
      <c r="K2154" t="n">
        <v>0</v>
      </c>
      <c r="L2154" t="n">
        <v>0.875</v>
      </c>
      <c r="M2154" t="n">
        <v>0.125</v>
      </c>
    </row>
    <row r="2155" spans="1:13">
      <c r="A2155" s="1">
        <f>HYPERLINK("http://www.twitter.com/NathanBLawrence/status/975394445112864769", "975394445112864769")</f>
        <v/>
      </c>
      <c r="B2155" s="2" t="n">
        <v>43177.64736111111</v>
      </c>
      <c r="C2155" t="n">
        <v>0</v>
      </c>
      <c r="D2155" t="n">
        <v>1</v>
      </c>
      <c r="E2155" t="s">
        <v>2158</v>
      </c>
      <c r="F2155" t="s"/>
      <c r="G2155" t="s"/>
      <c r="H2155" t="s"/>
      <c r="I2155" t="s"/>
      <c r="J2155" t="n">
        <v>0</v>
      </c>
      <c r="K2155" t="n">
        <v>0</v>
      </c>
      <c r="L2155" t="n">
        <v>1</v>
      </c>
      <c r="M2155" t="n">
        <v>0</v>
      </c>
    </row>
    <row r="2156" spans="1:13">
      <c r="A2156" s="1">
        <f>HYPERLINK("http://www.twitter.com/NathanBLawrence/status/975394240082731009", "975394240082731009")</f>
        <v/>
      </c>
      <c r="B2156" s="2" t="n">
        <v>43177.64679398148</v>
      </c>
      <c r="C2156" t="n">
        <v>0</v>
      </c>
      <c r="D2156" t="n">
        <v>1</v>
      </c>
      <c r="E2156" t="s">
        <v>2159</v>
      </c>
      <c r="F2156" t="s"/>
      <c r="G2156" t="s"/>
      <c r="H2156" t="s"/>
      <c r="I2156" t="s"/>
      <c r="J2156" t="n">
        <v>0.6249</v>
      </c>
      <c r="K2156" t="n">
        <v>0</v>
      </c>
      <c r="L2156" t="n">
        <v>0.709</v>
      </c>
      <c r="M2156" t="n">
        <v>0.291</v>
      </c>
    </row>
    <row r="2157" spans="1:13">
      <c r="A2157" s="1">
        <f>HYPERLINK("http://www.twitter.com/NathanBLawrence/status/975394138203009025", "975394138203009025")</f>
        <v/>
      </c>
      <c r="B2157" s="2" t="n">
        <v>43177.64651620371</v>
      </c>
      <c r="C2157" t="n">
        <v>0</v>
      </c>
      <c r="D2157" t="n">
        <v>6</v>
      </c>
      <c r="E2157" t="s">
        <v>2160</v>
      </c>
      <c r="F2157">
        <f>HYPERLINK("http://pbs.twimg.com/media/DYb72FIXUAAgD-v.jpg", "http://pbs.twimg.com/media/DYb72FIXUAAgD-v.jpg")</f>
        <v/>
      </c>
      <c r="G2157" t="s"/>
      <c r="H2157" t="s"/>
      <c r="I2157" t="s"/>
      <c r="J2157" t="n">
        <v>0</v>
      </c>
      <c r="K2157" t="n">
        <v>0</v>
      </c>
      <c r="L2157" t="n">
        <v>1</v>
      </c>
      <c r="M2157" t="n">
        <v>0</v>
      </c>
    </row>
    <row r="2158" spans="1:13">
      <c r="A2158" s="1">
        <f>HYPERLINK("http://www.twitter.com/NathanBLawrence/status/975393993923158016", "975393993923158016")</f>
        <v/>
      </c>
      <c r="B2158" s="2" t="n">
        <v>43177.64611111111</v>
      </c>
      <c r="C2158" t="n">
        <v>0</v>
      </c>
      <c r="D2158" t="n">
        <v>6</v>
      </c>
      <c r="E2158" t="s">
        <v>2161</v>
      </c>
      <c r="F2158">
        <f>HYPERLINK("http://pbs.twimg.com/media/DYb6PMrUMAEdins.jpg", "http://pbs.twimg.com/media/DYb6PMrUMAEdins.jpg")</f>
        <v/>
      </c>
      <c r="G2158" t="s"/>
      <c r="H2158" t="s"/>
      <c r="I2158" t="s"/>
      <c r="J2158" t="n">
        <v>0.4912</v>
      </c>
      <c r="K2158" t="n">
        <v>0</v>
      </c>
      <c r="L2158" t="n">
        <v>0.863</v>
      </c>
      <c r="M2158" t="n">
        <v>0.137</v>
      </c>
    </row>
    <row r="2159" spans="1:13">
      <c r="A2159" s="1">
        <f>HYPERLINK("http://www.twitter.com/NathanBLawrence/status/975393852570918918", "975393852570918918")</f>
        <v/>
      </c>
      <c r="B2159" s="2" t="n">
        <v>43177.64572916667</v>
      </c>
      <c r="C2159" t="n">
        <v>0</v>
      </c>
      <c r="D2159" t="n">
        <v>0</v>
      </c>
      <c r="E2159" t="s">
        <v>2162</v>
      </c>
      <c r="F2159" t="s"/>
      <c r="G2159" t="s"/>
      <c r="H2159" t="s"/>
      <c r="I2159" t="s"/>
      <c r="J2159" t="n">
        <v>0.289</v>
      </c>
      <c r="K2159" t="n">
        <v>0.21</v>
      </c>
      <c r="L2159" t="n">
        <v>0.486</v>
      </c>
      <c r="M2159" t="n">
        <v>0.305</v>
      </c>
    </row>
    <row r="2160" spans="1:13">
      <c r="A2160" s="1">
        <f>HYPERLINK("http://www.twitter.com/NathanBLawrence/status/975393400169140229", "975393400169140229")</f>
        <v/>
      </c>
      <c r="B2160" s="2" t="n">
        <v>43177.64447916667</v>
      </c>
      <c r="C2160" t="n">
        <v>0</v>
      </c>
      <c r="D2160" t="n">
        <v>1</v>
      </c>
      <c r="E2160" t="s">
        <v>2163</v>
      </c>
      <c r="F2160" t="s"/>
      <c r="G2160" t="s"/>
      <c r="H2160" t="s"/>
      <c r="I2160" t="s"/>
      <c r="J2160" t="n">
        <v>-0.0772</v>
      </c>
      <c r="K2160" t="n">
        <v>0.118</v>
      </c>
      <c r="L2160" t="n">
        <v>0.775</v>
      </c>
      <c r="M2160" t="n">
        <v>0.107</v>
      </c>
    </row>
    <row r="2161" spans="1:13">
      <c r="A2161" s="1">
        <f>HYPERLINK("http://www.twitter.com/NathanBLawrence/status/975393303419150336", "975393303419150336")</f>
        <v/>
      </c>
      <c r="B2161" s="2" t="n">
        <v>43177.64421296296</v>
      </c>
      <c r="C2161" t="n">
        <v>0</v>
      </c>
      <c r="D2161" t="n">
        <v>3</v>
      </c>
      <c r="E2161" t="s">
        <v>2164</v>
      </c>
      <c r="F2161">
        <f>HYPERLINK("http://pbs.twimg.com/media/DYdzlv5WkAA229s.jpg", "http://pbs.twimg.com/media/DYdzlv5WkAA229s.jpg")</f>
        <v/>
      </c>
      <c r="G2161" t="s"/>
      <c r="H2161" t="s"/>
      <c r="I2161" t="s"/>
      <c r="J2161" t="n">
        <v>0</v>
      </c>
      <c r="K2161" t="n">
        <v>0</v>
      </c>
      <c r="L2161" t="n">
        <v>1</v>
      </c>
      <c r="M2161" t="n">
        <v>0</v>
      </c>
    </row>
    <row r="2162" spans="1:13">
      <c r="A2162" s="1">
        <f>HYPERLINK("http://www.twitter.com/NathanBLawrence/status/975393219885305857", "975393219885305857")</f>
        <v/>
      </c>
      <c r="B2162" s="2" t="n">
        <v>43177.64398148148</v>
      </c>
      <c r="C2162" t="n">
        <v>0</v>
      </c>
      <c r="D2162" t="n">
        <v>7</v>
      </c>
      <c r="E2162" t="s">
        <v>2165</v>
      </c>
      <c r="F2162" t="s"/>
      <c r="G2162" t="s"/>
      <c r="H2162" t="s"/>
      <c r="I2162" t="s"/>
      <c r="J2162" t="n">
        <v>-0.7964</v>
      </c>
      <c r="K2162" t="n">
        <v>0.437</v>
      </c>
      <c r="L2162" t="n">
        <v>0.437</v>
      </c>
      <c r="M2162" t="n">
        <v>0.127</v>
      </c>
    </row>
    <row r="2163" spans="1:13">
      <c r="A2163" s="1">
        <f>HYPERLINK("http://www.twitter.com/NathanBLawrence/status/975391825023455234", "975391825023455234")</f>
        <v/>
      </c>
      <c r="B2163" s="2" t="n">
        <v>43177.64012731481</v>
      </c>
      <c r="C2163" t="n">
        <v>0</v>
      </c>
      <c r="D2163" t="n">
        <v>1</v>
      </c>
      <c r="E2163" t="s">
        <v>2166</v>
      </c>
      <c r="F2163" t="s"/>
      <c r="G2163" t="s"/>
      <c r="H2163" t="s"/>
      <c r="I2163" t="s"/>
      <c r="J2163" t="n">
        <v>-0.8897</v>
      </c>
      <c r="K2163" t="n">
        <v>0.397</v>
      </c>
      <c r="L2163" t="n">
        <v>0.603</v>
      </c>
      <c r="M2163" t="n">
        <v>0</v>
      </c>
    </row>
    <row r="2164" spans="1:13">
      <c r="A2164" s="1">
        <f>HYPERLINK("http://www.twitter.com/NathanBLawrence/status/975391774272380929", "975391774272380929")</f>
        <v/>
      </c>
      <c r="B2164" s="2" t="n">
        <v>43177.63998842592</v>
      </c>
      <c r="C2164" t="n">
        <v>0</v>
      </c>
      <c r="D2164" t="n">
        <v>1</v>
      </c>
      <c r="E2164" t="s">
        <v>2167</v>
      </c>
      <c r="F2164" t="s"/>
      <c r="G2164" t="s"/>
      <c r="H2164" t="s"/>
      <c r="I2164" t="s"/>
      <c r="J2164" t="n">
        <v>-0.875</v>
      </c>
      <c r="K2164" t="n">
        <v>0.357</v>
      </c>
      <c r="L2164" t="n">
        <v>0.643</v>
      </c>
      <c r="M2164" t="n">
        <v>0</v>
      </c>
    </row>
    <row r="2165" spans="1:13">
      <c r="A2165" s="1">
        <f>HYPERLINK("http://www.twitter.com/NathanBLawrence/status/975391667908902912", "975391667908902912")</f>
        <v/>
      </c>
      <c r="B2165" s="2" t="n">
        <v>43177.63969907408</v>
      </c>
      <c r="C2165" t="n">
        <v>0</v>
      </c>
      <c r="D2165" t="n">
        <v>1</v>
      </c>
      <c r="E2165" t="s">
        <v>2168</v>
      </c>
      <c r="F2165" t="s"/>
      <c r="G2165" t="s"/>
      <c r="H2165" t="s"/>
      <c r="I2165" t="s"/>
      <c r="J2165" t="n">
        <v>-0.5093</v>
      </c>
      <c r="K2165" t="n">
        <v>0.319</v>
      </c>
      <c r="L2165" t="n">
        <v>0.457</v>
      </c>
      <c r="M2165" t="n">
        <v>0.224</v>
      </c>
    </row>
    <row r="2166" spans="1:13">
      <c r="A2166" s="1">
        <f>HYPERLINK("http://www.twitter.com/NathanBLawrence/status/975391433413849088", "975391433413849088")</f>
        <v/>
      </c>
      <c r="B2166" s="2" t="n">
        <v>43177.63905092593</v>
      </c>
      <c r="C2166" t="n">
        <v>0</v>
      </c>
      <c r="D2166" t="n">
        <v>0</v>
      </c>
      <c r="E2166" t="s">
        <v>2169</v>
      </c>
      <c r="F2166" t="s"/>
      <c r="G2166" t="s"/>
      <c r="H2166" t="s"/>
      <c r="I2166" t="s"/>
      <c r="J2166" t="n">
        <v>-0.9348</v>
      </c>
      <c r="K2166" t="n">
        <v>0.295</v>
      </c>
      <c r="L2166" t="n">
        <v>0.705</v>
      </c>
      <c r="M2166" t="n">
        <v>0</v>
      </c>
    </row>
    <row r="2167" spans="1:13">
      <c r="A2167" s="1">
        <f>HYPERLINK("http://www.twitter.com/NathanBLawrence/status/975389624767074304", "975389624767074304")</f>
        <v/>
      </c>
      <c r="B2167" s="2" t="n">
        <v>43177.6340625</v>
      </c>
      <c r="C2167" t="n">
        <v>0</v>
      </c>
      <c r="D2167" t="n">
        <v>1</v>
      </c>
      <c r="E2167" t="s">
        <v>2170</v>
      </c>
      <c r="F2167" t="s"/>
      <c r="G2167" t="s"/>
      <c r="H2167" t="s"/>
      <c r="I2167" t="s"/>
      <c r="J2167" t="n">
        <v>-0.6808</v>
      </c>
      <c r="K2167" t="n">
        <v>0.337</v>
      </c>
      <c r="L2167" t="n">
        <v>0.663</v>
      </c>
      <c r="M2167" t="n">
        <v>0</v>
      </c>
    </row>
    <row r="2168" spans="1:13">
      <c r="A2168" s="1">
        <f>HYPERLINK("http://www.twitter.com/NathanBLawrence/status/975389594266030080", "975389594266030080")</f>
        <v/>
      </c>
      <c r="B2168" s="2" t="n">
        <v>43177.63396990741</v>
      </c>
      <c r="C2168" t="n">
        <v>0</v>
      </c>
      <c r="D2168" t="n">
        <v>1</v>
      </c>
      <c r="E2168" t="s">
        <v>2171</v>
      </c>
      <c r="F2168" t="s"/>
      <c r="G2168" t="s"/>
      <c r="H2168" t="s"/>
      <c r="I2168" t="s"/>
      <c r="J2168" t="n">
        <v>-0.5994</v>
      </c>
      <c r="K2168" t="n">
        <v>0.189</v>
      </c>
      <c r="L2168" t="n">
        <v>0.8110000000000001</v>
      </c>
      <c r="M2168" t="n">
        <v>0</v>
      </c>
    </row>
    <row r="2169" spans="1:13">
      <c r="A2169" s="1">
        <f>HYPERLINK("http://www.twitter.com/NathanBLawrence/status/975389508626771968", "975389508626771968")</f>
        <v/>
      </c>
      <c r="B2169" s="2" t="n">
        <v>43177.63373842592</v>
      </c>
      <c r="C2169" t="n">
        <v>0</v>
      </c>
      <c r="D2169" t="n">
        <v>1</v>
      </c>
      <c r="E2169" t="s">
        <v>2172</v>
      </c>
      <c r="F2169" t="s"/>
      <c r="G2169" t="s"/>
      <c r="H2169" t="s"/>
      <c r="I2169" t="s"/>
      <c r="J2169" t="n">
        <v>-0.7506</v>
      </c>
      <c r="K2169" t="n">
        <v>0.277</v>
      </c>
      <c r="L2169" t="n">
        <v>0.638</v>
      </c>
      <c r="M2169" t="n">
        <v>0.08500000000000001</v>
      </c>
    </row>
    <row r="2170" spans="1:13">
      <c r="A2170" s="1">
        <f>HYPERLINK("http://www.twitter.com/NathanBLawrence/status/975389457955377157", "975389457955377157")</f>
        <v/>
      </c>
      <c r="B2170" s="2" t="n">
        <v>43177.63359953704</v>
      </c>
      <c r="C2170" t="n">
        <v>0</v>
      </c>
      <c r="D2170" t="n">
        <v>1</v>
      </c>
      <c r="E2170" t="s">
        <v>2173</v>
      </c>
      <c r="F2170" t="s"/>
      <c r="G2170" t="s"/>
      <c r="H2170" t="s"/>
      <c r="I2170" t="s"/>
      <c r="J2170" t="n">
        <v>-0.8256</v>
      </c>
      <c r="K2170" t="n">
        <v>0.311</v>
      </c>
      <c r="L2170" t="n">
        <v>0.6889999999999999</v>
      </c>
      <c r="M2170" t="n">
        <v>0</v>
      </c>
    </row>
    <row r="2171" spans="1:13">
      <c r="A2171" s="1">
        <f>HYPERLINK("http://www.twitter.com/NathanBLawrence/status/975389399344087040", "975389399344087040")</f>
        <v/>
      </c>
      <c r="B2171" s="2" t="n">
        <v>43177.6334375</v>
      </c>
      <c r="C2171" t="n">
        <v>0</v>
      </c>
      <c r="D2171" t="n">
        <v>0</v>
      </c>
      <c r="E2171" t="s">
        <v>2174</v>
      </c>
      <c r="F2171" t="s"/>
      <c r="G2171" t="s"/>
      <c r="H2171" t="s"/>
      <c r="I2171" t="s"/>
      <c r="J2171" t="n">
        <v>0.3182</v>
      </c>
      <c r="K2171" t="n">
        <v>0</v>
      </c>
      <c r="L2171" t="n">
        <v>0.5659999999999999</v>
      </c>
      <c r="M2171" t="n">
        <v>0.434</v>
      </c>
    </row>
    <row r="2172" spans="1:13">
      <c r="A2172" s="1">
        <f>HYPERLINK("http://www.twitter.com/NathanBLawrence/status/975389362782425090", "975389362782425090")</f>
        <v/>
      </c>
      <c r="B2172" s="2" t="n">
        <v>43177.63333333333</v>
      </c>
      <c r="C2172" t="n">
        <v>0</v>
      </c>
      <c r="D2172" t="n">
        <v>1</v>
      </c>
      <c r="E2172" t="s">
        <v>2175</v>
      </c>
      <c r="F2172" t="s"/>
      <c r="G2172" t="s"/>
      <c r="H2172" t="s"/>
      <c r="I2172" t="s"/>
      <c r="J2172" t="n">
        <v>0.7745</v>
      </c>
      <c r="K2172" t="n">
        <v>0.06</v>
      </c>
      <c r="L2172" t="n">
        <v>0.645</v>
      </c>
      <c r="M2172" t="n">
        <v>0.295</v>
      </c>
    </row>
    <row r="2173" spans="1:13">
      <c r="A2173" s="1">
        <f>HYPERLINK("http://www.twitter.com/NathanBLawrence/status/975389192246132736", "975389192246132736")</f>
        <v/>
      </c>
      <c r="B2173" s="2" t="n">
        <v>43177.6328587963</v>
      </c>
      <c r="C2173" t="n">
        <v>1</v>
      </c>
      <c r="D2173" t="n">
        <v>0</v>
      </c>
      <c r="E2173" t="s">
        <v>2176</v>
      </c>
      <c r="F2173" t="s"/>
      <c r="G2173" t="s"/>
      <c r="H2173" t="s"/>
      <c r="I2173" t="s"/>
      <c r="J2173" t="n">
        <v>0</v>
      </c>
      <c r="K2173" t="n">
        <v>0</v>
      </c>
      <c r="L2173" t="n">
        <v>1</v>
      </c>
      <c r="M2173" t="n">
        <v>0</v>
      </c>
    </row>
    <row r="2174" spans="1:13">
      <c r="A2174" s="1">
        <f>HYPERLINK("http://www.twitter.com/NathanBLawrence/status/975389058649198593", "975389058649198593")</f>
        <v/>
      </c>
      <c r="B2174" s="2" t="n">
        <v>43177.6325</v>
      </c>
      <c r="C2174" t="n">
        <v>5</v>
      </c>
      <c r="D2174" t="n">
        <v>1</v>
      </c>
      <c r="E2174" t="s">
        <v>2177</v>
      </c>
      <c r="F2174" t="s"/>
      <c r="G2174" t="s"/>
      <c r="H2174" t="s"/>
      <c r="I2174" t="s"/>
      <c r="J2174" t="n">
        <v>-0.5511</v>
      </c>
      <c r="K2174" t="n">
        <v>0.141</v>
      </c>
      <c r="L2174" t="n">
        <v>0.797</v>
      </c>
      <c r="M2174" t="n">
        <v>0.062</v>
      </c>
    </row>
    <row r="2175" spans="1:13">
      <c r="A2175" s="1">
        <f>HYPERLINK("http://www.twitter.com/NathanBLawrence/status/975387700076347392", "975387700076347392")</f>
        <v/>
      </c>
      <c r="B2175" s="2" t="n">
        <v>43177.62875</v>
      </c>
      <c r="C2175" t="n">
        <v>0</v>
      </c>
      <c r="D2175" t="n">
        <v>3</v>
      </c>
      <c r="E2175" t="s">
        <v>2178</v>
      </c>
      <c r="F2175" t="s"/>
      <c r="G2175" t="s"/>
      <c r="H2175" t="s"/>
      <c r="I2175" t="s"/>
      <c r="J2175" t="n">
        <v>-0.5502</v>
      </c>
      <c r="K2175" t="n">
        <v>0.191</v>
      </c>
      <c r="L2175" t="n">
        <v>0.6899999999999999</v>
      </c>
      <c r="M2175" t="n">
        <v>0.12</v>
      </c>
    </row>
    <row r="2176" spans="1:13">
      <c r="A2176" s="1">
        <f>HYPERLINK("http://www.twitter.com/NathanBLawrence/status/975384094065545217", "975384094065545217")</f>
        <v/>
      </c>
      <c r="B2176" s="2" t="n">
        <v>43177.61879629629</v>
      </c>
      <c r="C2176" t="n">
        <v>0</v>
      </c>
      <c r="D2176" t="n">
        <v>0</v>
      </c>
      <c r="E2176" t="s">
        <v>2179</v>
      </c>
      <c r="F2176" t="s"/>
      <c r="G2176" t="s"/>
      <c r="H2176" t="s"/>
      <c r="I2176" t="s"/>
      <c r="J2176" t="n">
        <v>-0.357</v>
      </c>
      <c r="K2176" t="n">
        <v>0.216</v>
      </c>
      <c r="L2176" t="n">
        <v>0.784</v>
      </c>
      <c r="M2176" t="n">
        <v>0</v>
      </c>
    </row>
    <row r="2177" spans="1:13">
      <c r="A2177" s="1">
        <f>HYPERLINK("http://www.twitter.com/NathanBLawrence/status/975383429301891073", "975383429301891073")</f>
        <v/>
      </c>
      <c r="B2177" s="2" t="n">
        <v>43177.61695601852</v>
      </c>
      <c r="C2177" t="n">
        <v>1</v>
      </c>
      <c r="D2177" t="n">
        <v>0</v>
      </c>
      <c r="E2177" t="s">
        <v>2180</v>
      </c>
      <c r="F2177" t="s"/>
      <c r="G2177" t="s"/>
      <c r="H2177" t="s"/>
      <c r="I2177" t="s"/>
      <c r="J2177" t="n">
        <v>0</v>
      </c>
      <c r="K2177" t="n">
        <v>0</v>
      </c>
      <c r="L2177" t="n">
        <v>1</v>
      </c>
      <c r="M2177" t="n">
        <v>0</v>
      </c>
    </row>
    <row r="2178" spans="1:13">
      <c r="A2178" s="1">
        <f>HYPERLINK("http://www.twitter.com/NathanBLawrence/status/975378031769538569", "975378031769538569")</f>
        <v/>
      </c>
      <c r="B2178" s="2" t="n">
        <v>43177.60207175926</v>
      </c>
      <c r="C2178" t="n">
        <v>0</v>
      </c>
      <c r="D2178" t="n">
        <v>0</v>
      </c>
      <c r="E2178" t="s">
        <v>2181</v>
      </c>
      <c r="F2178" t="s"/>
      <c r="G2178" t="s"/>
      <c r="H2178" t="s"/>
      <c r="I2178" t="s"/>
      <c r="J2178" t="n">
        <v>0.3818</v>
      </c>
      <c r="K2178" t="n">
        <v>0</v>
      </c>
      <c r="L2178" t="n">
        <v>0.833</v>
      </c>
      <c r="M2178" t="n">
        <v>0.167</v>
      </c>
    </row>
    <row r="2179" spans="1:13">
      <c r="A2179" s="1">
        <f>HYPERLINK("http://www.twitter.com/NathanBLawrence/status/975177391860482054", "975177391860482054")</f>
        <v/>
      </c>
      <c r="B2179" s="2" t="n">
        <v>43177.04840277778</v>
      </c>
      <c r="C2179" t="n">
        <v>2</v>
      </c>
      <c r="D2179" t="n">
        <v>1</v>
      </c>
      <c r="E2179" t="s">
        <v>2182</v>
      </c>
      <c r="F2179" t="s"/>
      <c r="G2179" t="s"/>
      <c r="H2179" t="s"/>
      <c r="I2179" t="s"/>
      <c r="J2179" t="n">
        <v>-0.7579</v>
      </c>
      <c r="K2179" t="n">
        <v>0.228</v>
      </c>
      <c r="L2179" t="n">
        <v>0.772</v>
      </c>
      <c r="M2179" t="n">
        <v>0</v>
      </c>
    </row>
    <row r="2180" spans="1:13">
      <c r="A2180" s="1">
        <f>HYPERLINK("http://www.twitter.com/NathanBLawrence/status/975176944164786176", "975176944164786176")</f>
        <v/>
      </c>
      <c r="B2180" s="2" t="n">
        <v>43177.04717592592</v>
      </c>
      <c r="C2180" t="n">
        <v>0</v>
      </c>
      <c r="D2180" t="n">
        <v>6</v>
      </c>
      <c r="E2180" t="s">
        <v>2183</v>
      </c>
      <c r="F2180" t="s"/>
      <c r="G2180" t="s"/>
      <c r="H2180" t="s"/>
      <c r="I2180" t="s"/>
      <c r="J2180" t="n">
        <v>-0.3818</v>
      </c>
      <c r="K2180" t="n">
        <v>0.12</v>
      </c>
      <c r="L2180" t="n">
        <v>0.88</v>
      </c>
      <c r="M2180" t="n">
        <v>0</v>
      </c>
    </row>
    <row r="2181" spans="1:13">
      <c r="A2181" s="1">
        <f>HYPERLINK("http://www.twitter.com/NathanBLawrence/status/975176891584917504", "975176891584917504")</f>
        <v/>
      </c>
      <c r="B2181" s="2" t="n">
        <v>43177.04702546296</v>
      </c>
      <c r="C2181" t="n">
        <v>1</v>
      </c>
      <c r="D2181" t="n">
        <v>0</v>
      </c>
      <c r="E2181" t="s">
        <v>2184</v>
      </c>
      <c r="F2181" t="s"/>
      <c r="G2181" t="s"/>
      <c r="H2181" t="s"/>
      <c r="I2181" t="s"/>
      <c r="J2181" t="n">
        <v>0.4404</v>
      </c>
      <c r="K2181" t="n">
        <v>0</v>
      </c>
      <c r="L2181" t="n">
        <v>0.838</v>
      </c>
      <c r="M2181" t="n">
        <v>0.162</v>
      </c>
    </row>
    <row r="2182" spans="1:13">
      <c r="A2182" s="1">
        <f>HYPERLINK("http://www.twitter.com/NathanBLawrence/status/975175729125130242", "975175729125130242")</f>
        <v/>
      </c>
      <c r="B2182" s="2" t="n">
        <v>43177.04381944444</v>
      </c>
      <c r="C2182" t="n">
        <v>0</v>
      </c>
      <c r="D2182" t="n">
        <v>3531</v>
      </c>
      <c r="E2182" t="s">
        <v>2185</v>
      </c>
      <c r="F2182" t="s"/>
      <c r="G2182" t="s"/>
      <c r="H2182" t="s"/>
      <c r="I2182" t="s"/>
      <c r="J2182" t="n">
        <v>-0.7574</v>
      </c>
      <c r="K2182" t="n">
        <v>0.236</v>
      </c>
      <c r="L2182" t="n">
        <v>0.764</v>
      </c>
      <c r="M2182" t="n">
        <v>0</v>
      </c>
    </row>
    <row r="2183" spans="1:13">
      <c r="A2183" s="1">
        <f>HYPERLINK("http://www.twitter.com/NathanBLawrence/status/974438087957864448", "974438087957864448")</f>
        <v/>
      </c>
      <c r="B2183" s="2" t="n">
        <v>43175.00832175926</v>
      </c>
      <c r="C2183" t="n">
        <v>0</v>
      </c>
      <c r="D2183" t="n">
        <v>3</v>
      </c>
      <c r="E2183" t="s">
        <v>2186</v>
      </c>
      <c r="F2183" t="s"/>
      <c r="G2183" t="s"/>
      <c r="H2183" t="s"/>
      <c r="I2183" t="s"/>
      <c r="J2183" t="n">
        <v>0</v>
      </c>
      <c r="K2183" t="n">
        <v>0</v>
      </c>
      <c r="L2183" t="n">
        <v>1</v>
      </c>
      <c r="M2183" t="n">
        <v>0</v>
      </c>
    </row>
    <row r="2184" spans="1:13">
      <c r="A2184" s="1">
        <f>HYPERLINK("http://www.twitter.com/NathanBLawrence/status/974435758810566656", "974435758810566656")</f>
        <v/>
      </c>
      <c r="B2184" s="2" t="n">
        <v>43175.00188657407</v>
      </c>
      <c r="C2184" t="n">
        <v>0</v>
      </c>
      <c r="D2184" t="n">
        <v>4</v>
      </c>
      <c r="E2184" t="s">
        <v>2187</v>
      </c>
      <c r="F2184">
        <f>HYPERLINK("http://pbs.twimg.com/media/DYXctTSX4AICwBJ.jpg", "http://pbs.twimg.com/media/DYXctTSX4AICwBJ.jpg")</f>
        <v/>
      </c>
      <c r="G2184" t="s"/>
      <c r="H2184" t="s"/>
      <c r="I2184" t="s"/>
      <c r="J2184" t="n">
        <v>0</v>
      </c>
      <c r="K2184" t="n">
        <v>0</v>
      </c>
      <c r="L2184" t="n">
        <v>1</v>
      </c>
      <c r="M2184" t="n">
        <v>0</v>
      </c>
    </row>
    <row r="2185" spans="1:13">
      <c r="A2185" s="1">
        <f>HYPERLINK("http://www.twitter.com/NathanBLawrence/status/974435728536100867", "974435728536100867")</f>
        <v/>
      </c>
      <c r="B2185" s="2" t="n">
        <v>43175.00180555556</v>
      </c>
      <c r="C2185" t="n">
        <v>0</v>
      </c>
      <c r="D2185" t="n">
        <v>1</v>
      </c>
      <c r="E2185" t="s">
        <v>2188</v>
      </c>
      <c r="F2185" t="s"/>
      <c r="G2185" t="s"/>
      <c r="H2185" t="s"/>
      <c r="I2185" t="s"/>
      <c r="J2185" t="n">
        <v>0</v>
      </c>
      <c r="K2185" t="n">
        <v>0</v>
      </c>
      <c r="L2185" t="n">
        <v>1</v>
      </c>
      <c r="M2185" t="n">
        <v>0</v>
      </c>
    </row>
    <row r="2186" spans="1:13">
      <c r="A2186" s="1">
        <f>HYPERLINK("http://www.twitter.com/NathanBLawrence/status/974435682180624385", "974435682180624385")</f>
        <v/>
      </c>
      <c r="B2186" s="2" t="n">
        <v>43175.00167824074</v>
      </c>
      <c r="C2186" t="n">
        <v>0</v>
      </c>
      <c r="D2186" t="n">
        <v>0</v>
      </c>
      <c r="E2186" t="s">
        <v>2189</v>
      </c>
      <c r="F2186" t="s"/>
      <c r="G2186" t="s"/>
      <c r="H2186" t="s"/>
      <c r="I2186" t="s"/>
      <c r="J2186" t="n">
        <v>0</v>
      </c>
      <c r="K2186" t="n">
        <v>0</v>
      </c>
      <c r="L2186" t="n">
        <v>1</v>
      </c>
      <c r="M2186" t="n">
        <v>0</v>
      </c>
    </row>
    <row r="2187" spans="1:13">
      <c r="A2187" s="1">
        <f>HYPERLINK("http://www.twitter.com/NathanBLawrence/status/974435594720960513", "974435594720960513")</f>
        <v/>
      </c>
      <c r="B2187" s="2" t="n">
        <v>43175.00143518519</v>
      </c>
      <c r="C2187" t="n">
        <v>0</v>
      </c>
      <c r="D2187" t="n">
        <v>1</v>
      </c>
      <c r="E2187" t="s">
        <v>2190</v>
      </c>
      <c r="F2187" t="s"/>
      <c r="G2187" t="s"/>
      <c r="H2187" t="s"/>
      <c r="I2187" t="s"/>
      <c r="J2187" t="n">
        <v>-0.0516</v>
      </c>
      <c r="K2187" t="n">
        <v>0.05</v>
      </c>
      <c r="L2187" t="n">
        <v>0.95</v>
      </c>
      <c r="M2187" t="n">
        <v>0</v>
      </c>
    </row>
    <row r="2188" spans="1:13">
      <c r="A2188" s="1">
        <f>HYPERLINK("http://www.twitter.com/NathanBLawrence/status/974435484909867013", "974435484909867013")</f>
        <v/>
      </c>
      <c r="B2188" s="2" t="n">
        <v>43175.00113425926</v>
      </c>
      <c r="C2188" t="n">
        <v>2</v>
      </c>
      <c r="D2188" t="n">
        <v>0</v>
      </c>
      <c r="E2188" t="s">
        <v>2191</v>
      </c>
      <c r="F2188" t="s"/>
      <c r="G2188" t="s"/>
      <c r="H2188" t="s"/>
      <c r="I2188" t="s"/>
      <c r="J2188" t="n">
        <v>-0.7003</v>
      </c>
      <c r="K2188" t="n">
        <v>0.244</v>
      </c>
      <c r="L2188" t="n">
        <v>0.756</v>
      </c>
      <c r="M2188" t="n">
        <v>0</v>
      </c>
    </row>
    <row r="2189" spans="1:13">
      <c r="A2189" s="1">
        <f>HYPERLINK("http://www.twitter.com/NathanBLawrence/status/974435244253335553", "974435244253335553")</f>
        <v/>
      </c>
      <c r="B2189" s="2" t="n">
        <v>43175.00047453704</v>
      </c>
      <c r="C2189" t="n">
        <v>0</v>
      </c>
      <c r="D2189" t="n">
        <v>3</v>
      </c>
      <c r="E2189" t="s">
        <v>2192</v>
      </c>
      <c r="F2189" t="s"/>
      <c r="G2189" t="s"/>
      <c r="H2189" t="s"/>
      <c r="I2189" t="s"/>
      <c r="J2189" t="n">
        <v>-0.7717000000000001</v>
      </c>
      <c r="K2189" t="n">
        <v>0.278</v>
      </c>
      <c r="L2189" t="n">
        <v>0.722</v>
      </c>
      <c r="M2189" t="n">
        <v>0</v>
      </c>
    </row>
    <row r="2190" spans="1:13">
      <c r="A2190" s="1">
        <f>HYPERLINK("http://www.twitter.com/NathanBLawrence/status/974435174204231680", "974435174204231680")</f>
        <v/>
      </c>
      <c r="B2190" s="2" t="n">
        <v>43175.00027777778</v>
      </c>
      <c r="C2190" t="n">
        <v>0</v>
      </c>
      <c r="D2190" t="n">
        <v>1</v>
      </c>
      <c r="E2190" t="s">
        <v>2193</v>
      </c>
      <c r="F2190" t="s"/>
      <c r="G2190" t="s"/>
      <c r="H2190" t="s"/>
      <c r="I2190" t="s"/>
      <c r="J2190" t="n">
        <v>-0.296</v>
      </c>
      <c r="K2190" t="n">
        <v>0.268</v>
      </c>
      <c r="L2190" t="n">
        <v>0.732</v>
      </c>
      <c r="M2190" t="n">
        <v>0</v>
      </c>
    </row>
    <row r="2191" spans="1:13">
      <c r="A2191" s="1">
        <f>HYPERLINK("http://www.twitter.com/NathanBLawrence/status/974435150040793089", "974435150040793089")</f>
        <v/>
      </c>
      <c r="B2191" s="2" t="n">
        <v>43175.00020833333</v>
      </c>
      <c r="C2191" t="n">
        <v>0</v>
      </c>
      <c r="D2191" t="n">
        <v>1</v>
      </c>
      <c r="E2191" t="s">
        <v>2194</v>
      </c>
      <c r="F2191" t="s"/>
      <c r="G2191" t="s"/>
      <c r="H2191" t="s"/>
      <c r="I2191" t="s"/>
      <c r="J2191" t="n">
        <v>-0.4019</v>
      </c>
      <c r="K2191" t="n">
        <v>0.177</v>
      </c>
      <c r="L2191" t="n">
        <v>0.759</v>
      </c>
      <c r="M2191" t="n">
        <v>0.063</v>
      </c>
    </row>
    <row r="2192" spans="1:13">
      <c r="A2192" s="1">
        <f>HYPERLINK("http://www.twitter.com/NathanBLawrence/status/974435071980687360", "974435071980687360")</f>
        <v/>
      </c>
      <c r="B2192" s="2" t="n">
        <v>43174.99998842592</v>
      </c>
      <c r="C2192" t="n">
        <v>0</v>
      </c>
      <c r="D2192" t="n">
        <v>13</v>
      </c>
      <c r="E2192" t="s">
        <v>2195</v>
      </c>
      <c r="F2192">
        <f>HYPERLINK("http://pbs.twimg.com/media/DYXgi5vWkAAXwTq.jpg", "http://pbs.twimg.com/media/DYXgi5vWkAAXwTq.jpg")</f>
        <v/>
      </c>
      <c r="G2192" t="s"/>
      <c r="H2192" t="s"/>
      <c r="I2192" t="s"/>
      <c r="J2192" t="n">
        <v>0</v>
      </c>
      <c r="K2192" t="n">
        <v>0</v>
      </c>
      <c r="L2192" t="n">
        <v>1</v>
      </c>
      <c r="M2192" t="n">
        <v>0</v>
      </c>
    </row>
    <row r="2193" spans="1:13">
      <c r="A2193" s="1">
        <f>HYPERLINK("http://www.twitter.com/NathanBLawrence/status/974422824873054214", "974422824873054214")</f>
        <v/>
      </c>
      <c r="B2193" s="2" t="n">
        <v>43174.96620370371</v>
      </c>
      <c r="C2193" t="n">
        <v>1</v>
      </c>
      <c r="D2193" t="n">
        <v>0</v>
      </c>
      <c r="E2193" t="s">
        <v>2196</v>
      </c>
      <c r="F2193" t="s"/>
      <c r="G2193" t="s"/>
      <c r="H2193" t="s"/>
      <c r="I2193" t="s"/>
      <c r="J2193" t="n">
        <v>-0.7448</v>
      </c>
      <c r="K2193" t="n">
        <v>0.23</v>
      </c>
      <c r="L2193" t="n">
        <v>0.674</v>
      </c>
      <c r="M2193" t="n">
        <v>0.096</v>
      </c>
    </row>
    <row r="2194" spans="1:13">
      <c r="A2194" s="1">
        <f>HYPERLINK("http://www.twitter.com/NathanBLawrence/status/974419527281848320", "974419527281848320")</f>
        <v/>
      </c>
      <c r="B2194" s="2" t="n">
        <v>43174.9570949074</v>
      </c>
      <c r="C2194" t="n">
        <v>0</v>
      </c>
      <c r="D2194" t="n">
        <v>1</v>
      </c>
      <c r="E2194" t="s">
        <v>2197</v>
      </c>
      <c r="F2194" t="s"/>
      <c r="G2194" t="s"/>
      <c r="H2194" t="s"/>
      <c r="I2194" t="s"/>
      <c r="J2194" t="n">
        <v>-0.4588</v>
      </c>
      <c r="K2194" t="n">
        <v>0.212</v>
      </c>
      <c r="L2194" t="n">
        <v>0.654</v>
      </c>
      <c r="M2194" t="n">
        <v>0.135</v>
      </c>
    </row>
    <row r="2195" spans="1:13">
      <c r="A2195" s="1">
        <f>HYPERLINK("http://www.twitter.com/NathanBLawrence/status/974414940126744578", "974414940126744578")</f>
        <v/>
      </c>
      <c r="B2195" s="2" t="n">
        <v>43174.94444444445</v>
      </c>
      <c r="C2195" t="n">
        <v>1</v>
      </c>
      <c r="D2195" t="n">
        <v>0</v>
      </c>
      <c r="E2195" t="s">
        <v>2198</v>
      </c>
      <c r="F2195" t="s"/>
      <c r="G2195" t="s"/>
      <c r="H2195" t="s"/>
      <c r="I2195" t="s"/>
      <c r="J2195" t="n">
        <v>0.8934</v>
      </c>
      <c r="K2195" t="n">
        <v>0.08400000000000001</v>
      </c>
      <c r="L2195" t="n">
        <v>0.632</v>
      </c>
      <c r="M2195" t="n">
        <v>0.284</v>
      </c>
    </row>
    <row r="2196" spans="1:13">
      <c r="A2196" s="1">
        <f>HYPERLINK("http://www.twitter.com/NathanBLawrence/status/974413724302929920", "974413724302929920")</f>
        <v/>
      </c>
      <c r="B2196" s="2" t="n">
        <v>43174.94108796296</v>
      </c>
      <c r="C2196" t="n">
        <v>0</v>
      </c>
      <c r="D2196" t="n">
        <v>0</v>
      </c>
      <c r="E2196" t="s">
        <v>2199</v>
      </c>
      <c r="F2196" t="s"/>
      <c r="G2196" t="s"/>
      <c r="H2196" t="s"/>
      <c r="I2196" t="s"/>
      <c r="J2196" t="n">
        <v>-0.7579</v>
      </c>
      <c r="K2196" t="n">
        <v>0.277</v>
      </c>
      <c r="L2196" t="n">
        <v>0.723</v>
      </c>
      <c r="M2196" t="n">
        <v>0</v>
      </c>
    </row>
    <row r="2197" spans="1:13">
      <c r="A2197" s="1">
        <f>HYPERLINK("http://www.twitter.com/NathanBLawrence/status/974413226904563713", "974413226904563713")</f>
        <v/>
      </c>
      <c r="B2197" s="2" t="n">
        <v>43174.93971064815</v>
      </c>
      <c r="C2197" t="n">
        <v>0</v>
      </c>
      <c r="D2197" t="n">
        <v>0</v>
      </c>
      <c r="E2197" t="s">
        <v>2200</v>
      </c>
      <c r="F2197" t="s"/>
      <c r="G2197" t="s"/>
      <c r="H2197" t="s"/>
      <c r="I2197" t="s"/>
      <c r="J2197" t="n">
        <v>-0.8781</v>
      </c>
      <c r="K2197" t="n">
        <v>0.437</v>
      </c>
      <c r="L2197" t="n">
        <v>0.5629999999999999</v>
      </c>
      <c r="M2197" t="n">
        <v>0</v>
      </c>
    </row>
    <row r="2198" spans="1:13">
      <c r="A2198" s="1">
        <f>HYPERLINK("http://www.twitter.com/NathanBLawrence/status/974412399687163904", "974412399687163904")</f>
        <v/>
      </c>
      <c r="B2198" s="2" t="n">
        <v>43174.93743055555</v>
      </c>
      <c r="C2198" t="n">
        <v>0</v>
      </c>
      <c r="D2198" t="n">
        <v>0</v>
      </c>
      <c r="E2198" t="s">
        <v>2201</v>
      </c>
      <c r="F2198" t="s"/>
      <c r="G2198" t="s"/>
      <c r="H2198" t="s"/>
      <c r="I2198" t="s"/>
      <c r="J2198" t="n">
        <v>-0.7469</v>
      </c>
      <c r="K2198" t="n">
        <v>0.346</v>
      </c>
      <c r="L2198" t="n">
        <v>0.654</v>
      </c>
      <c r="M2198" t="n">
        <v>0</v>
      </c>
    </row>
    <row r="2199" spans="1:13">
      <c r="A2199" s="1">
        <f>HYPERLINK("http://www.twitter.com/NathanBLawrence/status/974412152663617537", "974412152663617537")</f>
        <v/>
      </c>
      <c r="B2199" s="2" t="n">
        <v>43174.93674768518</v>
      </c>
      <c r="C2199" t="n">
        <v>0</v>
      </c>
      <c r="D2199" t="n">
        <v>0</v>
      </c>
      <c r="E2199" t="s">
        <v>2202</v>
      </c>
      <c r="F2199" t="s"/>
      <c r="G2199" t="s"/>
      <c r="H2199" t="s"/>
      <c r="I2199" t="s"/>
      <c r="J2199" t="n">
        <v>0</v>
      </c>
      <c r="K2199" t="n">
        <v>0</v>
      </c>
      <c r="L2199" t="n">
        <v>1</v>
      </c>
      <c r="M2199" t="n">
        <v>0</v>
      </c>
    </row>
    <row r="2200" spans="1:13">
      <c r="A2200" s="1">
        <f>HYPERLINK("http://www.twitter.com/NathanBLawrence/status/974400311044575232", "974400311044575232")</f>
        <v/>
      </c>
      <c r="B2200" s="2" t="n">
        <v>43174.90407407407</v>
      </c>
      <c r="C2200" t="n">
        <v>0</v>
      </c>
      <c r="D2200" t="n">
        <v>0</v>
      </c>
      <c r="E2200" t="s">
        <v>2203</v>
      </c>
      <c r="F2200" t="s"/>
      <c r="G2200" t="s"/>
      <c r="H2200" t="s"/>
      <c r="I2200" t="s"/>
      <c r="J2200" t="n">
        <v>0.765</v>
      </c>
      <c r="K2200" t="n">
        <v>0</v>
      </c>
      <c r="L2200" t="n">
        <v>0.513</v>
      </c>
      <c r="M2200" t="n">
        <v>0.487</v>
      </c>
    </row>
    <row r="2201" spans="1:13">
      <c r="A2201" s="1">
        <f>HYPERLINK("http://www.twitter.com/NathanBLawrence/status/974399553674891264", "974399553674891264")</f>
        <v/>
      </c>
      <c r="B2201" s="2" t="n">
        <v>43174.90197916667</v>
      </c>
      <c r="C2201" t="n">
        <v>0</v>
      </c>
      <c r="D2201" t="n">
        <v>0</v>
      </c>
      <c r="E2201" t="s">
        <v>2204</v>
      </c>
      <c r="F2201" t="s"/>
      <c r="G2201" t="s"/>
      <c r="H2201" t="s"/>
      <c r="I2201" t="s"/>
      <c r="J2201" t="n">
        <v>-0.3612</v>
      </c>
      <c r="K2201" t="n">
        <v>0.205</v>
      </c>
      <c r="L2201" t="n">
        <v>0.667</v>
      </c>
      <c r="M2201" t="n">
        <v>0.128</v>
      </c>
    </row>
    <row r="2202" spans="1:13">
      <c r="A2202" s="1">
        <f>HYPERLINK("http://www.twitter.com/NathanBLawrence/status/974398822599229440", "974398822599229440")</f>
        <v/>
      </c>
      <c r="B2202" s="2" t="n">
        <v>43174.89996527778</v>
      </c>
      <c r="C2202" t="n">
        <v>1</v>
      </c>
      <c r="D2202" t="n">
        <v>0</v>
      </c>
      <c r="E2202" t="s">
        <v>2205</v>
      </c>
      <c r="F2202" t="s"/>
      <c r="G2202" t="s"/>
      <c r="H2202" t="s"/>
      <c r="I2202" t="s"/>
      <c r="J2202" t="n">
        <v>0</v>
      </c>
      <c r="K2202" t="n">
        <v>0</v>
      </c>
      <c r="L2202" t="n">
        <v>1</v>
      </c>
      <c r="M2202" t="n">
        <v>0</v>
      </c>
    </row>
    <row r="2203" spans="1:13">
      <c r="A2203" s="1">
        <f>HYPERLINK("http://www.twitter.com/NathanBLawrence/status/974398533175570436", "974398533175570436")</f>
        <v/>
      </c>
      <c r="B2203" s="2" t="n">
        <v>43174.89916666667</v>
      </c>
      <c r="C2203" t="n">
        <v>1</v>
      </c>
      <c r="D2203" t="n">
        <v>0</v>
      </c>
      <c r="E2203" t="s">
        <v>2206</v>
      </c>
      <c r="F2203" t="s"/>
      <c r="G2203" t="s"/>
      <c r="H2203" t="s"/>
      <c r="I2203" t="s"/>
      <c r="J2203" t="n">
        <v>0.6124000000000001</v>
      </c>
      <c r="K2203" t="n">
        <v>0.112</v>
      </c>
      <c r="L2203" t="n">
        <v>0.62</v>
      </c>
      <c r="M2203" t="n">
        <v>0.267</v>
      </c>
    </row>
    <row r="2204" spans="1:13">
      <c r="A2204" s="1">
        <f>HYPERLINK("http://www.twitter.com/NathanBLawrence/status/974398176043175936", "974398176043175936")</f>
        <v/>
      </c>
      <c r="B2204" s="2" t="n">
        <v>43174.89818287037</v>
      </c>
      <c r="C2204" t="n">
        <v>1</v>
      </c>
      <c r="D2204" t="n">
        <v>0</v>
      </c>
      <c r="E2204" t="s">
        <v>2207</v>
      </c>
      <c r="F2204" t="s"/>
      <c r="G2204" t="s"/>
      <c r="H2204" t="s"/>
      <c r="I2204" t="s"/>
      <c r="J2204" t="n">
        <v>0.6369</v>
      </c>
      <c r="K2204" t="n">
        <v>0</v>
      </c>
      <c r="L2204" t="n">
        <v>0.488</v>
      </c>
      <c r="M2204" t="n">
        <v>0.512</v>
      </c>
    </row>
    <row r="2205" spans="1:13">
      <c r="A2205" s="1">
        <f>HYPERLINK("http://www.twitter.com/NathanBLawrence/status/974397730704580610", "974397730704580610")</f>
        <v/>
      </c>
      <c r="B2205" s="2" t="n">
        <v>43174.89695601852</v>
      </c>
      <c r="C2205" t="n">
        <v>0</v>
      </c>
      <c r="D2205" t="n">
        <v>0</v>
      </c>
      <c r="E2205" t="s">
        <v>2208</v>
      </c>
      <c r="F2205" t="s"/>
      <c r="G2205" t="s"/>
      <c r="H2205" t="s"/>
      <c r="I2205" t="s"/>
      <c r="J2205" t="n">
        <v>-0.4939</v>
      </c>
      <c r="K2205" t="n">
        <v>0.167</v>
      </c>
      <c r="L2205" t="n">
        <v>0.833</v>
      </c>
      <c r="M2205" t="n">
        <v>0</v>
      </c>
    </row>
    <row r="2206" spans="1:13">
      <c r="A2206" s="1">
        <f>HYPERLINK("http://www.twitter.com/NathanBLawrence/status/974395742268870657", "974395742268870657")</f>
        <v/>
      </c>
      <c r="B2206" s="2" t="n">
        <v>43174.89146990741</v>
      </c>
      <c r="C2206" t="n">
        <v>1</v>
      </c>
      <c r="D2206" t="n">
        <v>0</v>
      </c>
      <c r="E2206" t="s">
        <v>2209</v>
      </c>
      <c r="F2206" t="s"/>
      <c r="G2206" t="s"/>
      <c r="H2206" t="s"/>
      <c r="I2206" t="s"/>
      <c r="J2206" t="n">
        <v>-0.3818</v>
      </c>
      <c r="K2206" t="n">
        <v>0.106</v>
      </c>
      <c r="L2206" t="n">
        <v>0.894</v>
      </c>
      <c r="M2206" t="n">
        <v>0</v>
      </c>
    </row>
    <row r="2207" spans="1:13">
      <c r="A2207" s="1">
        <f>HYPERLINK("http://www.twitter.com/NathanBLawrence/status/974394539313164288", "974394539313164288")</f>
        <v/>
      </c>
      <c r="B2207" s="2" t="n">
        <v>43174.88814814815</v>
      </c>
      <c r="C2207" t="n">
        <v>1</v>
      </c>
      <c r="D2207" t="n">
        <v>0</v>
      </c>
      <c r="E2207" t="s">
        <v>2210</v>
      </c>
      <c r="F2207" t="s"/>
      <c r="G2207" t="s"/>
      <c r="H2207" t="s"/>
      <c r="I2207" t="s"/>
      <c r="J2207" t="n">
        <v>0</v>
      </c>
      <c r="K2207" t="n">
        <v>0</v>
      </c>
      <c r="L2207" t="n">
        <v>1</v>
      </c>
      <c r="M2207" t="n">
        <v>0</v>
      </c>
    </row>
    <row r="2208" spans="1:13">
      <c r="A2208" s="1">
        <f>HYPERLINK("http://www.twitter.com/NathanBLawrence/status/974392905606553601", "974392905606553601")</f>
        <v/>
      </c>
      <c r="B2208" s="2" t="n">
        <v>43174.88363425926</v>
      </c>
      <c r="C2208" t="n">
        <v>1</v>
      </c>
      <c r="D2208" t="n">
        <v>0</v>
      </c>
      <c r="E2208" t="s">
        <v>2211</v>
      </c>
      <c r="F2208" t="s"/>
      <c r="G2208" t="s"/>
      <c r="H2208" t="s"/>
      <c r="I2208" t="s"/>
      <c r="J2208" t="n">
        <v>-0.7351</v>
      </c>
      <c r="K2208" t="n">
        <v>0.197</v>
      </c>
      <c r="L2208" t="n">
        <v>0.719</v>
      </c>
      <c r="M2208" t="n">
        <v>0.08400000000000001</v>
      </c>
    </row>
    <row r="2209" spans="1:13">
      <c r="A2209" s="1">
        <f>HYPERLINK("http://www.twitter.com/NathanBLawrence/status/974391376652718080", "974391376652718080")</f>
        <v/>
      </c>
      <c r="B2209" s="2" t="n">
        <v>43174.8794212963</v>
      </c>
      <c r="C2209" t="n">
        <v>7</v>
      </c>
      <c r="D2209" t="n">
        <v>0</v>
      </c>
      <c r="E2209" t="s">
        <v>2212</v>
      </c>
      <c r="F2209" t="s"/>
      <c r="G2209" t="s"/>
      <c r="H2209" t="s"/>
      <c r="I2209" t="s"/>
      <c r="J2209" t="n">
        <v>-0.4417</v>
      </c>
      <c r="K2209" t="n">
        <v>0.15</v>
      </c>
      <c r="L2209" t="n">
        <v>0.777</v>
      </c>
      <c r="M2209" t="n">
        <v>0.07199999999999999</v>
      </c>
    </row>
    <row r="2210" spans="1:13">
      <c r="A2210" s="1">
        <f>HYPERLINK("http://www.twitter.com/NathanBLawrence/status/974387961948196865", "974387961948196865")</f>
        <v/>
      </c>
      <c r="B2210" s="2" t="n">
        <v>43174.87</v>
      </c>
      <c r="C2210" t="n">
        <v>0</v>
      </c>
      <c r="D2210" t="n">
        <v>0</v>
      </c>
      <c r="E2210" t="s">
        <v>2213</v>
      </c>
      <c r="F2210" t="s"/>
      <c r="G2210" t="s"/>
      <c r="H2210" t="s"/>
      <c r="I2210" t="s"/>
      <c r="J2210" t="n">
        <v>-0.3052</v>
      </c>
      <c r="K2210" t="n">
        <v>0.13</v>
      </c>
      <c r="L2210" t="n">
        <v>0.87</v>
      </c>
      <c r="M2210" t="n">
        <v>0</v>
      </c>
    </row>
    <row r="2211" spans="1:13">
      <c r="A2211" s="1">
        <f>HYPERLINK("http://www.twitter.com/NathanBLawrence/status/974365561378492417", "974365561378492417")</f>
        <v/>
      </c>
      <c r="B2211" s="2" t="n">
        <v>43174.80818287037</v>
      </c>
      <c r="C2211" t="n">
        <v>0</v>
      </c>
      <c r="D2211" t="n">
        <v>0</v>
      </c>
      <c r="E2211" t="s">
        <v>2214</v>
      </c>
      <c r="F2211" t="s"/>
      <c r="G2211" t="s"/>
      <c r="H2211" t="s"/>
      <c r="I2211" t="s"/>
      <c r="J2211" t="n">
        <v>0.2732</v>
      </c>
      <c r="K2211" t="n">
        <v>0.144</v>
      </c>
      <c r="L2211" t="n">
        <v>0.662</v>
      </c>
      <c r="M2211" t="n">
        <v>0.194</v>
      </c>
    </row>
    <row r="2212" spans="1:13">
      <c r="A2212" s="1">
        <f>HYPERLINK("http://www.twitter.com/NathanBLawrence/status/974364684081139712", "974364684081139712")</f>
        <v/>
      </c>
      <c r="B2212" s="2" t="n">
        <v>43174.80576388889</v>
      </c>
      <c r="C2212" t="n">
        <v>0</v>
      </c>
      <c r="D2212" t="n">
        <v>0</v>
      </c>
      <c r="E2212" t="s">
        <v>2215</v>
      </c>
      <c r="F2212" t="s"/>
      <c r="G2212" t="s"/>
      <c r="H2212" t="s"/>
      <c r="I2212" t="s"/>
      <c r="J2212" t="n">
        <v>0.34</v>
      </c>
      <c r="K2212" t="n">
        <v>0</v>
      </c>
      <c r="L2212" t="n">
        <v>0.928</v>
      </c>
      <c r="M2212" t="n">
        <v>0.07199999999999999</v>
      </c>
    </row>
    <row r="2213" spans="1:13">
      <c r="A2213" s="1">
        <f>HYPERLINK("http://www.twitter.com/NathanBLawrence/status/974363477363056640", "974363477363056640")</f>
        <v/>
      </c>
      <c r="B2213" s="2" t="n">
        <v>43174.80243055556</v>
      </c>
      <c r="C2213" t="n">
        <v>0</v>
      </c>
      <c r="D2213" t="n">
        <v>0</v>
      </c>
      <c r="E2213" t="s">
        <v>2216</v>
      </c>
      <c r="F2213" t="s"/>
      <c r="G2213" t="s"/>
      <c r="H2213" t="s"/>
      <c r="I2213" t="s"/>
      <c r="J2213" t="n">
        <v>-0.8453000000000001</v>
      </c>
      <c r="K2213" t="n">
        <v>0.303</v>
      </c>
      <c r="L2213" t="n">
        <v>0.581</v>
      </c>
      <c r="M2213" t="n">
        <v>0.116</v>
      </c>
    </row>
    <row r="2214" spans="1:13">
      <c r="A2214" s="1">
        <f>HYPERLINK("http://www.twitter.com/NathanBLawrence/status/974362974445031425", "974362974445031425")</f>
        <v/>
      </c>
      <c r="B2214" s="2" t="n">
        <v>43174.80104166667</v>
      </c>
      <c r="C2214" t="n">
        <v>0</v>
      </c>
      <c r="D2214" t="n">
        <v>0</v>
      </c>
      <c r="E2214" t="s">
        <v>2217</v>
      </c>
      <c r="F2214" t="s"/>
      <c r="G2214" t="s"/>
      <c r="H2214" t="s"/>
      <c r="I2214" t="s"/>
      <c r="J2214" t="n">
        <v>0</v>
      </c>
      <c r="K2214" t="n">
        <v>0</v>
      </c>
      <c r="L2214" t="n">
        <v>1</v>
      </c>
      <c r="M2214" t="n">
        <v>0</v>
      </c>
    </row>
    <row r="2215" spans="1:13">
      <c r="A2215" s="1">
        <f>HYPERLINK("http://www.twitter.com/NathanBLawrence/status/974362725433380864", "974362725433380864")</f>
        <v/>
      </c>
      <c r="B2215" s="2" t="n">
        <v>43174.8003587963</v>
      </c>
      <c r="C2215" t="n">
        <v>1</v>
      </c>
      <c r="D2215" t="n">
        <v>0</v>
      </c>
      <c r="E2215" t="s">
        <v>2218</v>
      </c>
      <c r="F2215" t="s"/>
      <c r="G2215" t="s"/>
      <c r="H2215" t="s"/>
      <c r="I2215" t="s"/>
      <c r="J2215" t="n">
        <v>0.3612</v>
      </c>
      <c r="K2215" t="n">
        <v>0</v>
      </c>
      <c r="L2215" t="n">
        <v>0.865</v>
      </c>
      <c r="M2215" t="n">
        <v>0.135</v>
      </c>
    </row>
    <row r="2216" spans="1:13">
      <c r="A2216" s="1">
        <f>HYPERLINK("http://www.twitter.com/NathanBLawrence/status/974362684157243393", "974362684157243393")</f>
        <v/>
      </c>
      <c r="B2216" s="2" t="n">
        <v>43174.80024305556</v>
      </c>
      <c r="C2216" t="n">
        <v>0</v>
      </c>
      <c r="D2216" t="n">
        <v>2</v>
      </c>
      <c r="E2216" t="s">
        <v>2219</v>
      </c>
      <c r="F2216" t="s"/>
      <c r="G2216" t="s"/>
      <c r="H2216" t="s"/>
      <c r="I2216" t="s"/>
      <c r="J2216" t="n">
        <v>0</v>
      </c>
      <c r="K2216" t="n">
        <v>0</v>
      </c>
      <c r="L2216" t="n">
        <v>1</v>
      </c>
      <c r="M2216" t="n">
        <v>0</v>
      </c>
    </row>
    <row r="2217" spans="1:13">
      <c r="A2217" s="1">
        <f>HYPERLINK("http://www.twitter.com/NathanBLawrence/status/974362603874144257", "974362603874144257")</f>
        <v/>
      </c>
      <c r="B2217" s="2" t="n">
        <v>43174.80002314815</v>
      </c>
      <c r="C2217" t="n">
        <v>2</v>
      </c>
      <c r="D2217" t="n">
        <v>0</v>
      </c>
      <c r="E2217" t="s">
        <v>2220</v>
      </c>
      <c r="F2217" t="s"/>
      <c r="G2217" t="s"/>
      <c r="H2217" t="s"/>
      <c r="I2217" t="s"/>
      <c r="J2217" t="n">
        <v>0.698</v>
      </c>
      <c r="K2217" t="n">
        <v>0.057</v>
      </c>
      <c r="L2217" t="n">
        <v>0.8</v>
      </c>
      <c r="M2217" t="n">
        <v>0.144</v>
      </c>
    </row>
    <row r="2218" spans="1:13">
      <c r="A2218" s="1">
        <f>HYPERLINK("http://www.twitter.com/NathanBLawrence/status/974358228082577409", "974358228082577409")</f>
        <v/>
      </c>
      <c r="B2218" s="2" t="n">
        <v>43174.78793981481</v>
      </c>
      <c r="C2218" t="n">
        <v>0</v>
      </c>
      <c r="D2218" t="n">
        <v>0</v>
      </c>
      <c r="E2218" t="s">
        <v>2221</v>
      </c>
      <c r="F2218" t="s"/>
      <c r="G2218" t="s"/>
      <c r="H2218" t="s"/>
      <c r="I2218" t="s"/>
      <c r="J2218" t="n">
        <v>0.1324</v>
      </c>
      <c r="K2218" t="n">
        <v>0.15</v>
      </c>
      <c r="L2218" t="n">
        <v>0.661</v>
      </c>
      <c r="M2218" t="n">
        <v>0.189</v>
      </c>
    </row>
    <row r="2219" spans="1:13">
      <c r="A2219" s="1">
        <f>HYPERLINK("http://www.twitter.com/NathanBLawrence/status/974356256931622912", "974356256931622912")</f>
        <v/>
      </c>
      <c r="B2219" s="2" t="n">
        <v>43174.7825</v>
      </c>
      <c r="C2219" t="n">
        <v>0</v>
      </c>
      <c r="D2219" t="n">
        <v>0</v>
      </c>
      <c r="E2219" t="s">
        <v>2222</v>
      </c>
      <c r="F2219" t="s"/>
      <c r="G2219" t="s"/>
      <c r="H2219" t="s"/>
      <c r="I2219" t="s"/>
      <c r="J2219" t="n">
        <v>0.5719</v>
      </c>
      <c r="K2219" t="n">
        <v>0</v>
      </c>
      <c r="L2219" t="n">
        <v>0.351</v>
      </c>
      <c r="M2219" t="n">
        <v>0.649</v>
      </c>
    </row>
    <row r="2220" spans="1:13">
      <c r="A2220" s="1">
        <f>HYPERLINK("http://www.twitter.com/NathanBLawrence/status/974356115076108288", "974356115076108288")</f>
        <v/>
      </c>
      <c r="B2220" s="2" t="n">
        <v>43174.78211805555</v>
      </c>
      <c r="C2220" t="n">
        <v>4</v>
      </c>
      <c r="D2220" t="n">
        <v>1</v>
      </c>
      <c r="E2220" t="s">
        <v>2223</v>
      </c>
      <c r="F2220" t="s"/>
      <c r="G2220" t="s"/>
      <c r="H2220" t="s"/>
      <c r="I2220" t="s"/>
      <c r="J2220" t="n">
        <v>0.5584</v>
      </c>
      <c r="K2220" t="n">
        <v>0.145</v>
      </c>
      <c r="L2220" t="n">
        <v>0.663</v>
      </c>
      <c r="M2220" t="n">
        <v>0.192</v>
      </c>
    </row>
    <row r="2221" spans="1:13">
      <c r="A2221" s="1">
        <f>HYPERLINK("http://www.twitter.com/NathanBLawrence/status/974354985856241664", "974354985856241664")</f>
        <v/>
      </c>
      <c r="B2221" s="2" t="n">
        <v>43174.77899305556</v>
      </c>
      <c r="C2221" t="n">
        <v>0</v>
      </c>
      <c r="D2221" t="n">
        <v>6</v>
      </c>
      <c r="E2221" t="s">
        <v>2224</v>
      </c>
      <c r="F2221">
        <f>HYPERLINK("http://pbs.twimg.com/media/DYWW6BeX4AERLOI.jpg", "http://pbs.twimg.com/media/DYWW6BeX4AERLOI.jpg")</f>
        <v/>
      </c>
      <c r="G2221" t="s"/>
      <c r="H2221" t="s"/>
      <c r="I2221" t="s"/>
      <c r="J2221" t="n">
        <v>0</v>
      </c>
      <c r="K2221" t="n">
        <v>0</v>
      </c>
      <c r="L2221" t="n">
        <v>1</v>
      </c>
      <c r="M2221" t="n">
        <v>0</v>
      </c>
    </row>
    <row r="2222" spans="1:13">
      <c r="A2222" s="1">
        <f>HYPERLINK("http://www.twitter.com/NathanBLawrence/status/974348498731786240", "974348498731786240")</f>
        <v/>
      </c>
      <c r="B2222" s="2" t="n">
        <v>43174.76109953703</v>
      </c>
      <c r="C2222" t="n">
        <v>0</v>
      </c>
      <c r="D2222" t="n">
        <v>4</v>
      </c>
      <c r="E2222" t="s">
        <v>2225</v>
      </c>
      <c r="F2222" t="s"/>
      <c r="G2222" t="s"/>
      <c r="H2222" t="s"/>
      <c r="I2222" t="s"/>
      <c r="J2222" t="n">
        <v>0</v>
      </c>
      <c r="K2222" t="n">
        <v>0</v>
      </c>
      <c r="L2222" t="n">
        <v>1</v>
      </c>
      <c r="M2222" t="n">
        <v>0</v>
      </c>
    </row>
    <row r="2223" spans="1:13">
      <c r="A2223" s="1">
        <f>HYPERLINK("http://www.twitter.com/NathanBLawrence/status/974348379949027329", "974348379949027329")</f>
        <v/>
      </c>
      <c r="B2223" s="2" t="n">
        <v>43174.76076388889</v>
      </c>
      <c r="C2223" t="n">
        <v>0</v>
      </c>
      <c r="D2223" t="n">
        <v>4</v>
      </c>
      <c r="E2223" t="s">
        <v>2226</v>
      </c>
      <c r="F2223" t="s"/>
      <c r="G2223" t="s"/>
      <c r="H2223" t="s"/>
      <c r="I2223" t="s"/>
      <c r="J2223" t="n">
        <v>0</v>
      </c>
      <c r="K2223" t="n">
        <v>0</v>
      </c>
      <c r="L2223" t="n">
        <v>1</v>
      </c>
      <c r="M2223" t="n">
        <v>0</v>
      </c>
    </row>
    <row r="2224" spans="1:13">
      <c r="A2224" s="1">
        <f>HYPERLINK("http://www.twitter.com/NathanBLawrence/status/974348301347717122", "974348301347717122")</f>
        <v/>
      </c>
      <c r="B2224" s="2" t="n">
        <v>43174.76055555556</v>
      </c>
      <c r="C2224" t="n">
        <v>0</v>
      </c>
      <c r="D2224" t="n">
        <v>3</v>
      </c>
      <c r="E2224" t="s">
        <v>2227</v>
      </c>
      <c r="F2224" t="s"/>
      <c r="G2224" t="s"/>
      <c r="H2224" t="s"/>
      <c r="I2224" t="s"/>
      <c r="J2224" t="n">
        <v>0</v>
      </c>
      <c r="K2224" t="n">
        <v>0</v>
      </c>
      <c r="L2224" t="n">
        <v>1</v>
      </c>
      <c r="M2224" t="n">
        <v>0</v>
      </c>
    </row>
    <row r="2225" spans="1:13">
      <c r="A2225" s="1">
        <f>HYPERLINK("http://www.twitter.com/NathanBLawrence/status/974348012297342977", "974348012297342977")</f>
        <v/>
      </c>
      <c r="B2225" s="2" t="n">
        <v>43174.75975694445</v>
      </c>
      <c r="C2225" t="n">
        <v>0</v>
      </c>
      <c r="D2225" t="n">
        <v>0</v>
      </c>
      <c r="E2225" t="s">
        <v>2228</v>
      </c>
      <c r="F2225" t="s"/>
      <c r="G2225" t="s"/>
      <c r="H2225" t="s"/>
      <c r="I2225" t="s"/>
      <c r="J2225" t="n">
        <v>0.5106000000000001</v>
      </c>
      <c r="K2225" t="n">
        <v>0</v>
      </c>
      <c r="L2225" t="n">
        <v>0.858</v>
      </c>
      <c r="M2225" t="n">
        <v>0.142</v>
      </c>
    </row>
    <row r="2226" spans="1:13">
      <c r="A2226" s="1">
        <f>HYPERLINK("http://www.twitter.com/NathanBLawrence/status/974347831355068431", "974347831355068431")</f>
        <v/>
      </c>
      <c r="B2226" s="2" t="n">
        <v>43174.75925925926</v>
      </c>
      <c r="C2226" t="n">
        <v>0</v>
      </c>
      <c r="D2226" t="n">
        <v>3</v>
      </c>
      <c r="E2226" t="s">
        <v>2229</v>
      </c>
      <c r="F2226" t="s"/>
      <c r="G2226" t="s"/>
      <c r="H2226" t="s"/>
      <c r="I2226" t="s"/>
      <c r="J2226" t="n">
        <v>-0.296</v>
      </c>
      <c r="K2226" t="n">
        <v>0.128</v>
      </c>
      <c r="L2226" t="n">
        <v>0.872</v>
      </c>
      <c r="M2226" t="n">
        <v>0</v>
      </c>
    </row>
    <row r="2227" spans="1:13">
      <c r="A2227" s="1">
        <f>HYPERLINK("http://www.twitter.com/NathanBLawrence/status/974347752237912064", "974347752237912064")</f>
        <v/>
      </c>
      <c r="B2227" s="2" t="n">
        <v>43174.75903935185</v>
      </c>
      <c r="C2227" t="n">
        <v>0</v>
      </c>
      <c r="D2227" t="n">
        <v>5</v>
      </c>
      <c r="E2227" t="s">
        <v>2230</v>
      </c>
      <c r="F2227" t="s"/>
      <c r="G2227" t="s"/>
      <c r="H2227" t="s"/>
      <c r="I2227" t="s"/>
      <c r="J2227" t="n">
        <v>0</v>
      </c>
      <c r="K2227" t="n">
        <v>0</v>
      </c>
      <c r="L2227" t="n">
        <v>1</v>
      </c>
      <c r="M2227" t="n">
        <v>0</v>
      </c>
    </row>
    <row r="2228" spans="1:13">
      <c r="A2228" s="1">
        <f>HYPERLINK("http://www.twitter.com/NathanBLawrence/status/974347671975661569", "974347671975661569")</f>
        <v/>
      </c>
      <c r="B2228" s="2" t="n">
        <v>43174.75881944445</v>
      </c>
      <c r="C2228" t="n">
        <v>0</v>
      </c>
      <c r="D2228" t="n">
        <v>5</v>
      </c>
      <c r="E2228" t="s">
        <v>2231</v>
      </c>
      <c r="F2228" t="s"/>
      <c r="G2228" t="s"/>
      <c r="H2228" t="s"/>
      <c r="I2228" t="s"/>
      <c r="J2228" t="n">
        <v>0</v>
      </c>
      <c r="K2228" t="n">
        <v>0</v>
      </c>
      <c r="L2228" t="n">
        <v>1</v>
      </c>
      <c r="M2228" t="n">
        <v>0</v>
      </c>
    </row>
    <row r="2229" spans="1:13">
      <c r="A2229" s="1">
        <f>HYPERLINK("http://www.twitter.com/NathanBLawrence/status/974346817218412544", "974346817218412544")</f>
        <v/>
      </c>
      <c r="B2229" s="2" t="n">
        <v>43174.75645833334</v>
      </c>
      <c r="C2229" t="n">
        <v>0</v>
      </c>
      <c r="D2229" t="n">
        <v>4</v>
      </c>
      <c r="E2229" t="s">
        <v>2232</v>
      </c>
      <c r="F2229" t="s"/>
      <c r="G2229" t="s"/>
      <c r="H2229" t="s"/>
      <c r="I2229" t="s"/>
      <c r="J2229" t="n">
        <v>-0.5266999999999999</v>
      </c>
      <c r="K2229" t="n">
        <v>0.145</v>
      </c>
      <c r="L2229" t="n">
        <v>0.855</v>
      </c>
      <c r="M2229" t="n">
        <v>0</v>
      </c>
    </row>
    <row r="2230" spans="1:13">
      <c r="A2230" s="1">
        <f>HYPERLINK("http://www.twitter.com/NathanBLawrence/status/974346676235395073", "974346676235395073")</f>
        <v/>
      </c>
      <c r="B2230" s="2" t="n">
        <v>43174.75606481481</v>
      </c>
      <c r="C2230" t="n">
        <v>0</v>
      </c>
      <c r="D2230" t="n">
        <v>6</v>
      </c>
      <c r="E2230" t="s">
        <v>2233</v>
      </c>
      <c r="F2230">
        <f>HYPERLINK("http://pbs.twimg.com/media/DYWBWCLXcAE4zLc.jpg", "http://pbs.twimg.com/media/DYWBWCLXcAE4zLc.jpg")</f>
        <v/>
      </c>
      <c r="G2230">
        <f>HYPERLINK("http://pbs.twimg.com/media/DYWBWCIW4AARJNf.jpg", "http://pbs.twimg.com/media/DYWBWCIW4AARJNf.jpg")</f>
        <v/>
      </c>
      <c r="H2230">
        <f>HYPERLINK("http://pbs.twimg.com/media/DYWBWChWsAEfZXy.jpg", "http://pbs.twimg.com/media/DYWBWChWsAEfZXy.jpg")</f>
        <v/>
      </c>
      <c r="I2230">
        <f>HYPERLINK("http://pbs.twimg.com/media/DYWBWCXXUAA3rfr.jpg", "http://pbs.twimg.com/media/DYWBWCXXUAA3rfr.jpg")</f>
        <v/>
      </c>
      <c r="J2230" t="n">
        <v>0.8122</v>
      </c>
      <c r="K2230" t="n">
        <v>0</v>
      </c>
      <c r="L2230" t="n">
        <v>0.6820000000000001</v>
      </c>
      <c r="M2230" t="n">
        <v>0.318</v>
      </c>
    </row>
    <row r="2231" spans="1:13">
      <c r="A2231" s="1">
        <f>HYPERLINK("http://www.twitter.com/NathanBLawrence/status/974346480805974016", "974346480805974016")</f>
        <v/>
      </c>
      <c r="B2231" s="2" t="n">
        <v>43174.75553240741</v>
      </c>
      <c r="C2231" t="n">
        <v>0</v>
      </c>
      <c r="D2231" t="n">
        <v>0</v>
      </c>
      <c r="E2231" t="s">
        <v>2234</v>
      </c>
      <c r="F2231" t="s"/>
      <c r="G2231" t="s"/>
      <c r="H2231" t="s"/>
      <c r="I2231" t="s"/>
      <c r="J2231" t="n">
        <v>0.9016999999999999</v>
      </c>
      <c r="K2231" t="n">
        <v>0.075</v>
      </c>
      <c r="L2231" t="n">
        <v>0.668</v>
      </c>
      <c r="M2231" t="n">
        <v>0.257</v>
      </c>
    </row>
    <row r="2232" spans="1:13">
      <c r="A2232" s="1">
        <f>HYPERLINK("http://www.twitter.com/NathanBLawrence/status/974345752611835905", "974345752611835905")</f>
        <v/>
      </c>
      <c r="B2232" s="2" t="n">
        <v>43174.75351851852</v>
      </c>
      <c r="C2232" t="n">
        <v>0</v>
      </c>
      <c r="D2232" t="n">
        <v>0</v>
      </c>
      <c r="E2232" t="s">
        <v>2235</v>
      </c>
      <c r="F2232" t="s"/>
      <c r="G2232" t="s"/>
      <c r="H2232" t="s"/>
      <c r="I2232" t="s"/>
      <c r="J2232" t="n">
        <v>0.3612</v>
      </c>
      <c r="K2232" t="n">
        <v>0</v>
      </c>
      <c r="L2232" t="n">
        <v>0.857</v>
      </c>
      <c r="M2232" t="n">
        <v>0.143</v>
      </c>
    </row>
    <row r="2233" spans="1:13">
      <c r="A2233" s="1">
        <f>HYPERLINK("http://www.twitter.com/NathanBLawrence/status/974345249794547713", "974345249794547713")</f>
        <v/>
      </c>
      <c r="B2233" s="2" t="n">
        <v>43174.75212962963</v>
      </c>
      <c r="C2233" t="n">
        <v>0</v>
      </c>
      <c r="D2233" t="n">
        <v>6</v>
      </c>
      <c r="E2233" t="s">
        <v>2236</v>
      </c>
      <c r="F2233">
        <f>HYPERLINK("https://video.twimg.com/ext_tw_video/974323288838168576/pu/vid/480x360/UmrwxT2r-NW7cXCp.mp4", "https://video.twimg.com/ext_tw_video/974323288838168576/pu/vid/480x360/UmrwxT2r-NW7cXCp.mp4")</f>
        <v/>
      </c>
      <c r="G2233" t="s"/>
      <c r="H2233" t="s"/>
      <c r="I2233" t="s"/>
      <c r="J2233" t="n">
        <v>0.5803</v>
      </c>
      <c r="K2233" t="n">
        <v>0</v>
      </c>
      <c r="L2233" t="n">
        <v>0.829</v>
      </c>
      <c r="M2233" t="n">
        <v>0.171</v>
      </c>
    </row>
    <row r="2234" spans="1:13">
      <c r="A2234" s="1">
        <f>HYPERLINK("http://www.twitter.com/NathanBLawrence/status/974344946068180992", "974344946068180992")</f>
        <v/>
      </c>
      <c r="B2234" s="2" t="n">
        <v>43174.75129629629</v>
      </c>
      <c r="C2234" t="n">
        <v>0</v>
      </c>
      <c r="D2234" t="n">
        <v>4</v>
      </c>
      <c r="E2234" t="s">
        <v>2237</v>
      </c>
      <c r="F2234" t="s"/>
      <c r="G2234" t="s"/>
      <c r="H2234" t="s"/>
      <c r="I2234" t="s"/>
      <c r="J2234" t="n">
        <v>-0.1027</v>
      </c>
      <c r="K2234" t="n">
        <v>0.074</v>
      </c>
      <c r="L2234" t="n">
        <v>0.87</v>
      </c>
      <c r="M2234" t="n">
        <v>0.057</v>
      </c>
    </row>
    <row r="2235" spans="1:13">
      <c r="A2235" s="1">
        <f>HYPERLINK("http://www.twitter.com/NathanBLawrence/status/974343507887484929", "974343507887484929")</f>
        <v/>
      </c>
      <c r="B2235" s="2" t="n">
        <v>43174.74732638889</v>
      </c>
      <c r="C2235" t="n">
        <v>3</v>
      </c>
      <c r="D2235" t="n">
        <v>0</v>
      </c>
      <c r="E2235" t="s">
        <v>2238</v>
      </c>
      <c r="F2235" t="s"/>
      <c r="G2235" t="s"/>
      <c r="H2235" t="s"/>
      <c r="I2235" t="s"/>
      <c r="J2235" t="n">
        <v>-0.6418</v>
      </c>
      <c r="K2235" t="n">
        <v>0.163</v>
      </c>
      <c r="L2235" t="n">
        <v>0.837</v>
      </c>
      <c r="M2235" t="n">
        <v>0</v>
      </c>
    </row>
    <row r="2236" spans="1:13">
      <c r="A2236" s="1">
        <f>HYPERLINK("http://www.twitter.com/NathanBLawrence/status/974342457373745152", "974342457373745152")</f>
        <v/>
      </c>
      <c r="B2236" s="2" t="n">
        <v>43174.74442129629</v>
      </c>
      <c r="C2236" t="n">
        <v>2</v>
      </c>
      <c r="D2236" t="n">
        <v>2</v>
      </c>
      <c r="E2236" t="s">
        <v>2239</v>
      </c>
      <c r="F2236" t="s"/>
      <c r="G2236" t="s"/>
      <c r="H2236" t="s"/>
      <c r="I2236" t="s"/>
      <c r="J2236" t="n">
        <v>0</v>
      </c>
      <c r="K2236" t="n">
        <v>0</v>
      </c>
      <c r="L2236" t="n">
        <v>1</v>
      </c>
      <c r="M2236" t="n">
        <v>0</v>
      </c>
    </row>
    <row r="2237" spans="1:13">
      <c r="A2237" s="1">
        <f>HYPERLINK("http://www.twitter.com/NathanBLawrence/status/974341965297876993", "974341965297876993")</f>
        <v/>
      </c>
      <c r="B2237" s="2" t="n">
        <v>43174.74306712963</v>
      </c>
      <c r="C2237" t="n">
        <v>2</v>
      </c>
      <c r="D2237" t="n">
        <v>0</v>
      </c>
      <c r="E2237" t="s">
        <v>2240</v>
      </c>
      <c r="F2237" t="s"/>
      <c r="G2237" t="s"/>
      <c r="H2237" t="s"/>
      <c r="I2237" t="s"/>
      <c r="J2237" t="n">
        <v>0</v>
      </c>
      <c r="K2237" t="n">
        <v>0</v>
      </c>
      <c r="L2237" t="n">
        <v>1</v>
      </c>
      <c r="M2237" t="n">
        <v>0</v>
      </c>
    </row>
    <row r="2238" spans="1:13">
      <c r="A2238" s="1">
        <f>HYPERLINK("http://www.twitter.com/NathanBLawrence/status/974341749647781888", "974341749647781888")</f>
        <v/>
      </c>
      <c r="B2238" s="2" t="n">
        <v>43174.74247685185</v>
      </c>
      <c r="C2238" t="n">
        <v>0</v>
      </c>
      <c r="D2238" t="n">
        <v>2</v>
      </c>
      <c r="E2238" t="s">
        <v>2241</v>
      </c>
      <c r="F2238" t="s"/>
      <c r="G2238" t="s"/>
      <c r="H2238" t="s"/>
      <c r="I2238" t="s"/>
      <c r="J2238" t="n">
        <v>-0.5266999999999999</v>
      </c>
      <c r="K2238" t="n">
        <v>0.139</v>
      </c>
      <c r="L2238" t="n">
        <v>0.861</v>
      </c>
      <c r="M2238" t="n">
        <v>0</v>
      </c>
    </row>
    <row r="2239" spans="1:13">
      <c r="A2239" s="1">
        <f>HYPERLINK("http://www.twitter.com/NathanBLawrence/status/974339409150660609", "974339409150660609")</f>
        <v/>
      </c>
      <c r="B2239" s="2" t="n">
        <v>43174.73601851852</v>
      </c>
      <c r="C2239" t="n">
        <v>0</v>
      </c>
      <c r="D2239" t="n">
        <v>2</v>
      </c>
      <c r="E2239" t="s">
        <v>2242</v>
      </c>
      <c r="F2239">
        <f>HYPERLINK("http://pbs.twimg.com/media/DYVYBQ9X0AEBjdh.jpg", "http://pbs.twimg.com/media/DYVYBQ9X0AEBjdh.jpg")</f>
        <v/>
      </c>
      <c r="G2239" t="s"/>
      <c r="H2239" t="s"/>
      <c r="I2239" t="s"/>
      <c r="J2239" t="n">
        <v>0</v>
      </c>
      <c r="K2239" t="n">
        <v>0</v>
      </c>
      <c r="L2239" t="n">
        <v>1</v>
      </c>
      <c r="M2239" t="n">
        <v>0</v>
      </c>
    </row>
    <row r="2240" spans="1:13">
      <c r="A2240" s="1">
        <f>HYPERLINK("http://www.twitter.com/NathanBLawrence/status/974338932879052800", "974338932879052800")</f>
        <v/>
      </c>
      <c r="B2240" s="2" t="n">
        <v>43174.73469907408</v>
      </c>
      <c r="C2240" t="n">
        <v>1</v>
      </c>
      <c r="D2240" t="n">
        <v>0</v>
      </c>
      <c r="E2240" t="s">
        <v>2243</v>
      </c>
      <c r="F2240" t="s"/>
      <c r="G2240" t="s"/>
      <c r="H2240" t="s"/>
      <c r="I2240" t="s"/>
      <c r="J2240" t="n">
        <v>-0.296</v>
      </c>
      <c r="K2240" t="n">
        <v>0.145</v>
      </c>
      <c r="L2240" t="n">
        <v>0.855</v>
      </c>
      <c r="M2240" t="n">
        <v>0</v>
      </c>
    </row>
    <row r="2241" spans="1:13">
      <c r="A2241" s="1">
        <f>HYPERLINK("http://www.twitter.com/NathanBLawrence/status/974338744881963008", "974338744881963008")</f>
        <v/>
      </c>
      <c r="B2241" s="2" t="n">
        <v>43174.73417824074</v>
      </c>
      <c r="C2241" t="n">
        <v>3</v>
      </c>
      <c r="D2241" t="n">
        <v>0</v>
      </c>
      <c r="E2241" t="s">
        <v>2244</v>
      </c>
      <c r="F2241" t="s"/>
      <c r="G2241" t="s"/>
      <c r="H2241" t="s"/>
      <c r="I2241" t="s"/>
      <c r="J2241" t="n">
        <v>-0.2225</v>
      </c>
      <c r="K2241" t="n">
        <v>0.148</v>
      </c>
      <c r="L2241" t="n">
        <v>0.741</v>
      </c>
      <c r="M2241" t="n">
        <v>0.111</v>
      </c>
    </row>
    <row r="2242" spans="1:13">
      <c r="A2242" s="1">
        <f>HYPERLINK("http://www.twitter.com/NathanBLawrence/status/974336128525496320", "974336128525496320")</f>
        <v/>
      </c>
      <c r="B2242" s="2" t="n">
        <v>43174.72695601852</v>
      </c>
      <c r="C2242" t="n">
        <v>1</v>
      </c>
      <c r="D2242" t="n">
        <v>0</v>
      </c>
      <c r="E2242" t="s">
        <v>2245</v>
      </c>
      <c r="F2242" t="s"/>
      <c r="G2242" t="s"/>
      <c r="H2242" t="s"/>
      <c r="I2242" t="s"/>
      <c r="J2242" t="n">
        <v>0</v>
      </c>
      <c r="K2242" t="n">
        <v>0</v>
      </c>
      <c r="L2242" t="n">
        <v>1</v>
      </c>
      <c r="M2242" t="n">
        <v>0</v>
      </c>
    </row>
    <row r="2243" spans="1:13">
      <c r="A2243" s="1">
        <f>HYPERLINK("http://www.twitter.com/NathanBLawrence/status/974335768847101952", "974335768847101952")</f>
        <v/>
      </c>
      <c r="B2243" s="2" t="n">
        <v>43174.72597222222</v>
      </c>
      <c r="C2243" t="n">
        <v>0</v>
      </c>
      <c r="D2243" t="n">
        <v>0</v>
      </c>
      <c r="E2243" t="s">
        <v>2246</v>
      </c>
      <c r="F2243" t="s"/>
      <c r="G2243" t="s"/>
      <c r="H2243" t="s"/>
      <c r="I2243" t="s"/>
      <c r="J2243" t="n">
        <v>0.3612</v>
      </c>
      <c r="K2243" t="n">
        <v>0</v>
      </c>
      <c r="L2243" t="n">
        <v>0.444</v>
      </c>
      <c r="M2243" t="n">
        <v>0.556</v>
      </c>
    </row>
    <row r="2244" spans="1:13">
      <c r="A2244" s="1">
        <f>HYPERLINK("http://www.twitter.com/NathanBLawrence/status/974333316638871552", "974333316638871552")</f>
        <v/>
      </c>
      <c r="B2244" s="2" t="n">
        <v>43174.71920138889</v>
      </c>
      <c r="C2244" t="n">
        <v>2</v>
      </c>
      <c r="D2244" t="n">
        <v>0</v>
      </c>
      <c r="E2244" t="s">
        <v>2247</v>
      </c>
      <c r="F2244" t="s"/>
      <c r="G2244" t="s"/>
      <c r="H2244" t="s"/>
      <c r="I2244" t="s"/>
      <c r="J2244" t="n">
        <v>0</v>
      </c>
      <c r="K2244" t="n">
        <v>0</v>
      </c>
      <c r="L2244" t="n">
        <v>1</v>
      </c>
      <c r="M2244" t="n">
        <v>0</v>
      </c>
    </row>
    <row r="2245" spans="1:13">
      <c r="A2245" s="1">
        <f>HYPERLINK("http://www.twitter.com/NathanBLawrence/status/974333277430603776", "974333277430603776")</f>
        <v/>
      </c>
      <c r="B2245" s="2" t="n">
        <v>43174.71909722222</v>
      </c>
      <c r="C2245" t="n">
        <v>0</v>
      </c>
      <c r="D2245" t="n">
        <v>5</v>
      </c>
      <c r="E2245" t="s">
        <v>2248</v>
      </c>
      <c r="F2245" t="s"/>
      <c r="G2245" t="s"/>
      <c r="H2245" t="s"/>
      <c r="I2245" t="s"/>
      <c r="J2245" t="n">
        <v>-0.4199</v>
      </c>
      <c r="K2245" t="n">
        <v>0.24</v>
      </c>
      <c r="L2245" t="n">
        <v>0.648</v>
      </c>
      <c r="M2245" t="n">
        <v>0.111</v>
      </c>
    </row>
    <row r="2246" spans="1:13">
      <c r="A2246" s="1">
        <f>HYPERLINK("http://www.twitter.com/NathanBLawrence/status/974333229762334721", "974333229762334721")</f>
        <v/>
      </c>
      <c r="B2246" s="2" t="n">
        <v>43174.71895833333</v>
      </c>
      <c r="C2246" t="n">
        <v>1</v>
      </c>
      <c r="D2246" t="n">
        <v>0</v>
      </c>
      <c r="E2246" t="s">
        <v>2249</v>
      </c>
      <c r="F2246" t="s"/>
      <c r="G2246" t="s"/>
      <c r="H2246" t="s"/>
      <c r="I2246" t="s"/>
      <c r="J2246" t="n">
        <v>-0.4767</v>
      </c>
      <c r="K2246" t="n">
        <v>0.193</v>
      </c>
      <c r="L2246" t="n">
        <v>0.8070000000000001</v>
      </c>
      <c r="M2246" t="n">
        <v>0</v>
      </c>
    </row>
    <row r="2247" spans="1:13">
      <c r="A2247" s="1">
        <f>HYPERLINK("http://www.twitter.com/NathanBLawrence/status/974332112714203138", "974332112714203138")</f>
        <v/>
      </c>
      <c r="B2247" s="2" t="n">
        <v>43174.71587962963</v>
      </c>
      <c r="C2247" t="n">
        <v>1</v>
      </c>
      <c r="D2247" t="n">
        <v>0</v>
      </c>
      <c r="E2247" t="s">
        <v>2250</v>
      </c>
      <c r="F2247" t="s"/>
      <c r="G2247" t="s"/>
      <c r="H2247" t="s"/>
      <c r="I2247" t="s"/>
      <c r="J2247" t="n">
        <v>-0.7778</v>
      </c>
      <c r="K2247" t="n">
        <v>0.415</v>
      </c>
      <c r="L2247" t="n">
        <v>0.585</v>
      </c>
      <c r="M2247" t="n">
        <v>0</v>
      </c>
    </row>
    <row r="2248" spans="1:13">
      <c r="A2248" s="1">
        <f>HYPERLINK("http://www.twitter.com/NathanBLawrence/status/974331769481842688", "974331769481842688")</f>
        <v/>
      </c>
      <c r="B2248" s="2" t="n">
        <v>43174.71493055556</v>
      </c>
      <c r="C2248" t="n">
        <v>1</v>
      </c>
      <c r="D2248" t="n">
        <v>0</v>
      </c>
      <c r="E2248" t="s">
        <v>2251</v>
      </c>
      <c r="F2248" t="s"/>
      <c r="G2248" t="s"/>
      <c r="H2248" t="s"/>
      <c r="I2248" t="s"/>
      <c r="J2248" t="n">
        <v>0.802</v>
      </c>
      <c r="K2248" t="n">
        <v>0</v>
      </c>
      <c r="L2248" t="n">
        <v>0.675</v>
      </c>
      <c r="M2248" t="n">
        <v>0.325</v>
      </c>
    </row>
    <row r="2249" spans="1:13">
      <c r="A2249" s="1">
        <f>HYPERLINK("http://www.twitter.com/NathanBLawrence/status/974330982202474496", "974330982202474496")</f>
        <v/>
      </c>
      <c r="B2249" s="2" t="n">
        <v>43174.7127662037</v>
      </c>
      <c r="C2249" t="n">
        <v>1</v>
      </c>
      <c r="D2249" t="n">
        <v>0</v>
      </c>
      <c r="E2249" t="s">
        <v>2252</v>
      </c>
      <c r="F2249" t="s"/>
      <c r="G2249" t="s"/>
      <c r="H2249" t="s"/>
      <c r="I2249" t="s"/>
      <c r="J2249" t="n">
        <v>0.6908</v>
      </c>
      <c r="K2249" t="n">
        <v>0</v>
      </c>
      <c r="L2249" t="n">
        <v>0.26</v>
      </c>
      <c r="M2249" t="n">
        <v>0.74</v>
      </c>
    </row>
    <row r="2250" spans="1:13">
      <c r="A2250" s="1">
        <f>HYPERLINK("http://www.twitter.com/NathanBLawrence/status/974330196689129472", "974330196689129472")</f>
        <v/>
      </c>
      <c r="B2250" s="2" t="n">
        <v>43174.71059027778</v>
      </c>
      <c r="C2250" t="n">
        <v>0</v>
      </c>
      <c r="D2250" t="n">
        <v>0</v>
      </c>
      <c r="E2250" t="s">
        <v>2253</v>
      </c>
      <c r="F2250" t="s"/>
      <c r="G2250" t="s"/>
      <c r="H2250" t="s"/>
      <c r="I2250" t="s"/>
      <c r="J2250" t="n">
        <v>0</v>
      </c>
      <c r="K2250" t="n">
        <v>0</v>
      </c>
      <c r="L2250" t="n">
        <v>1</v>
      </c>
      <c r="M2250" t="n">
        <v>0</v>
      </c>
    </row>
    <row r="2251" spans="1:13">
      <c r="A2251" s="1">
        <f>HYPERLINK("http://www.twitter.com/NathanBLawrence/status/974329325708341249", "974329325708341249")</f>
        <v/>
      </c>
      <c r="B2251" s="2" t="n">
        <v>43174.70819444444</v>
      </c>
      <c r="C2251" t="n">
        <v>1</v>
      </c>
      <c r="D2251" t="n">
        <v>0</v>
      </c>
      <c r="E2251" t="s">
        <v>2254</v>
      </c>
      <c r="F2251" t="s"/>
      <c r="G2251" t="s"/>
      <c r="H2251" t="s"/>
      <c r="I2251" t="s"/>
      <c r="J2251" t="n">
        <v>0</v>
      </c>
      <c r="K2251" t="n">
        <v>0</v>
      </c>
      <c r="L2251" t="n">
        <v>1</v>
      </c>
      <c r="M2251" t="n">
        <v>0</v>
      </c>
    </row>
    <row r="2252" spans="1:13">
      <c r="A2252" s="1">
        <f>HYPERLINK("http://www.twitter.com/NathanBLawrence/status/974328444409479173", "974328444409479173")</f>
        <v/>
      </c>
      <c r="B2252" s="2" t="n">
        <v>43174.70575231482</v>
      </c>
      <c r="C2252" t="n">
        <v>0</v>
      </c>
      <c r="D2252" t="n">
        <v>0</v>
      </c>
      <c r="E2252" t="s">
        <v>2255</v>
      </c>
      <c r="F2252" t="s"/>
      <c r="G2252" t="s"/>
      <c r="H2252" t="s"/>
      <c r="I2252" t="s"/>
      <c r="J2252" t="n">
        <v>0.2263</v>
      </c>
      <c r="K2252" t="n">
        <v>0.111</v>
      </c>
      <c r="L2252" t="n">
        <v>0.6909999999999999</v>
      </c>
      <c r="M2252" t="n">
        <v>0.198</v>
      </c>
    </row>
    <row r="2253" spans="1:13">
      <c r="A2253" s="1">
        <f>HYPERLINK("http://www.twitter.com/NathanBLawrence/status/974327848168316928", "974327848168316928")</f>
        <v/>
      </c>
      <c r="B2253" s="2" t="n">
        <v>43174.70410879629</v>
      </c>
      <c r="C2253" t="n">
        <v>0</v>
      </c>
      <c r="D2253" t="n">
        <v>0</v>
      </c>
      <c r="E2253" t="s">
        <v>2256</v>
      </c>
      <c r="F2253" t="s"/>
      <c r="G2253" t="s"/>
      <c r="H2253" t="s"/>
      <c r="I2253" t="s"/>
      <c r="J2253" t="n">
        <v>0.5311</v>
      </c>
      <c r="K2253" t="n">
        <v>0.067</v>
      </c>
      <c r="L2253" t="n">
        <v>0.805</v>
      </c>
      <c r="M2253" t="n">
        <v>0.127</v>
      </c>
    </row>
    <row r="2254" spans="1:13">
      <c r="A2254" s="1">
        <f>HYPERLINK("http://www.twitter.com/NathanBLawrence/status/974321656498880512", "974321656498880512")</f>
        <v/>
      </c>
      <c r="B2254" s="2" t="n">
        <v>43174.68702546296</v>
      </c>
      <c r="C2254" t="n">
        <v>1</v>
      </c>
      <c r="D2254" t="n">
        <v>0</v>
      </c>
      <c r="E2254" t="s">
        <v>2257</v>
      </c>
      <c r="F2254" t="s"/>
      <c r="G2254" t="s"/>
      <c r="H2254" t="s"/>
      <c r="I2254" t="s"/>
      <c r="J2254" t="n">
        <v>0</v>
      </c>
      <c r="K2254" t="n">
        <v>0</v>
      </c>
      <c r="L2254" t="n">
        <v>1</v>
      </c>
      <c r="M2254" t="n">
        <v>0</v>
      </c>
    </row>
    <row r="2255" spans="1:13">
      <c r="A2255" s="1">
        <f>HYPERLINK("http://www.twitter.com/NathanBLawrence/status/974321310628229125", "974321310628229125")</f>
        <v/>
      </c>
      <c r="B2255" s="2" t="n">
        <v>43174.68607638889</v>
      </c>
      <c r="C2255" t="n">
        <v>1</v>
      </c>
      <c r="D2255" t="n">
        <v>0</v>
      </c>
      <c r="E2255" t="s">
        <v>2258</v>
      </c>
      <c r="F2255" t="s"/>
      <c r="G2255" t="s"/>
      <c r="H2255" t="s"/>
      <c r="I2255" t="s"/>
      <c r="J2255" t="n">
        <v>0</v>
      </c>
      <c r="K2255" t="n">
        <v>0</v>
      </c>
      <c r="L2255" t="n">
        <v>1</v>
      </c>
      <c r="M2255" t="n">
        <v>0</v>
      </c>
    </row>
    <row r="2256" spans="1:13">
      <c r="A2256" s="1">
        <f>HYPERLINK("http://www.twitter.com/NathanBLawrence/status/974320157274333185", "974320157274333185")</f>
        <v/>
      </c>
      <c r="B2256" s="2" t="n">
        <v>43174.68289351852</v>
      </c>
      <c r="C2256" t="n">
        <v>1</v>
      </c>
      <c r="D2256" t="n">
        <v>0</v>
      </c>
      <c r="E2256" t="s">
        <v>2259</v>
      </c>
      <c r="F2256" t="s"/>
      <c r="G2256" t="s"/>
      <c r="H2256" t="s"/>
      <c r="I2256" t="s"/>
      <c r="J2256" t="n">
        <v>0.6988</v>
      </c>
      <c r="K2256" t="n">
        <v>0</v>
      </c>
      <c r="L2256" t="n">
        <v>0.295</v>
      </c>
      <c r="M2256" t="n">
        <v>0.705</v>
      </c>
    </row>
    <row r="2257" spans="1:13">
      <c r="A2257" s="1">
        <f>HYPERLINK("http://www.twitter.com/NathanBLawrence/status/974320078362640385", "974320078362640385")</f>
        <v/>
      </c>
      <c r="B2257" s="2" t="n">
        <v>43174.68267361111</v>
      </c>
      <c r="C2257" t="n">
        <v>0</v>
      </c>
      <c r="D2257" t="n">
        <v>1</v>
      </c>
      <c r="E2257" t="s">
        <v>2260</v>
      </c>
      <c r="F2257" t="s"/>
      <c r="G2257" t="s"/>
      <c r="H2257" t="s"/>
      <c r="I2257" t="s"/>
      <c r="J2257" t="n">
        <v>0.296</v>
      </c>
      <c r="K2257" t="n">
        <v>0</v>
      </c>
      <c r="L2257" t="n">
        <v>0.901</v>
      </c>
      <c r="M2257" t="n">
        <v>0.099</v>
      </c>
    </row>
    <row r="2258" spans="1:13">
      <c r="A2258" s="1">
        <f>HYPERLINK("http://www.twitter.com/NathanBLawrence/status/974320021504741378", "974320021504741378")</f>
        <v/>
      </c>
      <c r="B2258" s="2" t="n">
        <v>43174.68251157407</v>
      </c>
      <c r="C2258" t="n">
        <v>0</v>
      </c>
      <c r="D2258" t="n">
        <v>0</v>
      </c>
      <c r="E2258" t="s">
        <v>2261</v>
      </c>
      <c r="F2258" t="s"/>
      <c r="G2258" t="s"/>
      <c r="H2258" t="s"/>
      <c r="I2258" t="s"/>
      <c r="J2258" t="n">
        <v>-0.4877</v>
      </c>
      <c r="K2258" t="n">
        <v>0.174</v>
      </c>
      <c r="L2258" t="n">
        <v>0.826</v>
      </c>
      <c r="M2258" t="n">
        <v>0</v>
      </c>
    </row>
    <row r="2259" spans="1:13">
      <c r="A2259" s="1">
        <f>HYPERLINK("http://www.twitter.com/NathanBLawrence/status/974319775685005313", "974319775685005313")</f>
        <v/>
      </c>
      <c r="B2259" s="2" t="n">
        <v>43174.68184027778</v>
      </c>
      <c r="C2259" t="n">
        <v>0</v>
      </c>
      <c r="D2259" t="n">
        <v>1</v>
      </c>
      <c r="E2259" t="s">
        <v>2262</v>
      </c>
      <c r="F2259" t="s"/>
      <c r="G2259" t="s"/>
      <c r="H2259" t="s"/>
      <c r="I2259" t="s"/>
      <c r="J2259" t="n">
        <v>0</v>
      </c>
      <c r="K2259" t="n">
        <v>0</v>
      </c>
      <c r="L2259" t="n">
        <v>1</v>
      </c>
      <c r="M2259" t="n">
        <v>0</v>
      </c>
    </row>
    <row r="2260" spans="1:13">
      <c r="A2260" s="1">
        <f>HYPERLINK("http://www.twitter.com/NathanBLawrence/status/974318954180116483", "974318954180116483")</f>
        <v/>
      </c>
      <c r="B2260" s="2" t="n">
        <v>43174.67957175926</v>
      </c>
      <c r="C2260" t="n">
        <v>1</v>
      </c>
      <c r="D2260" t="n">
        <v>0</v>
      </c>
      <c r="E2260" t="s">
        <v>2263</v>
      </c>
      <c r="F2260" t="s"/>
      <c r="G2260" t="s"/>
      <c r="H2260" t="s"/>
      <c r="I2260" t="s"/>
      <c r="J2260" t="n">
        <v>0.8282</v>
      </c>
      <c r="K2260" t="n">
        <v>0.054</v>
      </c>
      <c r="L2260" t="n">
        <v>0.729</v>
      </c>
      <c r="M2260" t="n">
        <v>0.217</v>
      </c>
    </row>
    <row r="2261" spans="1:13">
      <c r="A2261" s="1">
        <f>HYPERLINK("http://www.twitter.com/NathanBLawrence/status/974317961967259650", "974317961967259650")</f>
        <v/>
      </c>
      <c r="B2261" s="2" t="n">
        <v>43174.6768287037</v>
      </c>
      <c r="C2261" t="n">
        <v>1</v>
      </c>
      <c r="D2261" t="n">
        <v>0</v>
      </c>
      <c r="E2261" t="s">
        <v>2264</v>
      </c>
      <c r="F2261" t="s"/>
      <c r="G2261" t="s"/>
      <c r="H2261" t="s"/>
      <c r="I2261" t="s"/>
      <c r="J2261" t="n">
        <v>0</v>
      </c>
      <c r="K2261" t="n">
        <v>0</v>
      </c>
      <c r="L2261" t="n">
        <v>1</v>
      </c>
      <c r="M2261" t="n">
        <v>0</v>
      </c>
    </row>
    <row r="2262" spans="1:13">
      <c r="A2262" s="1">
        <f>HYPERLINK("http://www.twitter.com/NathanBLawrence/status/974317847542349825", "974317847542349825")</f>
        <v/>
      </c>
      <c r="B2262" s="2" t="n">
        <v>43174.6765162037</v>
      </c>
      <c r="C2262" t="n">
        <v>0</v>
      </c>
      <c r="D2262" t="n">
        <v>7</v>
      </c>
      <c r="E2262" t="s">
        <v>2265</v>
      </c>
      <c r="F2262" t="s"/>
      <c r="G2262" t="s"/>
      <c r="H2262" t="s"/>
      <c r="I2262" t="s"/>
      <c r="J2262" t="n">
        <v>0</v>
      </c>
      <c r="K2262" t="n">
        <v>0</v>
      </c>
      <c r="L2262" t="n">
        <v>1</v>
      </c>
      <c r="M2262" t="n">
        <v>0</v>
      </c>
    </row>
    <row r="2263" spans="1:13">
      <c r="A2263" s="1">
        <f>HYPERLINK("http://www.twitter.com/NathanBLawrence/status/974317707364651009", "974317707364651009")</f>
        <v/>
      </c>
      <c r="B2263" s="2" t="n">
        <v>43174.67613425926</v>
      </c>
      <c r="C2263" t="n">
        <v>1</v>
      </c>
      <c r="D2263" t="n">
        <v>0</v>
      </c>
      <c r="E2263" t="s">
        <v>2266</v>
      </c>
      <c r="F2263" t="s"/>
      <c r="G2263" t="s"/>
      <c r="H2263" t="s"/>
      <c r="I2263" t="s"/>
      <c r="J2263" t="n">
        <v>-0.6476</v>
      </c>
      <c r="K2263" t="n">
        <v>0.398</v>
      </c>
      <c r="L2263" t="n">
        <v>0.602</v>
      </c>
      <c r="M2263" t="n">
        <v>0</v>
      </c>
    </row>
    <row r="2264" spans="1:13">
      <c r="A2264" s="1">
        <f>HYPERLINK("http://www.twitter.com/NathanBLawrence/status/974317428195975168", "974317428195975168")</f>
        <v/>
      </c>
      <c r="B2264" s="2" t="n">
        <v>43174.6753587963</v>
      </c>
      <c r="C2264" t="n">
        <v>0</v>
      </c>
      <c r="D2264" t="n">
        <v>0</v>
      </c>
      <c r="E2264" t="s">
        <v>2267</v>
      </c>
      <c r="F2264" t="s"/>
      <c r="G2264" t="s"/>
      <c r="H2264" t="s"/>
      <c r="I2264" t="s"/>
      <c r="J2264" t="n">
        <v>-0.25</v>
      </c>
      <c r="K2264" t="n">
        <v>0.167</v>
      </c>
      <c r="L2264" t="n">
        <v>0.833</v>
      </c>
      <c r="M2264" t="n">
        <v>0</v>
      </c>
    </row>
    <row r="2265" spans="1:13">
      <c r="A2265" s="1">
        <f>HYPERLINK("http://www.twitter.com/NathanBLawrence/status/974316895829667840", "974316895829667840")</f>
        <v/>
      </c>
      <c r="B2265" s="2" t="n">
        <v>43174.67388888889</v>
      </c>
      <c r="C2265" t="n">
        <v>1</v>
      </c>
      <c r="D2265" t="n">
        <v>0</v>
      </c>
      <c r="E2265" t="s">
        <v>2268</v>
      </c>
      <c r="F2265" t="s"/>
      <c r="G2265" t="s"/>
      <c r="H2265" t="s"/>
      <c r="I2265" t="s"/>
      <c r="J2265" t="n">
        <v>-0.3832</v>
      </c>
      <c r="K2265" t="n">
        <v>0.281</v>
      </c>
      <c r="L2265" t="n">
        <v>0.573</v>
      </c>
      <c r="M2265" t="n">
        <v>0.146</v>
      </c>
    </row>
    <row r="2266" spans="1:13">
      <c r="A2266" s="1">
        <f>HYPERLINK("http://www.twitter.com/NathanBLawrence/status/974315941872963584", "974315941872963584")</f>
        <v/>
      </c>
      <c r="B2266" s="2" t="n">
        <v>43174.67126157408</v>
      </c>
      <c r="C2266" t="n">
        <v>0</v>
      </c>
      <c r="D2266" t="n">
        <v>0</v>
      </c>
      <c r="E2266" t="s">
        <v>2269</v>
      </c>
      <c r="F2266" t="s"/>
      <c r="G2266" t="s"/>
      <c r="H2266" t="s"/>
      <c r="I2266" t="s"/>
      <c r="J2266" t="n">
        <v>-0.4871</v>
      </c>
      <c r="K2266" t="n">
        <v>0.196</v>
      </c>
      <c r="L2266" t="n">
        <v>0.703</v>
      </c>
      <c r="M2266" t="n">
        <v>0.101</v>
      </c>
    </row>
    <row r="2267" spans="1:13">
      <c r="A2267" s="1">
        <f>HYPERLINK("http://www.twitter.com/NathanBLawrence/status/974315077322108932", "974315077322108932")</f>
        <v/>
      </c>
      <c r="B2267" s="2" t="n">
        <v>43174.66886574074</v>
      </c>
      <c r="C2267" t="n">
        <v>1</v>
      </c>
      <c r="D2267" t="n">
        <v>0</v>
      </c>
      <c r="E2267" t="s">
        <v>2270</v>
      </c>
      <c r="F2267" t="s"/>
      <c r="G2267" t="s"/>
      <c r="H2267" t="s"/>
      <c r="I2267" t="s"/>
      <c r="J2267" t="n">
        <v>0</v>
      </c>
      <c r="K2267" t="n">
        <v>0</v>
      </c>
      <c r="L2267" t="n">
        <v>1</v>
      </c>
      <c r="M2267" t="n">
        <v>0</v>
      </c>
    </row>
    <row r="2268" spans="1:13">
      <c r="A2268" s="1">
        <f>HYPERLINK("http://www.twitter.com/NathanBLawrence/status/974312236498997248", "974312236498997248")</f>
        <v/>
      </c>
      <c r="B2268" s="2" t="n">
        <v>43174.66103009259</v>
      </c>
      <c r="C2268" t="n">
        <v>0</v>
      </c>
      <c r="D2268" t="n">
        <v>1</v>
      </c>
      <c r="E2268" t="s">
        <v>2271</v>
      </c>
      <c r="F2268" t="s"/>
      <c r="G2268" t="s"/>
      <c r="H2268" t="s"/>
      <c r="I2268" t="s"/>
      <c r="J2268" t="n">
        <v>0</v>
      </c>
      <c r="K2268" t="n">
        <v>0</v>
      </c>
      <c r="L2268" t="n">
        <v>1</v>
      </c>
      <c r="M2268" t="n">
        <v>0</v>
      </c>
    </row>
    <row r="2269" spans="1:13">
      <c r="A2269" s="1">
        <f>HYPERLINK("http://www.twitter.com/NathanBLawrence/status/974312208585904129", "974312208585904129")</f>
        <v/>
      </c>
      <c r="B2269" s="2" t="n">
        <v>43174.66096064815</v>
      </c>
      <c r="C2269" t="n">
        <v>0</v>
      </c>
      <c r="D2269" t="n">
        <v>6</v>
      </c>
      <c r="E2269" t="s">
        <v>2272</v>
      </c>
      <c r="F2269" t="s"/>
      <c r="G2269" t="s"/>
      <c r="H2269" t="s"/>
      <c r="I2269" t="s"/>
      <c r="J2269" t="n">
        <v>0</v>
      </c>
      <c r="K2269" t="n">
        <v>0</v>
      </c>
      <c r="L2269" t="n">
        <v>1</v>
      </c>
      <c r="M2269" t="n">
        <v>0</v>
      </c>
    </row>
    <row r="2270" spans="1:13">
      <c r="A2270" s="1">
        <f>HYPERLINK("http://www.twitter.com/NathanBLawrence/status/974312174733709312", "974312174733709312")</f>
        <v/>
      </c>
      <c r="B2270" s="2" t="n">
        <v>43174.66085648148</v>
      </c>
      <c r="C2270" t="n">
        <v>0</v>
      </c>
      <c r="D2270" t="n">
        <v>6</v>
      </c>
      <c r="E2270" t="s">
        <v>2273</v>
      </c>
      <c r="F2270" t="s"/>
      <c r="G2270" t="s"/>
      <c r="H2270" t="s"/>
      <c r="I2270" t="s"/>
      <c r="J2270" t="n">
        <v>0</v>
      </c>
      <c r="K2270" t="n">
        <v>0</v>
      </c>
      <c r="L2270" t="n">
        <v>1</v>
      </c>
      <c r="M2270" t="n">
        <v>0</v>
      </c>
    </row>
    <row r="2271" spans="1:13">
      <c r="A2271" s="1">
        <f>HYPERLINK("http://www.twitter.com/NathanBLawrence/status/974312116739026944", "974312116739026944")</f>
        <v/>
      </c>
      <c r="B2271" s="2" t="n">
        <v>43174.66070601852</v>
      </c>
      <c r="C2271" t="n">
        <v>0</v>
      </c>
      <c r="D2271" t="n">
        <v>12</v>
      </c>
      <c r="E2271" t="s">
        <v>2274</v>
      </c>
      <c r="F2271" t="s"/>
      <c r="G2271" t="s"/>
      <c r="H2271" t="s"/>
      <c r="I2271" t="s"/>
      <c r="J2271" t="n">
        <v>0.9118000000000001</v>
      </c>
      <c r="K2271" t="n">
        <v>0</v>
      </c>
      <c r="L2271" t="n">
        <v>0.556</v>
      </c>
      <c r="M2271" t="n">
        <v>0.444</v>
      </c>
    </row>
    <row r="2272" spans="1:13">
      <c r="A2272" s="1">
        <f>HYPERLINK("http://www.twitter.com/NathanBLawrence/status/974304190234349568", "974304190234349568")</f>
        <v/>
      </c>
      <c r="B2272" s="2" t="n">
        <v>43174.63883101852</v>
      </c>
      <c r="C2272" t="n">
        <v>0</v>
      </c>
      <c r="D2272" t="n">
        <v>0</v>
      </c>
      <c r="E2272" t="s">
        <v>2275</v>
      </c>
      <c r="F2272" t="s"/>
      <c r="G2272" t="s"/>
      <c r="H2272" t="s"/>
      <c r="I2272" t="s"/>
      <c r="J2272" t="n">
        <v>-0.5508999999999999</v>
      </c>
      <c r="K2272" t="n">
        <v>0.267</v>
      </c>
      <c r="L2272" t="n">
        <v>0.573</v>
      </c>
      <c r="M2272" t="n">
        <v>0.16</v>
      </c>
    </row>
    <row r="2273" spans="1:13">
      <c r="A2273" s="1">
        <f>HYPERLINK("http://www.twitter.com/NathanBLawrence/status/974303659222863872", "974303659222863872")</f>
        <v/>
      </c>
      <c r="B2273" s="2" t="n">
        <v>43174.63736111111</v>
      </c>
      <c r="C2273" t="n">
        <v>0</v>
      </c>
      <c r="D2273" t="n">
        <v>0</v>
      </c>
      <c r="E2273" t="s">
        <v>2276</v>
      </c>
      <c r="F2273" t="s"/>
      <c r="G2273" t="s"/>
      <c r="H2273" t="s"/>
      <c r="I2273" t="s"/>
      <c r="J2273" t="n">
        <v>0.4019</v>
      </c>
      <c r="K2273" t="n">
        <v>0.135</v>
      </c>
      <c r="L2273" t="n">
        <v>0.605</v>
      </c>
      <c r="M2273" t="n">
        <v>0.26</v>
      </c>
    </row>
    <row r="2274" spans="1:13">
      <c r="A2274" s="1">
        <f>HYPERLINK("http://www.twitter.com/NathanBLawrence/status/974303456935710720", "974303456935710720")</f>
        <v/>
      </c>
      <c r="B2274" s="2" t="n">
        <v>43174.63680555556</v>
      </c>
      <c r="C2274" t="n">
        <v>1</v>
      </c>
      <c r="D2274" t="n">
        <v>0</v>
      </c>
      <c r="E2274" t="s">
        <v>2277</v>
      </c>
      <c r="F2274" t="s"/>
      <c r="G2274" t="s"/>
      <c r="H2274" t="s"/>
      <c r="I2274" t="s"/>
      <c r="J2274" t="n">
        <v>-0.3543</v>
      </c>
      <c r="K2274" t="n">
        <v>0.22</v>
      </c>
      <c r="L2274" t="n">
        <v>0.655</v>
      </c>
      <c r="M2274" t="n">
        <v>0.125</v>
      </c>
    </row>
    <row r="2275" spans="1:13">
      <c r="A2275" s="1">
        <f>HYPERLINK("http://www.twitter.com/NathanBLawrence/status/974301835551965185", "974301835551965185")</f>
        <v/>
      </c>
      <c r="B2275" s="2" t="n">
        <v>43174.63232638889</v>
      </c>
      <c r="C2275" t="n">
        <v>0</v>
      </c>
      <c r="D2275" t="n">
        <v>0</v>
      </c>
      <c r="E2275" t="s">
        <v>2278</v>
      </c>
      <c r="F2275" t="s"/>
      <c r="G2275" t="s"/>
      <c r="H2275" t="s"/>
      <c r="I2275" t="s"/>
      <c r="J2275" t="n">
        <v>0</v>
      </c>
      <c r="K2275" t="n">
        <v>0</v>
      </c>
      <c r="L2275" t="n">
        <v>1</v>
      </c>
      <c r="M2275" t="n">
        <v>0</v>
      </c>
    </row>
    <row r="2276" spans="1:13">
      <c r="A2276" s="1">
        <f>HYPERLINK("http://www.twitter.com/NathanBLawrence/status/974300780114137088", "974300780114137088")</f>
        <v/>
      </c>
      <c r="B2276" s="2" t="n">
        <v>43174.6294212963</v>
      </c>
      <c r="C2276" t="n">
        <v>0</v>
      </c>
      <c r="D2276" t="n">
        <v>0</v>
      </c>
      <c r="E2276" t="s">
        <v>2279</v>
      </c>
      <c r="F2276" t="s"/>
      <c r="G2276" t="s"/>
      <c r="H2276" t="s"/>
      <c r="I2276" t="s"/>
      <c r="J2276" t="n">
        <v>0.296</v>
      </c>
      <c r="K2276" t="n">
        <v>0</v>
      </c>
      <c r="L2276" t="n">
        <v>0.784</v>
      </c>
      <c r="M2276" t="n">
        <v>0.216</v>
      </c>
    </row>
    <row r="2277" spans="1:13">
      <c r="A2277" s="1">
        <f>HYPERLINK("http://www.twitter.com/NathanBLawrence/status/974300227069992960", "974300227069992960")</f>
        <v/>
      </c>
      <c r="B2277" s="2" t="n">
        <v>43174.62789351852</v>
      </c>
      <c r="C2277" t="n">
        <v>1</v>
      </c>
      <c r="D2277" t="n">
        <v>0</v>
      </c>
      <c r="E2277" t="s">
        <v>2280</v>
      </c>
      <c r="F2277" t="s"/>
      <c r="G2277" t="s"/>
      <c r="H2277" t="s"/>
      <c r="I2277" t="s"/>
      <c r="J2277" t="n">
        <v>0.7176</v>
      </c>
      <c r="K2277" t="n">
        <v>0</v>
      </c>
      <c r="L2277" t="n">
        <v>0.834</v>
      </c>
      <c r="M2277" t="n">
        <v>0.166</v>
      </c>
    </row>
    <row r="2278" spans="1:13">
      <c r="A2278" s="1">
        <f>HYPERLINK("http://www.twitter.com/NathanBLawrence/status/974298978757038085", "974298978757038085")</f>
        <v/>
      </c>
      <c r="B2278" s="2" t="n">
        <v>43174.62444444445</v>
      </c>
      <c r="C2278" t="n">
        <v>0</v>
      </c>
      <c r="D2278" t="n">
        <v>0</v>
      </c>
      <c r="E2278" t="s">
        <v>2281</v>
      </c>
      <c r="F2278" t="s"/>
      <c r="G2278" t="s"/>
      <c r="H2278" t="s"/>
      <c r="I2278" t="s"/>
      <c r="J2278" t="n">
        <v>-0.5266999999999999</v>
      </c>
      <c r="K2278" t="n">
        <v>0.327</v>
      </c>
      <c r="L2278" t="n">
        <v>0.673</v>
      </c>
      <c r="M2278" t="n">
        <v>0</v>
      </c>
    </row>
    <row r="2279" spans="1:13">
      <c r="A2279" s="1">
        <f>HYPERLINK("http://www.twitter.com/NathanBLawrence/status/974298542058754048", "974298542058754048")</f>
        <v/>
      </c>
      <c r="B2279" s="2" t="n">
        <v>43174.62324074074</v>
      </c>
      <c r="C2279" t="n">
        <v>0</v>
      </c>
      <c r="D2279" t="n">
        <v>0</v>
      </c>
      <c r="E2279" t="s">
        <v>2282</v>
      </c>
      <c r="F2279" t="s"/>
      <c r="G2279" t="s"/>
      <c r="H2279" t="s"/>
      <c r="I2279" t="s"/>
      <c r="J2279" t="n">
        <v>0.8225</v>
      </c>
      <c r="K2279" t="n">
        <v>0</v>
      </c>
      <c r="L2279" t="n">
        <v>0.441</v>
      </c>
      <c r="M2279" t="n">
        <v>0.5590000000000001</v>
      </c>
    </row>
    <row r="2280" spans="1:13">
      <c r="A2280" s="1">
        <f>HYPERLINK("http://www.twitter.com/NathanBLawrence/status/974298234905661440", "974298234905661440")</f>
        <v/>
      </c>
      <c r="B2280" s="2" t="n">
        <v>43174.62239583334</v>
      </c>
      <c r="C2280" t="n">
        <v>0</v>
      </c>
      <c r="D2280" t="n">
        <v>0</v>
      </c>
      <c r="E2280" t="s">
        <v>2283</v>
      </c>
      <c r="F2280" t="s"/>
      <c r="G2280" t="s"/>
      <c r="H2280" t="s"/>
      <c r="I2280" t="s"/>
      <c r="J2280" t="n">
        <v>0.296</v>
      </c>
      <c r="K2280" t="n">
        <v>0.057</v>
      </c>
      <c r="L2280" t="n">
        <v>0.831</v>
      </c>
      <c r="M2280" t="n">
        <v>0.112</v>
      </c>
    </row>
    <row r="2281" spans="1:13">
      <c r="A2281" s="1">
        <f>HYPERLINK("http://www.twitter.com/NathanBLawrence/status/974296903386091520", "974296903386091520")</f>
        <v/>
      </c>
      <c r="B2281" s="2" t="n">
        <v>43174.61871527778</v>
      </c>
      <c r="C2281" t="n">
        <v>0</v>
      </c>
      <c r="D2281" t="n">
        <v>0</v>
      </c>
      <c r="E2281" t="s">
        <v>2284</v>
      </c>
      <c r="F2281" t="s"/>
      <c r="G2281" t="s"/>
      <c r="H2281" t="s"/>
      <c r="I2281" t="s"/>
      <c r="J2281" t="n">
        <v>0</v>
      </c>
      <c r="K2281" t="n">
        <v>0</v>
      </c>
      <c r="L2281" t="n">
        <v>1</v>
      </c>
      <c r="M2281" t="n">
        <v>0</v>
      </c>
    </row>
    <row r="2282" spans="1:13">
      <c r="A2282" s="1">
        <f>HYPERLINK("http://www.twitter.com/NathanBLawrence/status/974295480959164416", "974295480959164416")</f>
        <v/>
      </c>
      <c r="B2282" s="2" t="n">
        <v>43174.61479166667</v>
      </c>
      <c r="C2282" t="n">
        <v>0</v>
      </c>
      <c r="D2282" t="n">
        <v>0</v>
      </c>
      <c r="E2282" t="s">
        <v>2285</v>
      </c>
      <c r="F2282" t="s"/>
      <c r="G2282" t="s"/>
      <c r="H2282" t="s"/>
      <c r="I2282" t="s"/>
      <c r="J2282" t="n">
        <v>0.3612</v>
      </c>
      <c r="K2282" t="n">
        <v>0</v>
      </c>
      <c r="L2282" t="n">
        <v>0.8149999999999999</v>
      </c>
      <c r="M2282" t="n">
        <v>0.185</v>
      </c>
    </row>
    <row r="2283" spans="1:13">
      <c r="A2283" s="1">
        <f>HYPERLINK("http://www.twitter.com/NathanBLawrence/status/974295341070798848", "974295341070798848")</f>
        <v/>
      </c>
      <c r="B2283" s="2" t="n">
        <v>43174.61440972222</v>
      </c>
      <c r="C2283" t="n">
        <v>0</v>
      </c>
      <c r="D2283" t="n">
        <v>1</v>
      </c>
      <c r="E2283" t="s">
        <v>2286</v>
      </c>
      <c r="F2283" t="s"/>
      <c r="G2283" t="s"/>
      <c r="H2283" t="s"/>
      <c r="I2283" t="s"/>
      <c r="J2283" t="n">
        <v>0.144</v>
      </c>
      <c r="K2283" t="n">
        <v>0</v>
      </c>
      <c r="L2283" t="n">
        <v>0.9409999999999999</v>
      </c>
      <c r="M2283" t="n">
        <v>0.059</v>
      </c>
    </row>
    <row r="2284" spans="1:13">
      <c r="A2284" s="1">
        <f>HYPERLINK("http://www.twitter.com/NathanBLawrence/status/974295122186731526", "974295122186731526")</f>
        <v/>
      </c>
      <c r="B2284" s="2" t="n">
        <v>43174.61380787037</v>
      </c>
      <c r="C2284" t="n">
        <v>0</v>
      </c>
      <c r="D2284" t="n">
        <v>0</v>
      </c>
      <c r="E2284" t="s">
        <v>2287</v>
      </c>
      <c r="F2284" t="s"/>
      <c r="G2284" t="s"/>
      <c r="H2284" t="s"/>
      <c r="I2284" t="s"/>
      <c r="J2284" t="n">
        <v>0.296</v>
      </c>
      <c r="K2284" t="n">
        <v>0</v>
      </c>
      <c r="L2284" t="n">
        <v>0.732</v>
      </c>
      <c r="M2284" t="n">
        <v>0.268</v>
      </c>
    </row>
    <row r="2285" spans="1:13">
      <c r="A2285" s="1">
        <f>HYPERLINK("http://www.twitter.com/NathanBLawrence/status/974294630824136704", "974294630824136704")</f>
        <v/>
      </c>
      <c r="B2285" s="2" t="n">
        <v>43174.6124537037</v>
      </c>
      <c r="C2285" t="n">
        <v>0</v>
      </c>
      <c r="D2285" t="n">
        <v>0</v>
      </c>
      <c r="E2285" t="s">
        <v>2288</v>
      </c>
      <c r="F2285" t="s"/>
      <c r="G2285" t="s"/>
      <c r="H2285" t="s"/>
      <c r="I2285" t="s"/>
      <c r="J2285" t="n">
        <v>0</v>
      </c>
      <c r="K2285" t="n">
        <v>0</v>
      </c>
      <c r="L2285" t="n">
        <v>1</v>
      </c>
      <c r="M2285" t="n">
        <v>0</v>
      </c>
    </row>
    <row r="2286" spans="1:13">
      <c r="A2286" s="1">
        <f>HYPERLINK("http://www.twitter.com/NathanBLawrence/status/974294199016226817", "974294199016226817")</f>
        <v/>
      </c>
      <c r="B2286" s="2" t="n">
        <v>43174.61126157407</v>
      </c>
      <c r="C2286" t="n">
        <v>0</v>
      </c>
      <c r="D2286" t="n">
        <v>0</v>
      </c>
      <c r="E2286" t="s">
        <v>2289</v>
      </c>
      <c r="F2286" t="s"/>
      <c r="G2286" t="s"/>
      <c r="H2286" t="s"/>
      <c r="I2286" t="s"/>
      <c r="J2286" t="n">
        <v>0</v>
      </c>
      <c r="K2286" t="n">
        <v>0</v>
      </c>
      <c r="L2286" t="n">
        <v>1</v>
      </c>
      <c r="M2286" t="n">
        <v>0</v>
      </c>
    </row>
    <row r="2287" spans="1:13">
      <c r="A2287" s="1">
        <f>HYPERLINK("http://www.twitter.com/NathanBLawrence/status/974293972502884352", "974293972502884352")</f>
        <v/>
      </c>
      <c r="B2287" s="2" t="n">
        <v>43174.61063657407</v>
      </c>
      <c r="C2287" t="n">
        <v>0</v>
      </c>
      <c r="D2287" t="n">
        <v>0</v>
      </c>
      <c r="E2287" t="s">
        <v>2290</v>
      </c>
      <c r="F2287" t="s"/>
      <c r="G2287" t="s"/>
      <c r="H2287" t="s"/>
      <c r="I2287" t="s"/>
      <c r="J2287" t="n">
        <v>0</v>
      </c>
      <c r="K2287" t="n">
        <v>0</v>
      </c>
      <c r="L2287" t="n">
        <v>1</v>
      </c>
      <c r="M2287" t="n">
        <v>0</v>
      </c>
    </row>
    <row r="2288" spans="1:13">
      <c r="A2288" s="1">
        <f>HYPERLINK("http://www.twitter.com/NathanBLawrence/status/974293709222236160", "974293709222236160")</f>
        <v/>
      </c>
      <c r="B2288" s="2" t="n">
        <v>43174.60990740741</v>
      </c>
      <c r="C2288" t="n">
        <v>0</v>
      </c>
      <c r="D2288" t="n">
        <v>16</v>
      </c>
      <c r="E2288" t="s">
        <v>2291</v>
      </c>
      <c r="F2288" t="s"/>
      <c r="G2288" t="s"/>
      <c r="H2288" t="s"/>
      <c r="I2288" t="s"/>
      <c r="J2288" t="n">
        <v>-0.4588</v>
      </c>
      <c r="K2288" t="n">
        <v>0.115</v>
      </c>
      <c r="L2288" t="n">
        <v>0.885</v>
      </c>
      <c r="M2288" t="n">
        <v>0</v>
      </c>
    </row>
    <row r="2289" spans="1:13">
      <c r="A2289" s="1">
        <f>HYPERLINK("http://www.twitter.com/NathanBLawrence/status/974293460030251008", "974293460030251008")</f>
        <v/>
      </c>
      <c r="B2289" s="2" t="n">
        <v>43174.60922453704</v>
      </c>
      <c r="C2289" t="n">
        <v>0</v>
      </c>
      <c r="D2289" t="n">
        <v>0</v>
      </c>
      <c r="E2289" t="s">
        <v>2292</v>
      </c>
      <c r="F2289" t="s"/>
      <c r="G2289" t="s"/>
      <c r="H2289" t="s"/>
      <c r="I2289" t="s"/>
      <c r="J2289" t="n">
        <v>-0.2023</v>
      </c>
      <c r="K2289" t="n">
        <v>0.108</v>
      </c>
      <c r="L2289" t="n">
        <v>0.825</v>
      </c>
      <c r="M2289" t="n">
        <v>0.067</v>
      </c>
    </row>
    <row r="2290" spans="1:13">
      <c r="A2290" s="1">
        <f>HYPERLINK("http://www.twitter.com/NathanBLawrence/status/974292925705318400", "974292925705318400")</f>
        <v/>
      </c>
      <c r="B2290" s="2" t="n">
        <v>43174.60774305555</v>
      </c>
      <c r="C2290" t="n">
        <v>0</v>
      </c>
      <c r="D2290" t="n">
        <v>0</v>
      </c>
      <c r="E2290" t="s">
        <v>2293</v>
      </c>
      <c r="F2290" t="s"/>
      <c r="G2290" t="s"/>
      <c r="H2290" t="s"/>
      <c r="I2290" t="s"/>
      <c r="J2290" t="n">
        <v>-0.6687</v>
      </c>
      <c r="K2290" t="n">
        <v>0.209</v>
      </c>
      <c r="L2290" t="n">
        <v>0.791</v>
      </c>
      <c r="M2290" t="n">
        <v>0</v>
      </c>
    </row>
    <row r="2291" spans="1:13">
      <c r="A2291" s="1">
        <f>HYPERLINK("http://www.twitter.com/NathanBLawrence/status/974292494690213888", "974292494690213888")</f>
        <v/>
      </c>
      <c r="B2291" s="2" t="n">
        <v>43174.60655092593</v>
      </c>
      <c r="C2291" t="n">
        <v>0</v>
      </c>
      <c r="D2291" t="n">
        <v>52</v>
      </c>
      <c r="E2291" t="s">
        <v>2294</v>
      </c>
      <c r="F2291" t="s"/>
      <c r="G2291" t="s"/>
      <c r="H2291" t="s"/>
      <c r="I2291" t="s"/>
      <c r="J2291" t="n">
        <v>-0.7717000000000001</v>
      </c>
      <c r="K2291" t="n">
        <v>0.309</v>
      </c>
      <c r="L2291" t="n">
        <v>0.6909999999999999</v>
      </c>
      <c r="M2291" t="n">
        <v>0</v>
      </c>
    </row>
    <row r="2292" spans="1:13">
      <c r="A2292" s="1">
        <f>HYPERLINK("http://www.twitter.com/NathanBLawrence/status/974292316893646848", "974292316893646848")</f>
        <v/>
      </c>
      <c r="B2292" s="2" t="n">
        <v>43174.60606481481</v>
      </c>
      <c r="C2292" t="n">
        <v>0</v>
      </c>
      <c r="D2292" t="n">
        <v>0</v>
      </c>
      <c r="E2292" t="s">
        <v>2295</v>
      </c>
      <c r="F2292" t="s"/>
      <c r="G2292" t="s"/>
      <c r="H2292" t="s"/>
      <c r="I2292" t="s"/>
      <c r="J2292" t="n">
        <v>0</v>
      </c>
      <c r="K2292" t="n">
        <v>0</v>
      </c>
      <c r="L2292" t="n">
        <v>1</v>
      </c>
      <c r="M2292" t="n">
        <v>0</v>
      </c>
    </row>
    <row r="2293" spans="1:13">
      <c r="A2293" s="1">
        <f>HYPERLINK("http://www.twitter.com/NathanBLawrence/status/974292178330669056", "974292178330669056")</f>
        <v/>
      </c>
      <c r="B2293" s="2" t="n">
        <v>43174.60568287037</v>
      </c>
      <c r="C2293" t="n">
        <v>0</v>
      </c>
      <c r="D2293" t="n">
        <v>1</v>
      </c>
      <c r="E2293" t="s">
        <v>2296</v>
      </c>
      <c r="F2293" t="s"/>
      <c r="G2293" t="s"/>
      <c r="H2293" t="s"/>
      <c r="I2293" t="s"/>
      <c r="J2293" t="n">
        <v>0.6476</v>
      </c>
      <c r="K2293" t="n">
        <v>0</v>
      </c>
      <c r="L2293" t="n">
        <v>0.837</v>
      </c>
      <c r="M2293" t="n">
        <v>0.163</v>
      </c>
    </row>
    <row r="2294" spans="1:13">
      <c r="A2294" s="1">
        <f>HYPERLINK("http://www.twitter.com/NathanBLawrence/status/974292119102910464", "974292119102910464")</f>
        <v/>
      </c>
      <c r="B2294" s="2" t="n">
        <v>43174.60552083333</v>
      </c>
      <c r="C2294" t="n">
        <v>0</v>
      </c>
      <c r="D2294" t="n">
        <v>0</v>
      </c>
      <c r="E2294" t="s">
        <v>2297</v>
      </c>
      <c r="F2294" t="s"/>
      <c r="G2294" t="s"/>
      <c r="H2294" t="s"/>
      <c r="I2294" t="s"/>
      <c r="J2294" t="n">
        <v>0</v>
      </c>
      <c r="K2294" t="n">
        <v>0</v>
      </c>
      <c r="L2294" t="n">
        <v>1</v>
      </c>
      <c r="M2294" t="n">
        <v>0</v>
      </c>
    </row>
    <row r="2295" spans="1:13">
      <c r="A2295" s="1">
        <f>HYPERLINK("http://www.twitter.com/NathanBLawrence/status/974291736590680064", "974291736590680064")</f>
        <v/>
      </c>
      <c r="B2295" s="2" t="n">
        <v>43174.6044675926</v>
      </c>
      <c r="C2295" t="n">
        <v>0</v>
      </c>
      <c r="D2295" t="n">
        <v>0</v>
      </c>
      <c r="E2295" t="s">
        <v>2298</v>
      </c>
      <c r="F2295" t="s"/>
      <c r="G2295" t="s"/>
      <c r="H2295" t="s"/>
      <c r="I2295" t="s"/>
      <c r="J2295" t="n">
        <v>-0.5994</v>
      </c>
      <c r="K2295" t="n">
        <v>0.302</v>
      </c>
      <c r="L2295" t="n">
        <v>0.698</v>
      </c>
      <c r="M2295" t="n">
        <v>0</v>
      </c>
    </row>
    <row r="2296" spans="1:13">
      <c r="A2296" s="1">
        <f>HYPERLINK("http://www.twitter.com/NathanBLawrence/status/974291495351214080", "974291495351214080")</f>
        <v/>
      </c>
      <c r="B2296" s="2" t="n">
        <v>43174.60379629629</v>
      </c>
      <c r="C2296" t="n">
        <v>1</v>
      </c>
      <c r="D2296" t="n">
        <v>0</v>
      </c>
      <c r="E2296" t="s">
        <v>2299</v>
      </c>
      <c r="F2296" t="s"/>
      <c r="G2296" t="s"/>
      <c r="H2296" t="s"/>
      <c r="I2296" t="s"/>
      <c r="J2296" t="n">
        <v>0</v>
      </c>
      <c r="K2296" t="n">
        <v>0</v>
      </c>
      <c r="L2296" t="n">
        <v>1</v>
      </c>
      <c r="M2296" t="n">
        <v>0</v>
      </c>
    </row>
    <row r="2297" spans="1:13">
      <c r="A2297" s="1">
        <f>HYPERLINK("http://www.twitter.com/NathanBLawrence/status/974291022577618944", "974291022577618944")</f>
        <v/>
      </c>
      <c r="B2297" s="2" t="n">
        <v>43174.60248842592</v>
      </c>
      <c r="C2297" t="n">
        <v>0</v>
      </c>
      <c r="D2297" t="n">
        <v>0</v>
      </c>
      <c r="E2297" t="s">
        <v>2300</v>
      </c>
      <c r="F2297" t="s"/>
      <c r="G2297" t="s"/>
      <c r="H2297" t="s"/>
      <c r="I2297" t="s"/>
      <c r="J2297" t="n">
        <v>-0.8442</v>
      </c>
      <c r="K2297" t="n">
        <v>0.216</v>
      </c>
      <c r="L2297" t="n">
        <v>0.784</v>
      </c>
      <c r="M2297" t="n">
        <v>0</v>
      </c>
    </row>
    <row r="2298" spans="1:13">
      <c r="A2298" s="1">
        <f>HYPERLINK("http://www.twitter.com/NathanBLawrence/status/974290231741558784", "974290231741558784")</f>
        <v/>
      </c>
      <c r="B2298" s="2" t="n">
        <v>43174.6003125</v>
      </c>
      <c r="C2298" t="n">
        <v>0</v>
      </c>
      <c r="D2298" t="n">
        <v>0</v>
      </c>
      <c r="E2298" t="s">
        <v>2301</v>
      </c>
      <c r="F2298" t="s"/>
      <c r="G2298" t="s"/>
      <c r="H2298" t="s"/>
      <c r="I2298" t="s"/>
      <c r="J2298" t="n">
        <v>-0.6697</v>
      </c>
      <c r="K2298" t="n">
        <v>0.25</v>
      </c>
      <c r="L2298" t="n">
        <v>0.668</v>
      </c>
      <c r="M2298" t="n">
        <v>0.083</v>
      </c>
    </row>
    <row r="2299" spans="1:13">
      <c r="A2299" s="1">
        <f>HYPERLINK("http://www.twitter.com/NathanBLawrence/status/974289774415560704", "974289774415560704")</f>
        <v/>
      </c>
      <c r="B2299" s="2" t="n">
        <v>43174.59905092593</v>
      </c>
      <c r="C2299" t="n">
        <v>0</v>
      </c>
      <c r="D2299" t="n">
        <v>0</v>
      </c>
      <c r="E2299" t="s">
        <v>2302</v>
      </c>
      <c r="F2299" t="s"/>
      <c r="G2299" t="s"/>
      <c r="H2299" t="s"/>
      <c r="I2299" t="s"/>
      <c r="J2299" t="n">
        <v>-0.1027</v>
      </c>
      <c r="K2299" t="n">
        <v>0.092</v>
      </c>
      <c r="L2299" t="n">
        <v>0.828</v>
      </c>
      <c r="M2299" t="n">
        <v>0.08</v>
      </c>
    </row>
    <row r="2300" spans="1:13">
      <c r="A2300" s="1">
        <f>HYPERLINK("http://www.twitter.com/NathanBLawrence/status/974289112571219968", "974289112571219968")</f>
        <v/>
      </c>
      <c r="B2300" s="2" t="n">
        <v>43174.59722222222</v>
      </c>
      <c r="C2300" t="n">
        <v>0</v>
      </c>
      <c r="D2300" t="n">
        <v>0</v>
      </c>
      <c r="E2300" t="s">
        <v>2303</v>
      </c>
      <c r="F2300" t="s"/>
      <c r="G2300" t="s"/>
      <c r="H2300" t="s"/>
      <c r="I2300" t="s"/>
      <c r="J2300" t="n">
        <v>0</v>
      </c>
      <c r="K2300" t="n">
        <v>0</v>
      </c>
      <c r="L2300" t="n">
        <v>1</v>
      </c>
      <c r="M2300" t="n">
        <v>0</v>
      </c>
    </row>
    <row r="2301" spans="1:13">
      <c r="A2301" s="1">
        <f>HYPERLINK("http://www.twitter.com/NathanBLawrence/status/974289011379499008", "974289011379499008")</f>
        <v/>
      </c>
      <c r="B2301" s="2" t="n">
        <v>43174.59694444444</v>
      </c>
      <c r="C2301" t="n">
        <v>0</v>
      </c>
      <c r="D2301" t="n">
        <v>0</v>
      </c>
      <c r="E2301" t="s">
        <v>2304</v>
      </c>
      <c r="F2301" t="s"/>
      <c r="G2301" t="s"/>
      <c r="H2301" t="s"/>
      <c r="I2301" t="s"/>
      <c r="J2301" t="n">
        <v>-0.4939</v>
      </c>
      <c r="K2301" t="n">
        <v>0.127</v>
      </c>
      <c r="L2301" t="n">
        <v>0.873</v>
      </c>
      <c r="M2301" t="n">
        <v>0</v>
      </c>
    </row>
    <row r="2302" spans="1:13">
      <c r="A2302" s="1">
        <f>HYPERLINK("http://www.twitter.com/NathanBLawrence/status/974284364493320193", "974284364493320193")</f>
        <v/>
      </c>
      <c r="B2302" s="2" t="n">
        <v>43174.58412037037</v>
      </c>
      <c r="C2302" t="n">
        <v>0</v>
      </c>
      <c r="D2302" t="n">
        <v>0</v>
      </c>
      <c r="E2302" t="s">
        <v>2305</v>
      </c>
      <c r="F2302" t="s"/>
      <c r="G2302" t="s"/>
      <c r="H2302" t="s"/>
      <c r="I2302" t="s"/>
      <c r="J2302" t="n">
        <v>0</v>
      </c>
      <c r="K2302" t="n">
        <v>0</v>
      </c>
      <c r="L2302" t="n">
        <v>1</v>
      </c>
      <c r="M2302" t="n">
        <v>0</v>
      </c>
    </row>
    <row r="2303" spans="1:13">
      <c r="A2303" s="1">
        <f>HYPERLINK("http://www.twitter.com/NathanBLawrence/status/974284195559280641", "974284195559280641")</f>
        <v/>
      </c>
      <c r="B2303" s="2" t="n">
        <v>43174.58365740741</v>
      </c>
      <c r="C2303" t="n">
        <v>0</v>
      </c>
      <c r="D2303" t="n">
        <v>26868</v>
      </c>
      <c r="E2303" t="s">
        <v>2306</v>
      </c>
      <c r="F2303" t="s"/>
      <c r="G2303" t="s"/>
      <c r="H2303" t="s"/>
      <c r="I2303" t="s"/>
      <c r="J2303" t="n">
        <v>-0.7906</v>
      </c>
      <c r="K2303" t="n">
        <v>0.332</v>
      </c>
      <c r="L2303" t="n">
        <v>0.57</v>
      </c>
      <c r="M2303" t="n">
        <v>0.097</v>
      </c>
    </row>
    <row r="2304" spans="1:13">
      <c r="A2304" s="1">
        <f>HYPERLINK("http://www.twitter.com/NathanBLawrence/status/974283907452502022", "974283907452502022")</f>
        <v/>
      </c>
      <c r="B2304" s="2" t="n">
        <v>43174.5828587963</v>
      </c>
      <c r="C2304" t="n">
        <v>0</v>
      </c>
      <c r="D2304" t="n">
        <v>1255</v>
      </c>
      <c r="E2304" t="s">
        <v>2307</v>
      </c>
      <c r="F2304" t="s"/>
      <c r="G2304" t="s"/>
      <c r="H2304" t="s"/>
      <c r="I2304" t="s"/>
      <c r="J2304" t="n">
        <v>0.0498</v>
      </c>
      <c r="K2304" t="n">
        <v>0.11</v>
      </c>
      <c r="L2304" t="n">
        <v>0.772</v>
      </c>
      <c r="M2304" t="n">
        <v>0.117</v>
      </c>
    </row>
    <row r="2305" spans="1:13">
      <c r="A2305" s="1">
        <f>HYPERLINK("http://www.twitter.com/NathanBLawrence/status/974283120571748352", "974283120571748352")</f>
        <v/>
      </c>
      <c r="B2305" s="2" t="n">
        <v>43174.58068287037</v>
      </c>
      <c r="C2305" t="n">
        <v>0</v>
      </c>
      <c r="D2305" t="n">
        <v>2</v>
      </c>
      <c r="E2305" t="s">
        <v>2308</v>
      </c>
      <c r="F2305" t="s"/>
      <c r="G2305" t="s"/>
      <c r="H2305" t="s"/>
      <c r="I2305" t="s"/>
      <c r="J2305" t="n">
        <v>0</v>
      </c>
      <c r="K2305" t="n">
        <v>0</v>
      </c>
      <c r="L2305" t="n">
        <v>1</v>
      </c>
      <c r="M2305" t="n">
        <v>0</v>
      </c>
    </row>
    <row r="2306" spans="1:13">
      <c r="A2306" s="1">
        <f>HYPERLINK("http://www.twitter.com/NathanBLawrence/status/974283015403732992", "974283015403732992")</f>
        <v/>
      </c>
      <c r="B2306" s="2" t="n">
        <v>43174.58039351852</v>
      </c>
      <c r="C2306" t="n">
        <v>0</v>
      </c>
      <c r="D2306" t="n">
        <v>0</v>
      </c>
      <c r="E2306" t="s">
        <v>2309</v>
      </c>
      <c r="F2306" t="s"/>
      <c r="G2306" t="s"/>
      <c r="H2306" t="s"/>
      <c r="I2306" t="s"/>
      <c r="J2306" t="n">
        <v>-0.3616</v>
      </c>
      <c r="K2306" t="n">
        <v>0.294</v>
      </c>
      <c r="L2306" t="n">
        <v>0.706</v>
      </c>
      <c r="M2306" t="n">
        <v>0</v>
      </c>
    </row>
    <row r="2307" spans="1:13">
      <c r="A2307" s="1">
        <f>HYPERLINK("http://www.twitter.com/NathanBLawrence/status/974282931735842816", "974282931735842816")</f>
        <v/>
      </c>
      <c r="B2307" s="2" t="n">
        <v>43174.58016203704</v>
      </c>
      <c r="C2307" t="n">
        <v>0</v>
      </c>
      <c r="D2307" t="n">
        <v>1</v>
      </c>
      <c r="E2307" t="s">
        <v>2310</v>
      </c>
      <c r="F2307" t="s"/>
      <c r="G2307" t="s"/>
      <c r="H2307" t="s"/>
      <c r="I2307" t="s"/>
      <c r="J2307" t="n">
        <v>0</v>
      </c>
      <c r="K2307" t="n">
        <v>0</v>
      </c>
      <c r="L2307" t="n">
        <v>1</v>
      </c>
      <c r="M2307" t="n">
        <v>0</v>
      </c>
    </row>
    <row r="2308" spans="1:13">
      <c r="A2308" s="1">
        <f>HYPERLINK("http://www.twitter.com/NathanBLawrence/status/974282801435594753", "974282801435594753")</f>
        <v/>
      </c>
      <c r="B2308" s="2" t="n">
        <v>43174.57980324074</v>
      </c>
      <c r="C2308" t="n">
        <v>0</v>
      </c>
      <c r="D2308" t="n">
        <v>0</v>
      </c>
      <c r="E2308" t="s">
        <v>2311</v>
      </c>
      <c r="F2308" t="s"/>
      <c r="G2308" t="s"/>
      <c r="H2308" t="s"/>
      <c r="I2308" t="s"/>
      <c r="J2308" t="n">
        <v>0.7906</v>
      </c>
      <c r="K2308" t="n">
        <v>0</v>
      </c>
      <c r="L2308" t="n">
        <v>0.556</v>
      </c>
      <c r="M2308" t="n">
        <v>0.444</v>
      </c>
    </row>
    <row r="2309" spans="1:13">
      <c r="A2309" s="1">
        <f>HYPERLINK("http://www.twitter.com/NathanBLawrence/status/974282440670875648", "974282440670875648")</f>
        <v/>
      </c>
      <c r="B2309" s="2" t="n">
        <v>43174.57880787037</v>
      </c>
      <c r="C2309" t="n">
        <v>0</v>
      </c>
      <c r="D2309" t="n">
        <v>1</v>
      </c>
      <c r="E2309" t="s">
        <v>2312</v>
      </c>
      <c r="F2309" t="s"/>
      <c r="G2309" t="s"/>
      <c r="H2309" t="s"/>
      <c r="I2309" t="s"/>
      <c r="J2309" t="n">
        <v>0</v>
      </c>
      <c r="K2309" t="n">
        <v>0</v>
      </c>
      <c r="L2309" t="n">
        <v>1</v>
      </c>
      <c r="M2309" t="n">
        <v>0</v>
      </c>
    </row>
    <row r="2310" spans="1:13">
      <c r="A2310" s="1">
        <f>HYPERLINK("http://www.twitter.com/NathanBLawrence/status/974280586943778818", "974280586943778818")</f>
        <v/>
      </c>
      <c r="B2310" s="2" t="n">
        <v>43174.57369212963</v>
      </c>
      <c r="C2310" t="n">
        <v>0</v>
      </c>
      <c r="D2310" t="n">
        <v>1</v>
      </c>
      <c r="E2310" t="s">
        <v>2313</v>
      </c>
      <c r="F2310" t="s"/>
      <c r="G2310" t="s"/>
      <c r="H2310" t="s"/>
      <c r="I2310" t="s"/>
      <c r="J2310" t="n">
        <v>-0.2808</v>
      </c>
      <c r="K2310" t="n">
        <v>0.092</v>
      </c>
      <c r="L2310" t="n">
        <v>0.908</v>
      </c>
      <c r="M2310" t="n">
        <v>0</v>
      </c>
    </row>
    <row r="2311" spans="1:13">
      <c r="A2311" s="1">
        <f>HYPERLINK("http://www.twitter.com/NathanBLawrence/status/974280396883025920", "974280396883025920")</f>
        <v/>
      </c>
      <c r="B2311" s="2" t="n">
        <v>43174.5731712963</v>
      </c>
      <c r="C2311" t="n">
        <v>0</v>
      </c>
      <c r="D2311" t="n">
        <v>1</v>
      </c>
      <c r="E2311" t="s">
        <v>2314</v>
      </c>
      <c r="F2311" t="s"/>
      <c r="G2311" t="s"/>
      <c r="H2311" t="s"/>
      <c r="I2311" t="s"/>
      <c r="J2311" t="n">
        <v>-0.6808</v>
      </c>
      <c r="K2311" t="n">
        <v>0.219</v>
      </c>
      <c r="L2311" t="n">
        <v>0.781</v>
      </c>
      <c r="M2311" t="n">
        <v>0</v>
      </c>
    </row>
    <row r="2312" spans="1:13">
      <c r="A2312" s="1">
        <f>HYPERLINK("http://www.twitter.com/NathanBLawrence/status/974280259205062656", "974280259205062656")</f>
        <v/>
      </c>
      <c r="B2312" s="2" t="n">
        <v>43174.57278935185</v>
      </c>
      <c r="C2312" t="n">
        <v>0</v>
      </c>
      <c r="D2312" t="n">
        <v>2</v>
      </c>
      <c r="E2312" t="s">
        <v>2315</v>
      </c>
      <c r="F2312" t="s"/>
      <c r="G2312" t="s"/>
      <c r="H2312" t="s"/>
      <c r="I2312" t="s"/>
      <c r="J2312" t="n">
        <v>0</v>
      </c>
      <c r="K2312" t="n">
        <v>0</v>
      </c>
      <c r="L2312" t="n">
        <v>1</v>
      </c>
      <c r="M2312" t="n">
        <v>0</v>
      </c>
    </row>
    <row r="2313" spans="1:13">
      <c r="A2313" s="1">
        <f>HYPERLINK("http://www.twitter.com/NathanBLawrence/status/974280079277744128", "974280079277744128")</f>
        <v/>
      </c>
      <c r="B2313" s="2" t="n">
        <v>43174.57229166666</v>
      </c>
      <c r="C2313" t="n">
        <v>0</v>
      </c>
      <c r="D2313" t="n">
        <v>3</v>
      </c>
      <c r="E2313" t="s">
        <v>2316</v>
      </c>
      <c r="F2313" t="s"/>
      <c r="G2313" t="s"/>
      <c r="H2313" t="s"/>
      <c r="I2313" t="s"/>
      <c r="J2313" t="n">
        <v>-0.5502</v>
      </c>
      <c r="K2313" t="n">
        <v>0.191</v>
      </c>
      <c r="L2313" t="n">
        <v>0.6899999999999999</v>
      </c>
      <c r="M2313" t="n">
        <v>0.12</v>
      </c>
    </row>
    <row r="2314" spans="1:13">
      <c r="A2314" s="1">
        <f>HYPERLINK("http://www.twitter.com/NathanBLawrence/status/974279205792964608", "974279205792964608")</f>
        <v/>
      </c>
      <c r="B2314" s="2" t="n">
        <v>43174.56988425926</v>
      </c>
      <c r="C2314" t="n">
        <v>0</v>
      </c>
      <c r="D2314" t="n">
        <v>0</v>
      </c>
      <c r="E2314" t="s">
        <v>2317</v>
      </c>
      <c r="F2314" t="s"/>
      <c r="G2314" t="s"/>
      <c r="H2314" t="s"/>
      <c r="I2314" t="s"/>
      <c r="J2314" t="n">
        <v>-0.4215</v>
      </c>
      <c r="K2314" t="n">
        <v>0.203</v>
      </c>
      <c r="L2314" t="n">
        <v>0.797</v>
      </c>
      <c r="M2314" t="n">
        <v>0</v>
      </c>
    </row>
    <row r="2315" spans="1:13">
      <c r="A2315" s="1">
        <f>HYPERLINK("http://www.twitter.com/NathanBLawrence/status/974278723968143365", "974278723968143365")</f>
        <v/>
      </c>
      <c r="B2315" s="2" t="n">
        <v>43174.56855324074</v>
      </c>
      <c r="C2315" t="n">
        <v>0</v>
      </c>
      <c r="D2315" t="n">
        <v>1</v>
      </c>
      <c r="E2315" t="s">
        <v>2318</v>
      </c>
      <c r="F2315" t="s"/>
      <c r="G2315" t="s"/>
      <c r="H2315" t="s"/>
      <c r="I2315" t="s"/>
      <c r="J2315" t="n">
        <v>0</v>
      </c>
      <c r="K2315" t="n">
        <v>0</v>
      </c>
      <c r="L2315" t="n">
        <v>1</v>
      </c>
      <c r="M2315" t="n">
        <v>0</v>
      </c>
    </row>
    <row r="2316" spans="1:13">
      <c r="A2316" s="1">
        <f>HYPERLINK("http://www.twitter.com/NathanBLawrence/status/974278058835415040", "974278058835415040")</f>
        <v/>
      </c>
      <c r="B2316" s="2" t="n">
        <v>43174.56672453704</v>
      </c>
      <c r="C2316" t="n">
        <v>0</v>
      </c>
      <c r="D2316" t="n">
        <v>0</v>
      </c>
      <c r="E2316" t="s">
        <v>2319</v>
      </c>
      <c r="F2316" t="s"/>
      <c r="G2316" t="s"/>
      <c r="H2316" t="s"/>
      <c r="I2316" t="s"/>
      <c r="J2316" t="n">
        <v>-0.204</v>
      </c>
      <c r="K2316" t="n">
        <v>0.311</v>
      </c>
      <c r="L2316" t="n">
        <v>0.6889999999999999</v>
      </c>
      <c r="M2316" t="n">
        <v>0</v>
      </c>
    </row>
    <row r="2317" spans="1:13">
      <c r="A2317" s="1">
        <f>HYPERLINK("http://www.twitter.com/NathanBLawrence/status/974277682300162048", "974277682300162048")</f>
        <v/>
      </c>
      <c r="B2317" s="2" t="n">
        <v>43174.56568287037</v>
      </c>
      <c r="C2317" t="n">
        <v>0</v>
      </c>
      <c r="D2317" t="n">
        <v>1</v>
      </c>
      <c r="E2317" t="s">
        <v>2320</v>
      </c>
      <c r="F2317" t="s"/>
      <c r="G2317" t="s"/>
      <c r="H2317" t="s"/>
      <c r="I2317" t="s"/>
      <c r="J2317" t="n">
        <v>0</v>
      </c>
      <c r="K2317" t="n">
        <v>0</v>
      </c>
      <c r="L2317" t="n">
        <v>1</v>
      </c>
      <c r="M2317" t="n">
        <v>0</v>
      </c>
    </row>
    <row r="2318" spans="1:13">
      <c r="A2318" s="1">
        <f>HYPERLINK("http://www.twitter.com/NathanBLawrence/status/974277480499605505", "974277480499605505")</f>
        <v/>
      </c>
      <c r="B2318" s="2" t="n">
        <v>43174.56512731482</v>
      </c>
      <c r="C2318" t="n">
        <v>1</v>
      </c>
      <c r="D2318" t="n">
        <v>0</v>
      </c>
      <c r="E2318" t="s">
        <v>2321</v>
      </c>
      <c r="F2318" t="s"/>
      <c r="G2318" t="s"/>
      <c r="H2318" t="s"/>
      <c r="I2318" t="s"/>
      <c r="J2318" t="n">
        <v>-0.7845</v>
      </c>
      <c r="K2318" t="n">
        <v>0.162</v>
      </c>
      <c r="L2318" t="n">
        <v>0.838</v>
      </c>
      <c r="M2318" t="n">
        <v>0</v>
      </c>
    </row>
    <row r="2319" spans="1:13">
      <c r="A2319" s="1">
        <f>HYPERLINK("http://www.twitter.com/NathanBLawrence/status/974276383454257152", "974276383454257152")</f>
        <v/>
      </c>
      <c r="B2319" s="2" t="n">
        <v>43174.56209490741</v>
      </c>
      <c r="C2319" t="n">
        <v>0</v>
      </c>
      <c r="D2319" t="n">
        <v>1</v>
      </c>
      <c r="E2319" t="s">
        <v>2322</v>
      </c>
      <c r="F2319" t="s"/>
      <c r="G2319" t="s"/>
      <c r="H2319" t="s"/>
      <c r="I2319" t="s"/>
      <c r="J2319" t="n">
        <v>0</v>
      </c>
      <c r="K2319" t="n">
        <v>0</v>
      </c>
      <c r="L2319" t="n">
        <v>1</v>
      </c>
      <c r="M2319" t="n">
        <v>0</v>
      </c>
    </row>
    <row r="2320" spans="1:13">
      <c r="A2320" s="1">
        <f>HYPERLINK("http://www.twitter.com/NathanBLawrence/status/974276198133125120", "974276198133125120")</f>
        <v/>
      </c>
      <c r="B2320" s="2" t="n">
        <v>43174.56158564815</v>
      </c>
      <c r="C2320" t="n">
        <v>0</v>
      </c>
      <c r="D2320" t="n">
        <v>1</v>
      </c>
      <c r="E2320" t="s">
        <v>2323</v>
      </c>
      <c r="F2320" t="s"/>
      <c r="G2320" t="s"/>
      <c r="H2320" t="s"/>
      <c r="I2320" t="s"/>
      <c r="J2320" t="n">
        <v>0.0387</v>
      </c>
      <c r="K2320" t="n">
        <v>0.092</v>
      </c>
      <c r="L2320" t="n">
        <v>0.8100000000000001</v>
      </c>
      <c r="M2320" t="n">
        <v>0.098</v>
      </c>
    </row>
    <row r="2321" spans="1:13">
      <c r="A2321" s="1">
        <f>HYPERLINK("http://www.twitter.com/NathanBLawrence/status/974275918935068673", "974275918935068673")</f>
        <v/>
      </c>
      <c r="B2321" s="2" t="n">
        <v>43174.56081018518</v>
      </c>
      <c r="C2321" t="n">
        <v>0</v>
      </c>
      <c r="D2321" t="n">
        <v>1</v>
      </c>
      <c r="E2321" t="s">
        <v>2324</v>
      </c>
      <c r="F2321">
        <f>HYPERLINK("http://pbs.twimg.com/media/DWrWq-9VoAAB_gv.jpg", "http://pbs.twimg.com/media/DWrWq-9VoAAB_gv.jpg")</f>
        <v/>
      </c>
      <c r="G2321" t="s"/>
      <c r="H2321" t="s"/>
      <c r="I2321" t="s"/>
      <c r="J2321" t="n">
        <v>0</v>
      </c>
      <c r="K2321" t="n">
        <v>0</v>
      </c>
      <c r="L2321" t="n">
        <v>1</v>
      </c>
      <c r="M2321" t="n">
        <v>0</v>
      </c>
    </row>
    <row r="2322" spans="1:13">
      <c r="A2322" s="1">
        <f>HYPERLINK("http://www.twitter.com/NathanBLawrence/status/974275832867966976", "974275832867966976")</f>
        <v/>
      </c>
      <c r="B2322" s="2" t="n">
        <v>43174.56057870371</v>
      </c>
      <c r="C2322" t="n">
        <v>0</v>
      </c>
      <c r="D2322" t="n">
        <v>1</v>
      </c>
      <c r="E2322" t="s">
        <v>2325</v>
      </c>
      <c r="F2322">
        <f>HYPERLINK("http://pbs.twimg.com/media/DWrWoU9UMAAP4IB.jpg", "http://pbs.twimg.com/media/DWrWoU9UMAAP4IB.jpg")</f>
        <v/>
      </c>
      <c r="G2322" t="s"/>
      <c r="H2322" t="s"/>
      <c r="I2322" t="s"/>
      <c r="J2322" t="n">
        <v>0</v>
      </c>
      <c r="K2322" t="n">
        <v>0</v>
      </c>
      <c r="L2322" t="n">
        <v>1</v>
      </c>
      <c r="M2322" t="n">
        <v>0</v>
      </c>
    </row>
    <row r="2323" spans="1:13">
      <c r="A2323" s="1">
        <f>HYPERLINK("http://www.twitter.com/NathanBLawrence/status/974275624545251328", "974275624545251328")</f>
        <v/>
      </c>
      <c r="B2323" s="2" t="n">
        <v>43174.56</v>
      </c>
      <c r="C2323" t="n">
        <v>0</v>
      </c>
      <c r="D2323" t="n">
        <v>1</v>
      </c>
      <c r="E2323" t="s">
        <v>2326</v>
      </c>
      <c r="F2323">
        <f>HYPERLINK("http://pbs.twimg.com/media/DWrTTQBUQAAdCJ5.jpg", "http://pbs.twimg.com/media/DWrTTQBUQAAdCJ5.jpg")</f>
        <v/>
      </c>
      <c r="G2323">
        <f>HYPERLINK("http://pbs.twimg.com/media/DWrTTQBU0AAKfcB.jpg", "http://pbs.twimg.com/media/DWrTTQBU0AAKfcB.jpg")</f>
        <v/>
      </c>
      <c r="H2323" t="s"/>
      <c r="I2323" t="s"/>
      <c r="J2323" t="n">
        <v>0.6908</v>
      </c>
      <c r="K2323" t="n">
        <v>0</v>
      </c>
      <c r="L2323" t="n">
        <v>0.66</v>
      </c>
      <c r="M2323" t="n">
        <v>0.34</v>
      </c>
    </row>
    <row r="2324" spans="1:13">
      <c r="A2324" s="1">
        <f>HYPERLINK("http://www.twitter.com/NathanBLawrence/status/974275004799086592", "974275004799086592")</f>
        <v/>
      </c>
      <c r="B2324" s="2" t="n">
        <v>43174.55828703703</v>
      </c>
      <c r="C2324" t="n">
        <v>0</v>
      </c>
      <c r="D2324" t="n">
        <v>4</v>
      </c>
      <c r="E2324" t="s">
        <v>2327</v>
      </c>
      <c r="F2324" t="s"/>
      <c r="G2324" t="s"/>
      <c r="H2324" t="s"/>
      <c r="I2324" t="s"/>
      <c r="J2324" t="n">
        <v>-0.4939</v>
      </c>
      <c r="K2324" t="n">
        <v>0.144</v>
      </c>
      <c r="L2324" t="n">
        <v>0.856</v>
      </c>
      <c r="M2324" t="n">
        <v>0</v>
      </c>
    </row>
    <row r="2325" spans="1:13">
      <c r="A2325" s="1">
        <f>HYPERLINK("http://www.twitter.com/NathanBLawrence/status/974273257343012864", "974273257343012864")</f>
        <v/>
      </c>
      <c r="B2325" s="2" t="n">
        <v>43174.55347222222</v>
      </c>
      <c r="C2325" t="n">
        <v>0</v>
      </c>
      <c r="D2325" t="n">
        <v>4</v>
      </c>
      <c r="E2325" t="s">
        <v>2328</v>
      </c>
      <c r="F2325">
        <f>HYPERLINK("http://pbs.twimg.com/media/DXtQTjeU0AAztUs.jpg", "http://pbs.twimg.com/media/DXtQTjeU0AAztUs.jpg")</f>
        <v/>
      </c>
      <c r="G2325" t="s"/>
      <c r="H2325" t="s"/>
      <c r="I2325" t="s"/>
      <c r="J2325" t="n">
        <v>-0.296</v>
      </c>
      <c r="K2325" t="n">
        <v>0.091</v>
      </c>
      <c r="L2325" t="n">
        <v>0.909</v>
      </c>
      <c r="M2325" t="n">
        <v>0</v>
      </c>
    </row>
    <row r="2326" spans="1:13">
      <c r="A2326" s="1">
        <f>HYPERLINK("http://www.twitter.com/NathanBLawrence/status/974273127902535680", "974273127902535680")</f>
        <v/>
      </c>
      <c r="B2326" s="2" t="n">
        <v>43174.55311342593</v>
      </c>
      <c r="C2326" t="n">
        <v>0</v>
      </c>
      <c r="D2326" t="n">
        <v>0</v>
      </c>
      <c r="E2326" t="s">
        <v>2329</v>
      </c>
      <c r="F2326" t="s"/>
      <c r="G2326" t="s"/>
      <c r="H2326" t="s"/>
      <c r="I2326" t="s"/>
      <c r="J2326" t="n">
        <v>0</v>
      </c>
      <c r="K2326" t="n">
        <v>0</v>
      </c>
      <c r="L2326" t="n">
        <v>1</v>
      </c>
      <c r="M2326" t="n">
        <v>0</v>
      </c>
    </row>
    <row r="2327" spans="1:13">
      <c r="A2327" s="1">
        <f>HYPERLINK("http://www.twitter.com/NathanBLawrence/status/974273003705061376", "974273003705061376")</f>
        <v/>
      </c>
      <c r="B2327" s="2" t="n">
        <v>43174.55276620371</v>
      </c>
      <c r="C2327" t="n">
        <v>0</v>
      </c>
      <c r="D2327" t="n">
        <v>1</v>
      </c>
      <c r="E2327" t="s">
        <v>2330</v>
      </c>
      <c r="F2327" t="s"/>
      <c r="G2327" t="s"/>
      <c r="H2327" t="s"/>
      <c r="I2327" t="s"/>
      <c r="J2327" t="n">
        <v>-0.0258</v>
      </c>
      <c r="K2327" t="n">
        <v>0.169</v>
      </c>
      <c r="L2327" t="n">
        <v>0.706</v>
      </c>
      <c r="M2327" t="n">
        <v>0.125</v>
      </c>
    </row>
    <row r="2328" spans="1:13">
      <c r="A2328" s="1">
        <f>HYPERLINK("http://www.twitter.com/NathanBLawrence/status/974272883764711424", "974272883764711424")</f>
        <v/>
      </c>
      <c r="B2328" s="2" t="n">
        <v>43174.55244212963</v>
      </c>
      <c r="C2328" t="n">
        <v>0</v>
      </c>
      <c r="D2328" t="n">
        <v>6</v>
      </c>
      <c r="E2328" t="s">
        <v>2331</v>
      </c>
      <c r="F2328" t="s"/>
      <c r="G2328" t="s"/>
      <c r="H2328" t="s"/>
      <c r="I2328" t="s"/>
      <c r="J2328" t="n">
        <v>0</v>
      </c>
      <c r="K2328" t="n">
        <v>0</v>
      </c>
      <c r="L2328" t="n">
        <v>1</v>
      </c>
      <c r="M2328" t="n">
        <v>0</v>
      </c>
    </row>
    <row r="2329" spans="1:13">
      <c r="A2329" s="1">
        <f>HYPERLINK("http://www.twitter.com/NathanBLawrence/status/974272758631854080", "974272758631854080")</f>
        <v/>
      </c>
      <c r="B2329" s="2" t="n">
        <v>43174.55209490741</v>
      </c>
      <c r="C2329" t="n">
        <v>0</v>
      </c>
      <c r="D2329" t="n">
        <v>7</v>
      </c>
      <c r="E2329" t="s">
        <v>2332</v>
      </c>
      <c r="F2329">
        <f>HYPERLINK("http://pbs.twimg.com/media/DXrakirXcAAhgtO.jpg", "http://pbs.twimg.com/media/DXrakirXcAAhgtO.jpg")</f>
        <v/>
      </c>
      <c r="G2329">
        <f>HYPERLINK("http://pbs.twimg.com/media/DXrakjqXcAAH-oV.jpg", "http://pbs.twimg.com/media/DXrakjqXcAAH-oV.jpg")</f>
        <v/>
      </c>
      <c r="H2329">
        <f>HYPERLINK("http://pbs.twimg.com/media/DXrakirXUAA-l_8.jpg", "http://pbs.twimg.com/media/DXrakirXUAA-l_8.jpg")</f>
        <v/>
      </c>
      <c r="I2329" t="s"/>
      <c r="J2329" t="n">
        <v>-0.6808</v>
      </c>
      <c r="K2329" t="n">
        <v>0.239</v>
      </c>
      <c r="L2329" t="n">
        <v>0.669</v>
      </c>
      <c r="M2329" t="n">
        <v>0.092</v>
      </c>
    </row>
    <row r="2330" spans="1:13">
      <c r="A2330" s="1">
        <f>HYPERLINK("http://www.twitter.com/NathanBLawrence/status/974272613320155136", "974272613320155136")</f>
        <v/>
      </c>
      <c r="B2330" s="2" t="n">
        <v>43174.55168981481</v>
      </c>
      <c r="C2330" t="n">
        <v>0</v>
      </c>
      <c r="D2330" t="n">
        <v>8</v>
      </c>
      <c r="E2330" t="s">
        <v>2333</v>
      </c>
      <c r="F2330" t="s"/>
      <c r="G2330" t="s"/>
      <c r="H2330" t="s"/>
      <c r="I2330" t="s"/>
      <c r="J2330" t="n">
        <v>-0.5574</v>
      </c>
      <c r="K2330" t="n">
        <v>0.187</v>
      </c>
      <c r="L2330" t="n">
        <v>0.8129999999999999</v>
      </c>
      <c r="M2330" t="n">
        <v>0</v>
      </c>
    </row>
    <row r="2331" spans="1:13">
      <c r="A2331" s="1">
        <f>HYPERLINK("http://www.twitter.com/NathanBLawrence/status/974272424366702593", "974272424366702593")</f>
        <v/>
      </c>
      <c r="B2331" s="2" t="n">
        <v>43174.55116898148</v>
      </c>
      <c r="C2331" t="n">
        <v>0</v>
      </c>
      <c r="D2331" t="n">
        <v>6</v>
      </c>
      <c r="E2331" t="s">
        <v>2334</v>
      </c>
      <c r="F2331">
        <f>HYPERLINK("http://pbs.twimg.com/media/DXrHrpLXkAEyIo5.jpg", "http://pbs.twimg.com/media/DXrHrpLXkAEyIo5.jpg")</f>
        <v/>
      </c>
      <c r="G2331">
        <f>HYPERLINK("http://pbs.twimg.com/media/DXrHrpNX4AACpJo.jpg", "http://pbs.twimg.com/media/DXrHrpNX4AACpJo.jpg")</f>
        <v/>
      </c>
      <c r="H2331" t="s"/>
      <c r="I2331" t="s"/>
      <c r="J2331" t="n">
        <v>-0.875</v>
      </c>
      <c r="K2331" t="n">
        <v>0.4</v>
      </c>
      <c r="L2331" t="n">
        <v>0.6</v>
      </c>
      <c r="M2331" t="n">
        <v>0</v>
      </c>
    </row>
    <row r="2332" spans="1:13">
      <c r="A2332" s="1">
        <f>HYPERLINK("http://www.twitter.com/NathanBLawrence/status/974272321316941824", "974272321316941824")</f>
        <v/>
      </c>
      <c r="B2332" s="2" t="n">
        <v>43174.5508912037</v>
      </c>
      <c r="C2332" t="n">
        <v>0</v>
      </c>
      <c r="D2332" t="n">
        <v>7</v>
      </c>
      <c r="E2332" t="s">
        <v>2335</v>
      </c>
      <c r="F2332">
        <f>HYPERLINK("http://pbs.twimg.com/media/DXrEes5XkAE8Mnt.jpg", "http://pbs.twimg.com/media/DXrEes5XkAE8Mnt.jpg")</f>
        <v/>
      </c>
      <c r="G2332">
        <f>HYPERLINK("http://pbs.twimg.com/media/DXrEes4WsAAsX-h.jpg", "http://pbs.twimg.com/media/DXrEes4WsAAsX-h.jpg")</f>
        <v/>
      </c>
      <c r="H2332">
        <f>HYPERLINK("http://pbs.twimg.com/media/DXrEes1X0AEe_19.jpg", "http://pbs.twimg.com/media/DXrEes1X0AEe_19.jpg")</f>
        <v/>
      </c>
      <c r="I2332">
        <f>HYPERLINK("http://pbs.twimg.com/media/DXrEes2XUAAZHyH.jpg", "http://pbs.twimg.com/media/DXrEes2XUAAZHyH.jpg")</f>
        <v/>
      </c>
      <c r="J2332" t="n">
        <v>-0.34</v>
      </c>
      <c r="K2332" t="n">
        <v>0.107</v>
      </c>
      <c r="L2332" t="n">
        <v>0.893</v>
      </c>
      <c r="M2332" t="n">
        <v>0</v>
      </c>
    </row>
    <row r="2333" spans="1:13">
      <c r="A2333" s="1">
        <f>HYPERLINK("http://www.twitter.com/NathanBLawrence/status/974272053594525696", "974272053594525696")</f>
        <v/>
      </c>
      <c r="B2333" s="2" t="n">
        <v>43174.55015046296</v>
      </c>
      <c r="C2333" t="n">
        <v>0</v>
      </c>
      <c r="D2333" t="n">
        <v>6</v>
      </c>
      <c r="E2333" t="s">
        <v>2336</v>
      </c>
      <c r="F2333">
        <f>HYPERLINK("http://pbs.twimg.com/media/DXq0SneX0AEk91_.jpg", "http://pbs.twimg.com/media/DXq0SneX0AEk91_.jpg")</f>
        <v/>
      </c>
      <c r="G2333">
        <f>HYPERLINK("http://pbs.twimg.com/media/DXq0SnfWkAA-hXI.jpg", "http://pbs.twimg.com/media/DXq0SnfWkAA-hXI.jpg")</f>
        <v/>
      </c>
      <c r="H2333">
        <f>HYPERLINK("http://pbs.twimg.com/media/DXq0SneX0AA35Iu.jpg", "http://pbs.twimg.com/media/DXq0SneX0AA35Iu.jpg")</f>
        <v/>
      </c>
      <c r="I2333">
        <f>HYPERLINK("http://pbs.twimg.com/media/DXq0SnlWkAIX4pk.jpg", "http://pbs.twimg.com/media/DXq0SnlWkAIX4pk.jpg")</f>
        <v/>
      </c>
      <c r="J2333" t="n">
        <v>-0.4767</v>
      </c>
      <c r="K2333" t="n">
        <v>0.119</v>
      </c>
      <c r="L2333" t="n">
        <v>0.881</v>
      </c>
      <c r="M2333" t="n">
        <v>0</v>
      </c>
    </row>
    <row r="2334" spans="1:13">
      <c r="A2334" s="1">
        <f>HYPERLINK("http://www.twitter.com/NathanBLawrence/status/974271961135271941", "974271961135271941")</f>
        <v/>
      </c>
      <c r="B2334" s="2" t="n">
        <v>43174.54989583333</v>
      </c>
      <c r="C2334" t="n">
        <v>0</v>
      </c>
      <c r="D2334" t="n">
        <v>5</v>
      </c>
      <c r="E2334" t="s">
        <v>2337</v>
      </c>
      <c r="F2334">
        <f>HYPERLINK("http://pbs.twimg.com/media/DXqu61BXUAAmlRM.jpg", "http://pbs.twimg.com/media/DXqu61BXUAAmlRM.jpg")</f>
        <v/>
      </c>
      <c r="G2334">
        <f>HYPERLINK("http://pbs.twimg.com/media/DXqu61AX4AEmnJJ.jpg", "http://pbs.twimg.com/media/DXqu61AX4AEmnJJ.jpg")</f>
        <v/>
      </c>
      <c r="H2334" t="s"/>
      <c r="I2334" t="s"/>
      <c r="J2334" t="n">
        <v>0</v>
      </c>
      <c r="K2334" t="n">
        <v>0</v>
      </c>
      <c r="L2334" t="n">
        <v>1</v>
      </c>
      <c r="M2334" t="n">
        <v>0</v>
      </c>
    </row>
    <row r="2335" spans="1:13">
      <c r="A2335" s="1">
        <f>HYPERLINK("http://www.twitter.com/NathanBLawrence/status/974271782323720193", "974271782323720193")</f>
        <v/>
      </c>
      <c r="B2335" s="2" t="n">
        <v>43174.54939814815</v>
      </c>
      <c r="C2335" t="n">
        <v>0</v>
      </c>
      <c r="D2335" t="n">
        <v>8</v>
      </c>
      <c r="E2335" t="s">
        <v>2338</v>
      </c>
      <c r="F2335">
        <f>HYPERLINK("http://pbs.twimg.com/media/DXpqLHGVMAEU7ox.jpg", "http://pbs.twimg.com/media/DXpqLHGVMAEU7ox.jpg")</f>
        <v/>
      </c>
      <c r="G2335">
        <f>HYPERLINK("http://pbs.twimg.com/media/DXpqLHEU8AAW3UM.jpg", "http://pbs.twimg.com/media/DXpqLHEU8AAW3UM.jpg")</f>
        <v/>
      </c>
      <c r="H2335">
        <f>HYPERLINK("http://pbs.twimg.com/media/DXpqLHpVwAA_K8D.jpg", "http://pbs.twimg.com/media/DXpqLHpVwAA_K8D.jpg")</f>
        <v/>
      </c>
      <c r="I2335">
        <f>HYPERLINK("http://pbs.twimg.com/media/DXpqLHtU8AA_fG3.jpg", "http://pbs.twimg.com/media/DXpqLHtU8AA_fG3.jpg")</f>
        <v/>
      </c>
      <c r="J2335" t="n">
        <v>0</v>
      </c>
      <c r="K2335" t="n">
        <v>0.109</v>
      </c>
      <c r="L2335" t="n">
        <v>0.783</v>
      </c>
      <c r="M2335" t="n">
        <v>0.109</v>
      </c>
    </row>
    <row r="2336" spans="1:13">
      <c r="A2336" s="1">
        <f>HYPERLINK("http://www.twitter.com/NathanBLawrence/status/974270829428203521", "974270829428203521")</f>
        <v/>
      </c>
      <c r="B2336" s="2" t="n">
        <v>43174.54677083333</v>
      </c>
      <c r="C2336" t="n">
        <v>0</v>
      </c>
      <c r="D2336" t="n">
        <v>0</v>
      </c>
      <c r="E2336" t="s">
        <v>2339</v>
      </c>
      <c r="F2336" t="s"/>
      <c r="G2336" t="s"/>
      <c r="H2336" t="s"/>
      <c r="I2336" t="s"/>
      <c r="J2336" t="n">
        <v>-0.8428</v>
      </c>
      <c r="K2336" t="n">
        <v>0.191</v>
      </c>
      <c r="L2336" t="n">
        <v>0.732</v>
      </c>
      <c r="M2336" t="n">
        <v>0.076</v>
      </c>
    </row>
    <row r="2337" spans="1:13">
      <c r="A2337" s="1">
        <f>HYPERLINK("http://www.twitter.com/NathanBLawrence/status/974268923330822146", "974268923330822146")</f>
        <v/>
      </c>
      <c r="B2337" s="2" t="n">
        <v>43174.5415162037</v>
      </c>
      <c r="C2337" t="n">
        <v>0</v>
      </c>
      <c r="D2337" t="n">
        <v>2</v>
      </c>
      <c r="E2337" t="s">
        <v>2340</v>
      </c>
      <c r="F2337" t="s"/>
      <c r="G2337" t="s"/>
      <c r="H2337" t="s"/>
      <c r="I2337" t="s"/>
      <c r="J2337" t="n">
        <v>0.6249</v>
      </c>
      <c r="K2337" t="n">
        <v>0</v>
      </c>
      <c r="L2337" t="n">
        <v>0.806</v>
      </c>
      <c r="M2337" t="n">
        <v>0.194</v>
      </c>
    </row>
    <row r="2338" spans="1:13">
      <c r="A2338" s="1">
        <f>HYPERLINK("http://www.twitter.com/NathanBLawrence/status/974268872655241216", "974268872655241216")</f>
        <v/>
      </c>
      <c r="B2338" s="2" t="n">
        <v>43174.54136574074</v>
      </c>
      <c r="C2338" t="n">
        <v>0</v>
      </c>
      <c r="D2338" t="n">
        <v>0</v>
      </c>
      <c r="E2338" t="s">
        <v>2341</v>
      </c>
      <c r="F2338" t="s"/>
      <c r="G2338" t="s"/>
      <c r="H2338" t="s"/>
      <c r="I2338" t="s"/>
      <c r="J2338" t="n">
        <v>0.7351</v>
      </c>
      <c r="K2338" t="n">
        <v>0</v>
      </c>
      <c r="L2338" t="n">
        <v>0.677</v>
      </c>
      <c r="M2338" t="n">
        <v>0.323</v>
      </c>
    </row>
    <row r="2339" spans="1:13">
      <c r="A2339" s="1">
        <f>HYPERLINK("http://www.twitter.com/NathanBLawrence/status/974268325726441472", "974268325726441472")</f>
        <v/>
      </c>
      <c r="B2339" s="2" t="n">
        <v>43174.53986111111</v>
      </c>
      <c r="C2339" t="n">
        <v>0</v>
      </c>
      <c r="D2339" t="n">
        <v>40</v>
      </c>
      <c r="E2339" t="s">
        <v>2342</v>
      </c>
      <c r="F2339" t="s"/>
      <c r="G2339" t="s"/>
      <c r="H2339" t="s"/>
      <c r="I2339" t="s"/>
      <c r="J2339" t="n">
        <v>0.4019</v>
      </c>
      <c r="K2339" t="n">
        <v>0</v>
      </c>
      <c r="L2339" t="n">
        <v>0.87</v>
      </c>
      <c r="M2339" t="n">
        <v>0.13</v>
      </c>
    </row>
    <row r="2340" spans="1:13">
      <c r="A2340" s="1">
        <f>HYPERLINK("http://www.twitter.com/NathanBLawrence/status/974268249314603008", "974268249314603008")</f>
        <v/>
      </c>
      <c r="B2340" s="2" t="n">
        <v>43174.53965277778</v>
      </c>
      <c r="C2340" t="n">
        <v>0</v>
      </c>
      <c r="D2340" t="n">
        <v>52</v>
      </c>
      <c r="E2340" t="s">
        <v>2343</v>
      </c>
      <c r="F2340" t="s"/>
      <c r="G2340" t="s"/>
      <c r="H2340" t="s"/>
      <c r="I2340" t="s"/>
      <c r="J2340" t="n">
        <v>0.4019</v>
      </c>
      <c r="K2340" t="n">
        <v>0</v>
      </c>
      <c r="L2340" t="n">
        <v>0.881</v>
      </c>
      <c r="M2340" t="n">
        <v>0.119</v>
      </c>
    </row>
    <row r="2341" spans="1:13">
      <c r="A2341" s="1">
        <f>HYPERLINK("http://www.twitter.com/NathanBLawrence/status/974267918996443136", "974267918996443136")</f>
        <v/>
      </c>
      <c r="B2341" s="2" t="n">
        <v>43174.53873842592</v>
      </c>
      <c r="C2341" t="n">
        <v>1</v>
      </c>
      <c r="D2341" t="n">
        <v>0</v>
      </c>
      <c r="E2341" t="s">
        <v>2344</v>
      </c>
      <c r="F2341" t="s"/>
      <c r="G2341" t="s"/>
      <c r="H2341" t="s"/>
      <c r="I2341" t="s"/>
      <c r="J2341" t="n">
        <v>0.3182</v>
      </c>
      <c r="K2341" t="n">
        <v>0</v>
      </c>
      <c r="L2341" t="n">
        <v>0.897</v>
      </c>
      <c r="M2341" t="n">
        <v>0.103</v>
      </c>
    </row>
    <row r="2342" spans="1:13">
      <c r="A2342" s="1">
        <f>HYPERLINK("http://www.twitter.com/NathanBLawrence/status/974267003304280065", "974267003304280065")</f>
        <v/>
      </c>
      <c r="B2342" s="2" t="n">
        <v>43174.53621527777</v>
      </c>
      <c r="C2342" t="n">
        <v>1</v>
      </c>
      <c r="D2342" t="n">
        <v>0</v>
      </c>
      <c r="E2342" t="s">
        <v>2345</v>
      </c>
      <c r="F2342" t="s"/>
      <c r="G2342" t="s"/>
      <c r="H2342" t="s"/>
      <c r="I2342" t="s"/>
      <c r="J2342" t="n">
        <v>-0.5106000000000001</v>
      </c>
      <c r="K2342" t="n">
        <v>0.216</v>
      </c>
      <c r="L2342" t="n">
        <v>0.784</v>
      </c>
      <c r="M2342" t="n">
        <v>0</v>
      </c>
    </row>
    <row r="2343" spans="1:13">
      <c r="A2343" s="1">
        <f>HYPERLINK("http://www.twitter.com/NathanBLawrence/status/974266708444708864", "974266708444708864")</f>
        <v/>
      </c>
      <c r="B2343" s="2" t="n">
        <v>43174.53539351852</v>
      </c>
      <c r="C2343" t="n">
        <v>0</v>
      </c>
      <c r="D2343" t="n">
        <v>0</v>
      </c>
      <c r="E2343" t="s">
        <v>2346</v>
      </c>
      <c r="F2343" t="s"/>
      <c r="G2343" t="s"/>
      <c r="H2343" t="s"/>
      <c r="I2343" t="s"/>
      <c r="J2343" t="n">
        <v>0.2263</v>
      </c>
      <c r="K2343" t="n">
        <v>0.119</v>
      </c>
      <c r="L2343" t="n">
        <v>0.6899999999999999</v>
      </c>
      <c r="M2343" t="n">
        <v>0.192</v>
      </c>
    </row>
    <row r="2344" spans="1:13">
      <c r="A2344" s="1">
        <f>HYPERLINK("http://www.twitter.com/NathanBLawrence/status/974266104322248704", "974266104322248704")</f>
        <v/>
      </c>
      <c r="B2344" s="2" t="n">
        <v>43174.53372685185</v>
      </c>
      <c r="C2344" t="n">
        <v>0</v>
      </c>
      <c r="D2344" t="n">
        <v>0</v>
      </c>
      <c r="E2344" t="s">
        <v>2347</v>
      </c>
      <c r="F2344" t="s"/>
      <c r="G2344" t="s"/>
      <c r="H2344" t="s"/>
      <c r="I2344" t="s"/>
      <c r="J2344" t="n">
        <v>0</v>
      </c>
      <c r="K2344" t="n">
        <v>0</v>
      </c>
      <c r="L2344" t="n">
        <v>1</v>
      </c>
      <c r="M2344" t="n">
        <v>0</v>
      </c>
    </row>
    <row r="2345" spans="1:13">
      <c r="A2345" s="1">
        <f>HYPERLINK("http://www.twitter.com/NathanBLawrence/status/974265765544251392", "974265765544251392")</f>
        <v/>
      </c>
      <c r="B2345" s="2" t="n">
        <v>43174.53280092592</v>
      </c>
      <c r="C2345" t="n">
        <v>0</v>
      </c>
      <c r="D2345" t="n">
        <v>1</v>
      </c>
      <c r="E2345" t="s">
        <v>2348</v>
      </c>
      <c r="F2345" t="s"/>
      <c r="G2345" t="s"/>
      <c r="H2345" t="s"/>
      <c r="I2345" t="s"/>
      <c r="J2345" t="n">
        <v>0.3612</v>
      </c>
      <c r="K2345" t="n">
        <v>0</v>
      </c>
      <c r="L2345" t="n">
        <v>0.894</v>
      </c>
      <c r="M2345" t="n">
        <v>0.106</v>
      </c>
    </row>
    <row r="2346" spans="1:13">
      <c r="A2346" s="1">
        <f>HYPERLINK("http://www.twitter.com/NathanBLawrence/status/974265723517358086", "974265723517358086")</f>
        <v/>
      </c>
      <c r="B2346" s="2" t="n">
        <v>43174.53268518519</v>
      </c>
      <c r="C2346" t="n">
        <v>0</v>
      </c>
      <c r="D2346" t="n">
        <v>1</v>
      </c>
      <c r="E2346" t="s">
        <v>2349</v>
      </c>
      <c r="F2346" t="s"/>
      <c r="G2346" t="s"/>
      <c r="H2346" t="s"/>
      <c r="I2346" t="s"/>
      <c r="J2346" t="n">
        <v>-0.2244</v>
      </c>
      <c r="K2346" t="n">
        <v>0.194</v>
      </c>
      <c r="L2346" t="n">
        <v>0.667</v>
      </c>
      <c r="M2346" t="n">
        <v>0.139</v>
      </c>
    </row>
    <row r="2347" spans="1:13">
      <c r="A2347" s="1">
        <f>HYPERLINK("http://www.twitter.com/NathanBLawrence/status/974265608832417792", "974265608832417792")</f>
        <v/>
      </c>
      <c r="B2347" s="2" t="n">
        <v>43174.53236111111</v>
      </c>
      <c r="C2347" t="n">
        <v>0</v>
      </c>
      <c r="D2347" t="n">
        <v>0</v>
      </c>
      <c r="E2347" t="s">
        <v>2350</v>
      </c>
      <c r="F2347" t="s"/>
      <c r="G2347" t="s"/>
      <c r="H2347" t="s"/>
      <c r="I2347" t="s"/>
      <c r="J2347" t="n">
        <v>-0.5574</v>
      </c>
      <c r="K2347" t="n">
        <v>0.126</v>
      </c>
      <c r="L2347" t="n">
        <v>0.874</v>
      </c>
      <c r="M2347" t="n">
        <v>0</v>
      </c>
    </row>
    <row r="2348" spans="1:13">
      <c r="A2348" s="1">
        <f>HYPERLINK("http://www.twitter.com/NathanBLawrence/status/974263303953436672", "974263303953436672")</f>
        <v/>
      </c>
      <c r="B2348" s="2" t="n">
        <v>43174.52600694444</v>
      </c>
      <c r="C2348" t="n">
        <v>0</v>
      </c>
      <c r="D2348" t="n">
        <v>752</v>
      </c>
      <c r="E2348" t="s">
        <v>2351</v>
      </c>
      <c r="F2348" t="s"/>
      <c r="G2348" t="s"/>
      <c r="H2348" t="s"/>
      <c r="I2348" t="s"/>
      <c r="J2348" t="n">
        <v>-0.5266999999999999</v>
      </c>
      <c r="K2348" t="n">
        <v>0.317</v>
      </c>
      <c r="L2348" t="n">
        <v>0.529</v>
      </c>
      <c r="M2348" t="n">
        <v>0.154</v>
      </c>
    </row>
    <row r="2349" spans="1:13">
      <c r="A2349" s="1">
        <f>HYPERLINK("http://www.twitter.com/NathanBLawrence/status/974249785250271234", "974249785250271234")</f>
        <v/>
      </c>
      <c r="B2349" s="2" t="n">
        <v>43174.4887037037</v>
      </c>
      <c r="C2349" t="n">
        <v>1</v>
      </c>
      <c r="D2349" t="n">
        <v>1</v>
      </c>
      <c r="E2349" t="s">
        <v>2352</v>
      </c>
      <c r="F2349" t="s"/>
      <c r="G2349" t="s"/>
      <c r="H2349" t="s"/>
      <c r="I2349" t="s"/>
      <c r="J2349" t="n">
        <v>0.5266999999999999</v>
      </c>
      <c r="K2349" t="n">
        <v>0.091</v>
      </c>
      <c r="L2349" t="n">
        <v>0.735</v>
      </c>
      <c r="M2349" t="n">
        <v>0.174</v>
      </c>
    </row>
    <row r="2350" spans="1:13">
      <c r="A2350" s="1">
        <f>HYPERLINK("http://www.twitter.com/NathanBLawrence/status/974249149486034945", "974249149486034945")</f>
        <v/>
      </c>
      <c r="B2350" s="2" t="n">
        <v>43174.48694444444</v>
      </c>
      <c r="C2350" t="n">
        <v>0</v>
      </c>
      <c r="D2350" t="n">
        <v>2</v>
      </c>
      <c r="E2350" t="s">
        <v>2353</v>
      </c>
      <c r="F2350" t="s"/>
      <c r="G2350" t="s"/>
      <c r="H2350" t="s"/>
      <c r="I2350" t="s"/>
      <c r="J2350" t="n">
        <v>-0.128</v>
      </c>
      <c r="K2350" t="n">
        <v>0.101</v>
      </c>
      <c r="L2350" t="n">
        <v>0.8169999999999999</v>
      </c>
      <c r="M2350" t="n">
        <v>0.082</v>
      </c>
    </row>
    <row r="2351" spans="1:13">
      <c r="A2351" s="1">
        <f>HYPERLINK("http://www.twitter.com/NathanBLawrence/status/974248404158238722", "974248404158238722")</f>
        <v/>
      </c>
      <c r="B2351" s="2" t="n">
        <v>43174.48488425926</v>
      </c>
      <c r="C2351" t="n">
        <v>2</v>
      </c>
      <c r="D2351" t="n">
        <v>0</v>
      </c>
      <c r="E2351" t="s">
        <v>2354</v>
      </c>
      <c r="F2351" t="s"/>
      <c r="G2351" t="s"/>
      <c r="H2351" t="s"/>
      <c r="I2351" t="s"/>
      <c r="J2351" t="n">
        <v>-0.6808</v>
      </c>
      <c r="K2351" t="n">
        <v>0.137</v>
      </c>
      <c r="L2351" t="n">
        <v>0.863</v>
      </c>
      <c r="M2351" t="n">
        <v>0</v>
      </c>
    </row>
    <row r="2352" spans="1:13">
      <c r="A2352" s="1">
        <f>HYPERLINK("http://www.twitter.com/NathanBLawrence/status/974245811457490944", "974245811457490944")</f>
        <v/>
      </c>
      <c r="B2352" s="2" t="n">
        <v>43174.47773148148</v>
      </c>
      <c r="C2352" t="n">
        <v>0</v>
      </c>
      <c r="D2352" t="n">
        <v>9</v>
      </c>
      <c r="E2352" t="s">
        <v>2355</v>
      </c>
      <c r="F2352">
        <f>HYPERLINK("http://pbs.twimg.com/media/DYR-6dOX4AA0IBN.jpg", "http://pbs.twimg.com/media/DYR-6dOX4AA0IBN.jpg")</f>
        <v/>
      </c>
      <c r="G2352" t="s"/>
      <c r="H2352" t="s"/>
      <c r="I2352" t="s"/>
      <c r="J2352" t="n">
        <v>-0.2441</v>
      </c>
      <c r="K2352" t="n">
        <v>0.145</v>
      </c>
      <c r="L2352" t="n">
        <v>0.759</v>
      </c>
      <c r="M2352" t="n">
        <v>0.096</v>
      </c>
    </row>
    <row r="2353" spans="1:13">
      <c r="A2353" s="1">
        <f>HYPERLINK("http://www.twitter.com/NathanBLawrence/status/974243124754239489", "974243124754239489")</f>
        <v/>
      </c>
      <c r="B2353" s="2" t="n">
        <v>43174.47032407407</v>
      </c>
      <c r="C2353" t="n">
        <v>4</v>
      </c>
      <c r="D2353" t="n">
        <v>2</v>
      </c>
      <c r="E2353" t="s">
        <v>2356</v>
      </c>
      <c r="F2353" t="s"/>
      <c r="G2353" t="s"/>
      <c r="H2353" t="s"/>
      <c r="I2353" t="s"/>
      <c r="J2353" t="n">
        <v>-0.8225</v>
      </c>
      <c r="K2353" t="n">
        <v>0.163</v>
      </c>
      <c r="L2353" t="n">
        <v>0.837</v>
      </c>
      <c r="M2353" t="n">
        <v>0</v>
      </c>
    </row>
    <row r="2354" spans="1:13">
      <c r="A2354" s="1">
        <f>HYPERLINK("http://www.twitter.com/NathanBLawrence/status/974241364899753984", "974241364899753984")</f>
        <v/>
      </c>
      <c r="B2354" s="2" t="n">
        <v>43174.46546296297</v>
      </c>
      <c r="C2354" t="n">
        <v>0</v>
      </c>
      <c r="D2354" t="n">
        <v>463</v>
      </c>
      <c r="E2354" t="s">
        <v>2357</v>
      </c>
      <c r="F2354">
        <f>HYPERLINK("http://pbs.twimg.com/media/C29yetEWQAA70RW.jpg", "http://pbs.twimg.com/media/C29yetEWQAA70RW.jpg")</f>
        <v/>
      </c>
      <c r="G2354" t="s"/>
      <c r="H2354" t="s"/>
      <c r="I2354" t="s"/>
      <c r="J2354" t="n">
        <v>0</v>
      </c>
      <c r="K2354" t="n">
        <v>0</v>
      </c>
      <c r="L2354" t="n">
        <v>1</v>
      </c>
      <c r="M2354" t="n">
        <v>0</v>
      </c>
    </row>
    <row r="2355" spans="1:13">
      <c r="A2355" s="1">
        <f>HYPERLINK("http://www.twitter.com/NathanBLawrence/status/974239759601209345", "974239759601209345")</f>
        <v/>
      </c>
      <c r="B2355" s="2" t="n">
        <v>43174.46103009259</v>
      </c>
      <c r="C2355" t="n">
        <v>0</v>
      </c>
      <c r="D2355" t="n">
        <v>34</v>
      </c>
      <c r="E2355" t="s">
        <v>2358</v>
      </c>
      <c r="F2355">
        <f>HYPERLINK("https://video.twimg.com/ext_tw_video/973672551174959104/pu/vid/1280x720/YVVFqDGubrXqLFTV.mp4", "https://video.twimg.com/ext_tw_video/973672551174959104/pu/vid/1280x720/YVVFqDGubrXqLFTV.mp4")</f>
        <v/>
      </c>
      <c r="G2355" t="s"/>
      <c r="H2355" t="s"/>
      <c r="I2355" t="s"/>
      <c r="J2355" t="n">
        <v>0.636</v>
      </c>
      <c r="K2355" t="n">
        <v>0.077</v>
      </c>
      <c r="L2355" t="n">
        <v>0.705</v>
      </c>
      <c r="M2355" t="n">
        <v>0.218</v>
      </c>
    </row>
    <row r="2356" spans="1:13">
      <c r="A2356" s="1">
        <f>HYPERLINK("http://www.twitter.com/NathanBLawrence/status/974238745665863682", "974238745665863682")</f>
        <v/>
      </c>
      <c r="B2356" s="2" t="n">
        <v>43174.45824074074</v>
      </c>
      <c r="C2356" t="n">
        <v>0</v>
      </c>
      <c r="D2356" t="n">
        <v>4</v>
      </c>
      <c r="E2356" t="s">
        <v>2359</v>
      </c>
      <c r="F2356" t="s"/>
      <c r="G2356" t="s"/>
      <c r="H2356" t="s"/>
      <c r="I2356" t="s"/>
      <c r="J2356" t="n">
        <v>0</v>
      </c>
      <c r="K2356" t="n">
        <v>0</v>
      </c>
      <c r="L2356" t="n">
        <v>1</v>
      </c>
      <c r="M2356" t="n">
        <v>0</v>
      </c>
    </row>
    <row r="2357" spans="1:13">
      <c r="A2357" s="1">
        <f>HYPERLINK("http://www.twitter.com/NathanBLawrence/status/974238691270037504", "974238691270037504")</f>
        <v/>
      </c>
      <c r="B2357" s="2" t="n">
        <v>43174.45809027777</v>
      </c>
      <c r="C2357" t="n">
        <v>0</v>
      </c>
      <c r="D2357" t="n">
        <v>4</v>
      </c>
      <c r="E2357" t="s">
        <v>2359</v>
      </c>
      <c r="F2357" t="s"/>
      <c r="G2357" t="s"/>
      <c r="H2357" t="s"/>
      <c r="I2357" t="s"/>
      <c r="J2357" t="n">
        <v>0</v>
      </c>
      <c r="K2357" t="n">
        <v>0</v>
      </c>
      <c r="L2357" t="n">
        <v>1</v>
      </c>
      <c r="M2357" t="n">
        <v>0</v>
      </c>
    </row>
    <row r="2358" spans="1:13">
      <c r="A2358" s="1">
        <f>HYPERLINK("http://www.twitter.com/NathanBLawrence/status/974238624748396545", "974238624748396545")</f>
        <v/>
      </c>
      <c r="B2358" s="2" t="n">
        <v>43174.45790509259</v>
      </c>
      <c r="C2358" t="n">
        <v>0</v>
      </c>
      <c r="D2358" t="n">
        <v>4</v>
      </c>
      <c r="E2358" t="s">
        <v>2360</v>
      </c>
      <c r="F2358" t="s"/>
      <c r="G2358" t="s"/>
      <c r="H2358" t="s"/>
      <c r="I2358" t="s"/>
      <c r="J2358" t="n">
        <v>0</v>
      </c>
      <c r="K2358" t="n">
        <v>0</v>
      </c>
      <c r="L2358" t="n">
        <v>1</v>
      </c>
      <c r="M2358" t="n">
        <v>0</v>
      </c>
    </row>
    <row r="2359" spans="1:13">
      <c r="A2359" s="1">
        <f>HYPERLINK("http://www.twitter.com/NathanBLawrence/status/974238541919203328", "974238541919203328")</f>
        <v/>
      </c>
      <c r="B2359" s="2" t="n">
        <v>43174.45767361111</v>
      </c>
      <c r="C2359" t="n">
        <v>0</v>
      </c>
      <c r="D2359" t="n">
        <v>4</v>
      </c>
      <c r="E2359" t="s">
        <v>2361</v>
      </c>
      <c r="F2359" t="s"/>
      <c r="G2359" t="s"/>
      <c r="H2359" t="s"/>
      <c r="I2359" t="s"/>
      <c r="J2359" t="n">
        <v>-0.34</v>
      </c>
      <c r="K2359" t="n">
        <v>0.13</v>
      </c>
      <c r="L2359" t="n">
        <v>0.87</v>
      </c>
      <c r="M2359" t="n">
        <v>0</v>
      </c>
    </row>
    <row r="2360" spans="1:13">
      <c r="A2360" s="1">
        <f>HYPERLINK("http://www.twitter.com/NathanBLawrence/status/974238402240565248", "974238402240565248")</f>
        <v/>
      </c>
      <c r="B2360" s="2" t="n">
        <v>43174.45729166667</v>
      </c>
      <c r="C2360" t="n">
        <v>0</v>
      </c>
      <c r="D2360" t="n">
        <v>5</v>
      </c>
      <c r="E2360" t="s">
        <v>2362</v>
      </c>
      <c r="F2360" t="s"/>
      <c r="G2360" t="s"/>
      <c r="H2360" t="s"/>
      <c r="I2360" t="s"/>
      <c r="J2360" t="n">
        <v>-0.2144</v>
      </c>
      <c r="K2360" t="n">
        <v>0.091</v>
      </c>
      <c r="L2360" t="n">
        <v>0.859</v>
      </c>
      <c r="M2360" t="n">
        <v>0.05</v>
      </c>
    </row>
    <row r="2361" spans="1:13">
      <c r="A2361" s="1">
        <f>HYPERLINK("http://www.twitter.com/NathanBLawrence/status/974238317628874757", "974238317628874757")</f>
        <v/>
      </c>
      <c r="B2361" s="2" t="n">
        <v>43174.45706018519</v>
      </c>
      <c r="C2361" t="n">
        <v>0</v>
      </c>
      <c r="D2361" t="n">
        <v>9</v>
      </c>
      <c r="E2361" t="s">
        <v>2363</v>
      </c>
      <c r="F2361" t="s"/>
      <c r="G2361" t="s"/>
      <c r="H2361" t="s"/>
      <c r="I2361" t="s"/>
      <c r="J2361" t="n">
        <v>0</v>
      </c>
      <c r="K2361" t="n">
        <v>0</v>
      </c>
      <c r="L2361" t="n">
        <v>1</v>
      </c>
      <c r="M2361" t="n">
        <v>0</v>
      </c>
    </row>
    <row r="2362" spans="1:13">
      <c r="A2362" s="1">
        <f>HYPERLINK("http://www.twitter.com/NathanBLawrence/status/974238207876452352", "974238207876452352")</f>
        <v/>
      </c>
      <c r="B2362" s="2" t="n">
        <v>43174.45674768519</v>
      </c>
      <c r="C2362" t="n">
        <v>0</v>
      </c>
      <c r="D2362" t="n">
        <v>8</v>
      </c>
      <c r="E2362" t="s">
        <v>2364</v>
      </c>
      <c r="F2362">
        <f>HYPERLINK("http://pbs.twimg.com/media/DYSby4fVQAA621r.jpg", "http://pbs.twimg.com/media/DYSby4fVQAA621r.jpg")</f>
        <v/>
      </c>
      <c r="G2362" t="s"/>
      <c r="H2362" t="s"/>
      <c r="I2362" t="s"/>
      <c r="J2362" t="n">
        <v>0</v>
      </c>
      <c r="K2362" t="n">
        <v>0</v>
      </c>
      <c r="L2362" t="n">
        <v>1</v>
      </c>
      <c r="M2362" t="n">
        <v>0</v>
      </c>
    </row>
    <row r="2363" spans="1:13">
      <c r="A2363" s="1">
        <f>HYPERLINK("http://www.twitter.com/NathanBLawrence/status/974238122543321088", "974238122543321088")</f>
        <v/>
      </c>
      <c r="B2363" s="2" t="n">
        <v>43174.4565162037</v>
      </c>
      <c r="C2363" t="n">
        <v>0</v>
      </c>
      <c r="D2363" t="n">
        <v>1</v>
      </c>
      <c r="E2363" t="s">
        <v>2365</v>
      </c>
      <c r="F2363" t="s"/>
      <c r="G2363" t="s"/>
      <c r="H2363" t="s"/>
      <c r="I2363" t="s"/>
      <c r="J2363" t="n">
        <v>0</v>
      </c>
      <c r="K2363" t="n">
        <v>0</v>
      </c>
      <c r="L2363" t="n">
        <v>1</v>
      </c>
      <c r="M2363" t="n">
        <v>0</v>
      </c>
    </row>
    <row r="2364" spans="1:13">
      <c r="A2364" s="1">
        <f>HYPERLINK("http://www.twitter.com/NathanBLawrence/status/974238028276355073", "974238028276355073")</f>
        <v/>
      </c>
      <c r="B2364" s="2" t="n">
        <v>43174.45626157407</v>
      </c>
      <c r="C2364" t="n">
        <v>0</v>
      </c>
      <c r="D2364" t="n">
        <v>7</v>
      </c>
      <c r="E2364" t="s">
        <v>2366</v>
      </c>
      <c r="F2364" t="s"/>
      <c r="G2364" t="s"/>
      <c r="H2364" t="s"/>
      <c r="I2364" t="s"/>
      <c r="J2364" t="n">
        <v>-0.7184</v>
      </c>
      <c r="K2364" t="n">
        <v>0.28</v>
      </c>
      <c r="L2364" t="n">
        <v>0.72</v>
      </c>
      <c r="M2364" t="n">
        <v>0</v>
      </c>
    </row>
    <row r="2365" spans="1:13">
      <c r="A2365" s="1">
        <f>HYPERLINK("http://www.twitter.com/NathanBLawrence/status/974237946508431360", "974237946508431360")</f>
        <v/>
      </c>
      <c r="B2365" s="2" t="n">
        <v>43174.4560300926</v>
      </c>
      <c r="C2365" t="n">
        <v>0</v>
      </c>
      <c r="D2365" t="n">
        <v>6</v>
      </c>
      <c r="E2365" t="s">
        <v>2367</v>
      </c>
      <c r="F2365">
        <f>HYPERLINK("https://video.twimg.com/ext_tw_video/974103373749383168/pu/vid/480x360/g8fRyaEm642Pssa5.mp4", "https://video.twimg.com/ext_tw_video/974103373749383168/pu/vid/480x360/g8fRyaEm642Pssa5.mp4")</f>
        <v/>
      </c>
      <c r="G2365" t="s"/>
      <c r="H2365" t="s"/>
      <c r="I2365" t="s"/>
      <c r="J2365" t="n">
        <v>0.6361</v>
      </c>
      <c r="K2365" t="n">
        <v>0.047</v>
      </c>
      <c r="L2365" t="n">
        <v>0.792</v>
      </c>
      <c r="M2365" t="n">
        <v>0.162</v>
      </c>
    </row>
    <row r="2366" spans="1:13">
      <c r="A2366" s="1">
        <f>HYPERLINK("http://www.twitter.com/NathanBLawrence/status/974237654156967936", "974237654156967936")</f>
        <v/>
      </c>
      <c r="B2366" s="2" t="n">
        <v>43174.45521990741</v>
      </c>
      <c r="C2366" t="n">
        <v>0</v>
      </c>
      <c r="D2366" t="n">
        <v>1</v>
      </c>
      <c r="E2366" t="s">
        <v>2368</v>
      </c>
      <c r="F2366" t="s"/>
      <c r="G2366" t="s"/>
      <c r="H2366" t="s"/>
      <c r="I2366" t="s"/>
      <c r="J2366" t="n">
        <v>0</v>
      </c>
      <c r="K2366" t="n">
        <v>0</v>
      </c>
      <c r="L2366" t="n">
        <v>1</v>
      </c>
      <c r="M2366" t="n">
        <v>0</v>
      </c>
    </row>
    <row r="2367" spans="1:13">
      <c r="A2367" s="1">
        <f>HYPERLINK("http://www.twitter.com/NathanBLawrence/status/974237519905738753", "974237519905738753")</f>
        <v/>
      </c>
      <c r="B2367" s="2" t="n">
        <v>43174.45484953704</v>
      </c>
      <c r="C2367" t="n">
        <v>0</v>
      </c>
      <c r="D2367" t="n">
        <v>3</v>
      </c>
      <c r="E2367" t="s">
        <v>2369</v>
      </c>
      <c r="F2367" t="s"/>
      <c r="G2367" t="s"/>
      <c r="H2367" t="s"/>
      <c r="I2367" t="s"/>
      <c r="J2367" t="n">
        <v>0</v>
      </c>
      <c r="K2367" t="n">
        <v>0</v>
      </c>
      <c r="L2367" t="n">
        <v>1</v>
      </c>
      <c r="M2367" t="n">
        <v>0</v>
      </c>
    </row>
    <row r="2368" spans="1:13">
      <c r="A2368" s="1">
        <f>HYPERLINK("http://www.twitter.com/NathanBLawrence/status/974237427563941888", "974237427563941888")</f>
        <v/>
      </c>
      <c r="B2368" s="2" t="n">
        <v>43174.45459490741</v>
      </c>
      <c r="C2368" t="n">
        <v>2</v>
      </c>
      <c r="D2368" t="n">
        <v>2</v>
      </c>
      <c r="E2368" t="s">
        <v>2370</v>
      </c>
      <c r="F2368" t="s"/>
      <c r="G2368" t="s"/>
      <c r="H2368" t="s"/>
      <c r="I2368" t="s"/>
      <c r="J2368" t="n">
        <v>-0.8074</v>
      </c>
      <c r="K2368" t="n">
        <v>0.249</v>
      </c>
      <c r="L2368" t="n">
        <v>0.751</v>
      </c>
      <c r="M2368" t="n">
        <v>0</v>
      </c>
    </row>
    <row r="2369" spans="1:13">
      <c r="A2369" s="1">
        <f>HYPERLINK("http://www.twitter.com/NathanBLawrence/status/974235991329394688", "974235991329394688")</f>
        <v/>
      </c>
      <c r="B2369" s="2" t="n">
        <v>43174.45063657407</v>
      </c>
      <c r="C2369" t="n">
        <v>0</v>
      </c>
      <c r="D2369" t="n">
        <v>0</v>
      </c>
      <c r="E2369" t="s">
        <v>2371</v>
      </c>
      <c r="F2369" t="s"/>
      <c r="G2369" t="s"/>
      <c r="H2369" t="s"/>
      <c r="I2369" t="s"/>
      <c r="J2369" t="n">
        <v>0.2006</v>
      </c>
      <c r="K2369" t="n">
        <v>0.081</v>
      </c>
      <c r="L2369" t="n">
        <v>0.8090000000000001</v>
      </c>
      <c r="M2369" t="n">
        <v>0.11</v>
      </c>
    </row>
    <row r="2370" spans="1:13">
      <c r="A2370" s="1">
        <f>HYPERLINK("http://www.twitter.com/NathanBLawrence/status/974235397348888576", "974235397348888576")</f>
        <v/>
      </c>
      <c r="B2370" s="2" t="n">
        <v>43174.44899305556</v>
      </c>
      <c r="C2370" t="n">
        <v>0</v>
      </c>
      <c r="D2370" t="n">
        <v>2</v>
      </c>
      <c r="E2370" t="s">
        <v>2372</v>
      </c>
      <c r="F2370" t="s"/>
      <c r="G2370" t="s"/>
      <c r="H2370" t="s"/>
      <c r="I2370" t="s"/>
      <c r="J2370" t="n">
        <v>-0.7118</v>
      </c>
      <c r="K2370" t="n">
        <v>0.258</v>
      </c>
      <c r="L2370" t="n">
        <v>0.742</v>
      </c>
      <c r="M2370" t="n">
        <v>0</v>
      </c>
    </row>
    <row r="2371" spans="1:13">
      <c r="A2371" s="1">
        <f>HYPERLINK("http://www.twitter.com/NathanBLawrence/status/973950382387941377", "973950382387941377")</f>
        <v/>
      </c>
      <c r="B2371" s="2" t="n">
        <v>43173.6625</v>
      </c>
      <c r="C2371" t="n">
        <v>0</v>
      </c>
      <c r="D2371" t="n">
        <v>0</v>
      </c>
      <c r="E2371" t="s">
        <v>2373</v>
      </c>
      <c r="F2371" t="s"/>
      <c r="G2371" t="s"/>
      <c r="H2371" t="s"/>
      <c r="I2371" t="s"/>
      <c r="J2371" t="n">
        <v>-0.2263</v>
      </c>
      <c r="K2371" t="n">
        <v>0.176</v>
      </c>
      <c r="L2371" t="n">
        <v>0.695</v>
      </c>
      <c r="M2371" t="n">
        <v>0.128</v>
      </c>
    </row>
    <row r="2372" spans="1:13">
      <c r="A2372" s="1">
        <f>HYPERLINK("http://www.twitter.com/NathanBLawrence/status/973947475026436097", "973947475026436097")</f>
        <v/>
      </c>
      <c r="B2372" s="2" t="n">
        <v>43173.65447916667</v>
      </c>
      <c r="C2372" t="n">
        <v>1</v>
      </c>
      <c r="D2372" t="n">
        <v>0</v>
      </c>
      <c r="E2372" t="s">
        <v>2374</v>
      </c>
      <c r="F2372" t="s"/>
      <c r="G2372" t="s"/>
      <c r="H2372" t="s"/>
      <c r="I2372" t="s"/>
      <c r="J2372" t="n">
        <v>0</v>
      </c>
      <c r="K2372" t="n">
        <v>0</v>
      </c>
      <c r="L2372" t="n">
        <v>1</v>
      </c>
      <c r="M2372" t="n">
        <v>0</v>
      </c>
    </row>
    <row r="2373" spans="1:13">
      <c r="A2373" s="1">
        <f>HYPERLINK("http://www.twitter.com/NathanBLawrence/status/973946966546755585", "973946966546755585")</f>
        <v/>
      </c>
      <c r="B2373" s="2" t="n">
        <v>43173.6530787037</v>
      </c>
      <c r="C2373" t="n">
        <v>0</v>
      </c>
      <c r="D2373" t="n">
        <v>1</v>
      </c>
      <c r="E2373" t="s">
        <v>2375</v>
      </c>
      <c r="F2373" t="s"/>
      <c r="G2373" t="s"/>
      <c r="H2373" t="s"/>
      <c r="I2373" t="s"/>
      <c r="J2373" t="n">
        <v>0</v>
      </c>
      <c r="K2373" t="n">
        <v>0</v>
      </c>
      <c r="L2373" t="n">
        <v>1</v>
      </c>
      <c r="M2373" t="n">
        <v>0</v>
      </c>
    </row>
    <row r="2374" spans="1:13">
      <c r="A2374" s="1">
        <f>HYPERLINK("http://www.twitter.com/NathanBLawrence/status/973945922534158336", "973945922534158336")</f>
        <v/>
      </c>
      <c r="B2374" s="2" t="n">
        <v>43173.65019675926</v>
      </c>
      <c r="C2374" t="n">
        <v>1</v>
      </c>
      <c r="D2374" t="n">
        <v>0</v>
      </c>
      <c r="E2374" t="s">
        <v>2376</v>
      </c>
      <c r="F2374" t="s"/>
      <c r="G2374" t="s"/>
      <c r="H2374" t="s"/>
      <c r="I2374" t="s"/>
      <c r="J2374" t="n">
        <v>-0.3182</v>
      </c>
      <c r="K2374" t="n">
        <v>0.133</v>
      </c>
      <c r="L2374" t="n">
        <v>0.867</v>
      </c>
      <c r="M2374" t="n">
        <v>0</v>
      </c>
    </row>
    <row r="2375" spans="1:13">
      <c r="A2375" s="1">
        <f>HYPERLINK("http://www.twitter.com/NathanBLawrence/status/973945116426633216", "973945116426633216")</f>
        <v/>
      </c>
      <c r="B2375" s="2" t="n">
        <v>43173.64797453704</v>
      </c>
      <c r="C2375" t="n">
        <v>0</v>
      </c>
      <c r="D2375" t="n">
        <v>1</v>
      </c>
      <c r="E2375" t="s">
        <v>2377</v>
      </c>
      <c r="F2375" t="s"/>
      <c r="G2375" t="s"/>
      <c r="H2375" t="s"/>
      <c r="I2375" t="s"/>
      <c r="J2375" t="n">
        <v>0</v>
      </c>
      <c r="K2375" t="n">
        <v>0</v>
      </c>
      <c r="L2375" t="n">
        <v>1</v>
      </c>
      <c r="M2375" t="n">
        <v>0</v>
      </c>
    </row>
    <row r="2376" spans="1:13">
      <c r="A2376" s="1">
        <f>HYPERLINK("http://www.twitter.com/NathanBLawrence/status/973944847668338696", "973944847668338696")</f>
        <v/>
      </c>
      <c r="B2376" s="2" t="n">
        <v>43173.6472337963</v>
      </c>
      <c r="C2376" t="n">
        <v>0</v>
      </c>
      <c r="D2376" t="n">
        <v>0</v>
      </c>
      <c r="E2376" t="s">
        <v>2378</v>
      </c>
      <c r="F2376" t="s"/>
      <c r="G2376" t="s"/>
      <c r="H2376" t="s"/>
      <c r="I2376" t="s"/>
      <c r="J2376" t="n">
        <v>0</v>
      </c>
      <c r="K2376" t="n">
        <v>0</v>
      </c>
      <c r="L2376" t="n">
        <v>1</v>
      </c>
      <c r="M2376" t="n">
        <v>0</v>
      </c>
    </row>
    <row r="2377" spans="1:13">
      <c r="A2377" s="1">
        <f>HYPERLINK("http://www.twitter.com/NathanBLawrence/status/973944208540147713", "973944208540147713")</f>
        <v/>
      </c>
      <c r="B2377" s="2" t="n">
        <v>43173.64546296297</v>
      </c>
      <c r="C2377" t="n">
        <v>0</v>
      </c>
      <c r="D2377" t="n">
        <v>0</v>
      </c>
      <c r="E2377" t="s">
        <v>2379</v>
      </c>
      <c r="F2377" t="s"/>
      <c r="G2377" t="s"/>
      <c r="H2377" t="s"/>
      <c r="I2377" t="s"/>
      <c r="J2377" t="n">
        <v>0.5719</v>
      </c>
      <c r="K2377" t="n">
        <v>0</v>
      </c>
      <c r="L2377" t="n">
        <v>0.748</v>
      </c>
      <c r="M2377" t="n">
        <v>0.252</v>
      </c>
    </row>
    <row r="2378" spans="1:13">
      <c r="A2378" s="1">
        <f>HYPERLINK("http://www.twitter.com/NathanBLawrence/status/973943374683262977", "973943374683262977")</f>
        <v/>
      </c>
      <c r="B2378" s="2" t="n">
        <v>43173.64317129629</v>
      </c>
      <c r="C2378" t="n">
        <v>0</v>
      </c>
      <c r="D2378" t="n">
        <v>1</v>
      </c>
      <c r="E2378" t="s">
        <v>2380</v>
      </c>
      <c r="F2378" t="s"/>
      <c r="G2378" t="s"/>
      <c r="H2378" t="s"/>
      <c r="I2378" t="s"/>
      <c r="J2378" t="n">
        <v>-0.5696</v>
      </c>
      <c r="K2378" t="n">
        <v>0.149</v>
      </c>
      <c r="L2378" t="n">
        <v>0.851</v>
      </c>
      <c r="M2378" t="n">
        <v>0</v>
      </c>
    </row>
    <row r="2379" spans="1:13">
      <c r="A2379" s="1">
        <f>HYPERLINK("http://www.twitter.com/NathanBLawrence/status/973943259704758272", "973943259704758272")</f>
        <v/>
      </c>
      <c r="B2379" s="2" t="n">
        <v>43173.64284722223</v>
      </c>
      <c r="C2379" t="n">
        <v>0</v>
      </c>
      <c r="D2379" t="n">
        <v>2</v>
      </c>
      <c r="E2379" t="s">
        <v>2381</v>
      </c>
      <c r="F2379" t="s"/>
      <c r="G2379" t="s"/>
      <c r="H2379" t="s"/>
      <c r="I2379" t="s"/>
      <c r="J2379" t="n">
        <v>0</v>
      </c>
      <c r="K2379" t="n">
        <v>0</v>
      </c>
      <c r="L2379" t="n">
        <v>1</v>
      </c>
      <c r="M2379" t="n">
        <v>0</v>
      </c>
    </row>
    <row r="2380" spans="1:13">
      <c r="A2380" s="1">
        <f>HYPERLINK("http://www.twitter.com/NathanBLawrence/status/973943209536704513", "973943209536704513")</f>
        <v/>
      </c>
      <c r="B2380" s="2" t="n">
        <v>43173.64270833333</v>
      </c>
      <c r="C2380" t="n">
        <v>0</v>
      </c>
      <c r="D2380" t="n">
        <v>1</v>
      </c>
      <c r="E2380" t="s">
        <v>2382</v>
      </c>
      <c r="F2380" t="s"/>
      <c r="G2380" t="s"/>
      <c r="H2380" t="s"/>
      <c r="I2380" t="s"/>
      <c r="J2380" t="n">
        <v>0.0772</v>
      </c>
      <c r="K2380" t="n">
        <v>0.259</v>
      </c>
      <c r="L2380" t="n">
        <v>0.473</v>
      </c>
      <c r="M2380" t="n">
        <v>0.268</v>
      </c>
    </row>
    <row r="2381" spans="1:13">
      <c r="A2381" s="1">
        <f>HYPERLINK("http://www.twitter.com/NathanBLawrence/status/973942754467352576", "973942754467352576")</f>
        <v/>
      </c>
      <c r="B2381" s="2" t="n">
        <v>43173.64145833333</v>
      </c>
      <c r="C2381" t="n">
        <v>2</v>
      </c>
      <c r="D2381" t="n">
        <v>0</v>
      </c>
      <c r="E2381" t="s">
        <v>2383</v>
      </c>
      <c r="F2381" t="s"/>
      <c r="G2381" t="s"/>
      <c r="H2381" t="s"/>
      <c r="I2381" t="s"/>
      <c r="J2381" t="n">
        <v>-0.204</v>
      </c>
      <c r="K2381" t="n">
        <v>0.327</v>
      </c>
      <c r="L2381" t="n">
        <v>0.434</v>
      </c>
      <c r="M2381" t="n">
        <v>0.239</v>
      </c>
    </row>
    <row r="2382" spans="1:13">
      <c r="A2382" s="1">
        <f>HYPERLINK("http://www.twitter.com/NathanBLawrence/status/973942439294750721", "973942439294750721")</f>
        <v/>
      </c>
      <c r="B2382" s="2" t="n">
        <v>43173.64059027778</v>
      </c>
      <c r="C2382" t="n">
        <v>0</v>
      </c>
      <c r="D2382" t="n">
        <v>3</v>
      </c>
      <c r="E2382" t="s">
        <v>2384</v>
      </c>
      <c r="F2382" t="s"/>
      <c r="G2382" t="s"/>
      <c r="H2382" t="s"/>
      <c r="I2382" t="s"/>
      <c r="J2382" t="n">
        <v>0</v>
      </c>
      <c r="K2382" t="n">
        <v>0</v>
      </c>
      <c r="L2382" t="n">
        <v>1</v>
      </c>
      <c r="M2382" t="n">
        <v>0</v>
      </c>
    </row>
    <row r="2383" spans="1:13">
      <c r="A2383" s="1">
        <f>HYPERLINK("http://www.twitter.com/NathanBLawrence/status/973941517244039169", "973941517244039169")</f>
        <v/>
      </c>
      <c r="B2383" s="2" t="n">
        <v>43173.63804398148</v>
      </c>
      <c r="C2383" t="n">
        <v>0</v>
      </c>
      <c r="D2383" t="n">
        <v>0</v>
      </c>
      <c r="E2383" t="s">
        <v>2385</v>
      </c>
      <c r="F2383" t="s"/>
      <c r="G2383" t="s"/>
      <c r="H2383" t="s"/>
      <c r="I2383" t="s"/>
      <c r="J2383" t="n">
        <v>0</v>
      </c>
      <c r="K2383" t="n">
        <v>0</v>
      </c>
      <c r="L2383" t="n">
        <v>1</v>
      </c>
      <c r="M2383" t="n">
        <v>0</v>
      </c>
    </row>
    <row r="2384" spans="1:13">
      <c r="A2384" s="1">
        <f>HYPERLINK("http://www.twitter.com/NathanBLawrence/status/973939233923698694", "973939233923698694")</f>
        <v/>
      </c>
      <c r="B2384" s="2" t="n">
        <v>43173.63173611111</v>
      </c>
      <c r="C2384" t="n">
        <v>1</v>
      </c>
      <c r="D2384" t="n">
        <v>0</v>
      </c>
      <c r="E2384" t="s">
        <v>2386</v>
      </c>
      <c r="F2384" t="s"/>
      <c r="G2384" t="s"/>
      <c r="H2384" t="s"/>
      <c r="I2384" t="s"/>
      <c r="J2384" t="n">
        <v>0</v>
      </c>
      <c r="K2384" t="n">
        <v>0</v>
      </c>
      <c r="L2384" t="n">
        <v>1</v>
      </c>
      <c r="M2384" t="n">
        <v>0</v>
      </c>
    </row>
    <row r="2385" spans="1:13">
      <c r="A2385" s="1">
        <f>HYPERLINK("http://www.twitter.com/NathanBLawrence/status/973938845149532160", "973938845149532160")</f>
        <v/>
      </c>
      <c r="B2385" s="2" t="n">
        <v>43173.6306712963</v>
      </c>
      <c r="C2385" t="n">
        <v>1</v>
      </c>
      <c r="D2385" t="n">
        <v>0</v>
      </c>
      <c r="E2385" t="s">
        <v>2387</v>
      </c>
      <c r="F2385" t="s"/>
      <c r="G2385" t="s"/>
      <c r="H2385" t="s"/>
      <c r="I2385" t="s"/>
      <c r="J2385" t="n">
        <v>-0.6924</v>
      </c>
      <c r="K2385" t="n">
        <v>0.197</v>
      </c>
      <c r="L2385" t="n">
        <v>0.74</v>
      </c>
      <c r="M2385" t="n">
        <v>0.063</v>
      </c>
    </row>
    <row r="2386" spans="1:13">
      <c r="A2386" s="1">
        <f>HYPERLINK("http://www.twitter.com/NathanBLawrence/status/973938166074920960", "973938166074920960")</f>
        <v/>
      </c>
      <c r="B2386" s="2" t="n">
        <v>43173.6287962963</v>
      </c>
      <c r="C2386" t="n">
        <v>2</v>
      </c>
      <c r="D2386" t="n">
        <v>1</v>
      </c>
      <c r="E2386" t="s">
        <v>2388</v>
      </c>
      <c r="F2386" t="s"/>
      <c r="G2386" t="s"/>
      <c r="H2386" t="s"/>
      <c r="I2386" t="s"/>
      <c r="J2386" t="n">
        <v>-0.5423</v>
      </c>
      <c r="K2386" t="n">
        <v>0.2</v>
      </c>
      <c r="L2386" t="n">
        <v>0.8</v>
      </c>
      <c r="M2386" t="n">
        <v>0</v>
      </c>
    </row>
    <row r="2387" spans="1:13">
      <c r="A2387" s="1">
        <f>HYPERLINK("http://www.twitter.com/NathanBLawrence/status/973937791737450498", "973937791737450498")</f>
        <v/>
      </c>
      <c r="B2387" s="2" t="n">
        <v>43173.6277662037</v>
      </c>
      <c r="C2387" t="n">
        <v>0</v>
      </c>
      <c r="D2387" t="n">
        <v>1</v>
      </c>
      <c r="E2387" t="s">
        <v>2389</v>
      </c>
      <c r="F2387" t="s"/>
      <c r="G2387" t="s"/>
      <c r="H2387" t="s"/>
      <c r="I2387" t="s"/>
      <c r="J2387" t="n">
        <v>-0.7403999999999999</v>
      </c>
      <c r="K2387" t="n">
        <v>0.285</v>
      </c>
      <c r="L2387" t="n">
        <v>0.628</v>
      </c>
      <c r="M2387" t="n">
        <v>0.08799999999999999</v>
      </c>
    </row>
    <row r="2388" spans="1:13">
      <c r="A2388" s="1">
        <f>HYPERLINK("http://www.twitter.com/NathanBLawrence/status/973937545200402435", "973937545200402435")</f>
        <v/>
      </c>
      <c r="B2388" s="2" t="n">
        <v>43173.62708333333</v>
      </c>
      <c r="C2388" t="n">
        <v>0</v>
      </c>
      <c r="D2388" t="n">
        <v>1</v>
      </c>
      <c r="E2388" t="s">
        <v>2390</v>
      </c>
      <c r="F2388" t="s"/>
      <c r="G2388" t="s"/>
      <c r="H2388" t="s"/>
      <c r="I2388" t="s"/>
      <c r="J2388" t="n">
        <v>-0.296</v>
      </c>
      <c r="K2388" t="n">
        <v>0.109</v>
      </c>
      <c r="L2388" t="n">
        <v>0.891</v>
      </c>
      <c r="M2388" t="n">
        <v>0</v>
      </c>
    </row>
    <row r="2389" spans="1:13">
      <c r="A2389" s="1">
        <f>HYPERLINK("http://www.twitter.com/NathanBLawrence/status/973936377997021184", "973936377997021184")</f>
        <v/>
      </c>
      <c r="B2389" s="2" t="n">
        <v>43173.62386574074</v>
      </c>
      <c r="C2389" t="n">
        <v>2</v>
      </c>
      <c r="D2389" t="n">
        <v>0</v>
      </c>
      <c r="E2389" t="s">
        <v>2391</v>
      </c>
      <c r="F2389" t="s"/>
      <c r="G2389" t="s"/>
      <c r="H2389" t="s"/>
      <c r="I2389" t="s"/>
      <c r="J2389" t="n">
        <v>0</v>
      </c>
      <c r="K2389" t="n">
        <v>0</v>
      </c>
      <c r="L2389" t="n">
        <v>1</v>
      </c>
      <c r="M2389" t="n">
        <v>0</v>
      </c>
    </row>
    <row r="2390" spans="1:13">
      <c r="A2390" s="1">
        <f>HYPERLINK("http://www.twitter.com/NathanBLawrence/status/973935617318014976", "973935617318014976")</f>
        <v/>
      </c>
      <c r="B2390" s="2" t="n">
        <v>43173.62175925926</v>
      </c>
      <c r="C2390" t="n">
        <v>3</v>
      </c>
      <c r="D2390" t="n">
        <v>0</v>
      </c>
      <c r="E2390" t="s">
        <v>2392</v>
      </c>
      <c r="F2390" t="s"/>
      <c r="G2390" t="s"/>
      <c r="H2390" t="s"/>
      <c r="I2390" t="s"/>
      <c r="J2390" t="n">
        <v>0</v>
      </c>
      <c r="K2390" t="n">
        <v>0</v>
      </c>
      <c r="L2390" t="n">
        <v>1</v>
      </c>
      <c r="M2390" t="n">
        <v>0</v>
      </c>
    </row>
    <row r="2391" spans="1:13">
      <c r="A2391" s="1">
        <f>HYPERLINK("http://www.twitter.com/NathanBLawrence/status/973935157026738181", "973935157026738181")</f>
        <v/>
      </c>
      <c r="B2391" s="2" t="n">
        <v>43173.62048611111</v>
      </c>
      <c r="C2391" t="n">
        <v>0</v>
      </c>
      <c r="D2391" t="n">
        <v>0</v>
      </c>
      <c r="E2391" t="s">
        <v>2393</v>
      </c>
      <c r="F2391" t="s"/>
      <c r="G2391" t="s"/>
      <c r="H2391" t="s"/>
      <c r="I2391" t="s"/>
      <c r="J2391" t="n">
        <v>0.2462</v>
      </c>
      <c r="K2391" t="n">
        <v>0</v>
      </c>
      <c r="L2391" t="n">
        <v>0.335</v>
      </c>
      <c r="M2391" t="n">
        <v>0.665</v>
      </c>
    </row>
    <row r="2392" spans="1:13">
      <c r="A2392" s="1">
        <f>HYPERLINK("http://www.twitter.com/NathanBLawrence/status/973934247303110662", "973934247303110662")</f>
        <v/>
      </c>
      <c r="B2392" s="2" t="n">
        <v>43173.61798611111</v>
      </c>
      <c r="C2392" t="n">
        <v>0</v>
      </c>
      <c r="D2392" t="n">
        <v>2</v>
      </c>
      <c r="E2392" t="s">
        <v>2394</v>
      </c>
      <c r="F2392" t="s"/>
      <c r="G2392" t="s"/>
      <c r="H2392" t="s"/>
      <c r="I2392" t="s"/>
      <c r="J2392" t="n">
        <v>0.6597</v>
      </c>
      <c r="K2392" t="n">
        <v>0</v>
      </c>
      <c r="L2392" t="n">
        <v>0.803</v>
      </c>
      <c r="M2392" t="n">
        <v>0.197</v>
      </c>
    </row>
    <row r="2393" spans="1:13">
      <c r="A2393" s="1">
        <f>HYPERLINK("http://www.twitter.com/NathanBLawrence/status/973932994145734656", "973932994145734656")</f>
        <v/>
      </c>
      <c r="B2393" s="2" t="n">
        <v>43173.61452546297</v>
      </c>
      <c r="C2393" t="n">
        <v>2</v>
      </c>
      <c r="D2393" t="n">
        <v>0</v>
      </c>
      <c r="E2393" t="s">
        <v>2395</v>
      </c>
      <c r="F2393" t="s"/>
      <c r="G2393" t="s"/>
      <c r="H2393" t="s"/>
      <c r="I2393" t="s"/>
      <c r="J2393" t="n">
        <v>-0.7184</v>
      </c>
      <c r="K2393" t="n">
        <v>0.261</v>
      </c>
      <c r="L2393" t="n">
        <v>0.739</v>
      </c>
      <c r="M2393" t="n">
        <v>0</v>
      </c>
    </row>
    <row r="2394" spans="1:13">
      <c r="A2394" s="1">
        <f>HYPERLINK("http://www.twitter.com/NathanBLawrence/status/973932331596763138", "973932331596763138")</f>
        <v/>
      </c>
      <c r="B2394" s="2" t="n">
        <v>43173.61269675926</v>
      </c>
      <c r="C2394" t="n">
        <v>2</v>
      </c>
      <c r="D2394" t="n">
        <v>0</v>
      </c>
      <c r="E2394" t="s">
        <v>2396</v>
      </c>
      <c r="F2394" t="s"/>
      <c r="G2394" t="s"/>
      <c r="H2394" t="s"/>
      <c r="I2394" t="s"/>
      <c r="J2394" t="n">
        <v>-0.4184</v>
      </c>
      <c r="K2394" t="n">
        <v>0.256</v>
      </c>
      <c r="L2394" t="n">
        <v>0.744</v>
      </c>
      <c r="M2394" t="n">
        <v>0</v>
      </c>
    </row>
    <row r="2395" spans="1:13">
      <c r="A2395" s="1">
        <f>HYPERLINK("http://www.twitter.com/NathanBLawrence/status/973931705311682560", "973931705311682560")</f>
        <v/>
      </c>
      <c r="B2395" s="2" t="n">
        <v>43173.61096064815</v>
      </c>
      <c r="C2395" t="n">
        <v>3</v>
      </c>
      <c r="D2395" t="n">
        <v>0</v>
      </c>
      <c r="E2395" t="s">
        <v>2397</v>
      </c>
      <c r="F2395" t="s"/>
      <c r="G2395" t="s"/>
      <c r="H2395" t="s"/>
      <c r="I2395" t="s"/>
      <c r="J2395" t="n">
        <v>0.5106000000000001</v>
      </c>
      <c r="K2395" t="n">
        <v>0.057</v>
      </c>
      <c r="L2395" t="n">
        <v>0.774</v>
      </c>
      <c r="M2395" t="n">
        <v>0.168</v>
      </c>
    </row>
    <row r="2396" spans="1:13">
      <c r="A2396" s="1">
        <f>HYPERLINK("http://www.twitter.com/NathanBLawrence/status/973930972617035776", "973930972617035776")</f>
        <v/>
      </c>
      <c r="B2396" s="2" t="n">
        <v>43173.60894675926</v>
      </c>
      <c r="C2396" t="n">
        <v>7</v>
      </c>
      <c r="D2396" t="n">
        <v>0</v>
      </c>
      <c r="E2396" t="s">
        <v>2398</v>
      </c>
      <c r="F2396" t="s"/>
      <c r="G2396" t="s"/>
      <c r="H2396" t="s"/>
      <c r="I2396" t="s"/>
      <c r="J2396" t="n">
        <v>-0.4767</v>
      </c>
      <c r="K2396" t="n">
        <v>0.141</v>
      </c>
      <c r="L2396" t="n">
        <v>0.82</v>
      </c>
      <c r="M2396" t="n">
        <v>0.039</v>
      </c>
    </row>
    <row r="2397" spans="1:13">
      <c r="A2397" s="1">
        <f>HYPERLINK("http://www.twitter.com/NathanBLawrence/status/973930358755426307", "973930358755426307")</f>
        <v/>
      </c>
      <c r="B2397" s="2" t="n">
        <v>43173.60724537037</v>
      </c>
      <c r="C2397" t="n">
        <v>6</v>
      </c>
      <c r="D2397" t="n">
        <v>0</v>
      </c>
      <c r="E2397" t="s">
        <v>2399</v>
      </c>
      <c r="F2397" t="s"/>
      <c r="G2397" t="s"/>
      <c r="H2397" t="s"/>
      <c r="I2397" t="s"/>
      <c r="J2397" t="n">
        <v>-0.4939</v>
      </c>
      <c r="K2397" t="n">
        <v>0.198</v>
      </c>
      <c r="L2397" t="n">
        <v>0.802</v>
      </c>
      <c r="M2397" t="n">
        <v>0</v>
      </c>
    </row>
    <row r="2398" spans="1:13">
      <c r="A2398" s="1">
        <f>HYPERLINK("http://www.twitter.com/NathanBLawrence/status/973928487668023296", "973928487668023296")</f>
        <v/>
      </c>
      <c r="B2398" s="2" t="n">
        <v>43173.60208333333</v>
      </c>
      <c r="C2398" t="n">
        <v>0</v>
      </c>
      <c r="D2398" t="n">
        <v>1</v>
      </c>
      <c r="E2398" t="s">
        <v>2400</v>
      </c>
      <c r="F2398" t="s"/>
      <c r="G2398" t="s"/>
      <c r="H2398" t="s"/>
      <c r="I2398" t="s"/>
      <c r="J2398" t="n">
        <v>0.7003</v>
      </c>
      <c r="K2398" t="n">
        <v>0</v>
      </c>
      <c r="L2398" t="n">
        <v>0.791</v>
      </c>
      <c r="M2398" t="n">
        <v>0.209</v>
      </c>
    </row>
    <row r="2399" spans="1:13">
      <c r="A2399" s="1">
        <f>HYPERLINK("http://www.twitter.com/NathanBLawrence/status/973928441966923778", "973928441966923778")</f>
        <v/>
      </c>
      <c r="B2399" s="2" t="n">
        <v>43173.60195601852</v>
      </c>
      <c r="C2399" t="n">
        <v>0</v>
      </c>
      <c r="D2399" t="n">
        <v>2</v>
      </c>
      <c r="E2399" t="s">
        <v>2401</v>
      </c>
      <c r="F2399" t="s"/>
      <c r="G2399" t="s"/>
      <c r="H2399" t="s"/>
      <c r="I2399" t="s"/>
      <c r="J2399" t="n">
        <v>0.1531</v>
      </c>
      <c r="K2399" t="n">
        <v>0.081</v>
      </c>
      <c r="L2399" t="n">
        <v>0.8120000000000001</v>
      </c>
      <c r="M2399" t="n">
        <v>0.107</v>
      </c>
    </row>
    <row r="2400" spans="1:13">
      <c r="A2400" s="1">
        <f>HYPERLINK("http://www.twitter.com/NathanBLawrence/status/973928101888561152", "973928101888561152")</f>
        <v/>
      </c>
      <c r="B2400" s="2" t="n">
        <v>43173.60101851852</v>
      </c>
      <c r="C2400" t="n">
        <v>0</v>
      </c>
      <c r="D2400" t="n">
        <v>1</v>
      </c>
      <c r="E2400" t="s">
        <v>2402</v>
      </c>
      <c r="F2400" t="s"/>
      <c r="G2400" t="s"/>
      <c r="H2400" t="s"/>
      <c r="I2400" t="s"/>
      <c r="J2400" t="n">
        <v>-0.4968</v>
      </c>
      <c r="K2400" t="n">
        <v>0.203</v>
      </c>
      <c r="L2400" t="n">
        <v>0.709</v>
      </c>
      <c r="M2400" t="n">
        <v>0.089</v>
      </c>
    </row>
    <row r="2401" spans="1:13">
      <c r="A2401" s="1">
        <f>HYPERLINK("http://www.twitter.com/NathanBLawrence/status/973927886397820928", "973927886397820928")</f>
        <v/>
      </c>
      <c r="B2401" s="2" t="n">
        <v>43173.60042824074</v>
      </c>
      <c r="C2401" t="n">
        <v>0</v>
      </c>
      <c r="D2401" t="n">
        <v>68</v>
      </c>
      <c r="E2401" t="s">
        <v>2403</v>
      </c>
      <c r="F2401" t="s"/>
      <c r="G2401" t="s"/>
      <c r="H2401" t="s"/>
      <c r="I2401" t="s"/>
      <c r="J2401" t="n">
        <v>0.2732</v>
      </c>
      <c r="K2401" t="n">
        <v>0.162</v>
      </c>
      <c r="L2401" t="n">
        <v>0.647</v>
      </c>
      <c r="M2401" t="n">
        <v>0.191</v>
      </c>
    </row>
    <row r="2402" spans="1:13">
      <c r="A2402" s="1">
        <f>HYPERLINK("http://www.twitter.com/NathanBLawrence/status/973927067665518593", "973927067665518593")</f>
        <v/>
      </c>
      <c r="B2402" s="2" t="n">
        <v>43173.5981712963</v>
      </c>
      <c r="C2402" t="n">
        <v>0</v>
      </c>
      <c r="D2402" t="n">
        <v>14</v>
      </c>
      <c r="E2402" t="s">
        <v>2404</v>
      </c>
      <c r="F2402" t="s"/>
      <c r="G2402" t="s"/>
      <c r="H2402" t="s"/>
      <c r="I2402" t="s"/>
      <c r="J2402" t="n">
        <v>0.126</v>
      </c>
      <c r="K2402" t="n">
        <v>0.143</v>
      </c>
      <c r="L2402" t="n">
        <v>0.6909999999999999</v>
      </c>
      <c r="M2402" t="n">
        <v>0.166</v>
      </c>
    </row>
    <row r="2403" spans="1:13">
      <c r="A2403" s="1">
        <f>HYPERLINK("http://www.twitter.com/NathanBLawrence/status/973926759526780928", "973926759526780928")</f>
        <v/>
      </c>
      <c r="B2403" s="2" t="n">
        <v>43173.59731481481</v>
      </c>
      <c r="C2403" t="n">
        <v>0</v>
      </c>
      <c r="D2403" t="n">
        <v>21</v>
      </c>
      <c r="E2403" t="s">
        <v>2405</v>
      </c>
      <c r="F2403" t="s"/>
      <c r="G2403" t="s"/>
      <c r="H2403" t="s"/>
      <c r="I2403" t="s"/>
      <c r="J2403" t="n">
        <v>-0.3044</v>
      </c>
      <c r="K2403" t="n">
        <v>0.099</v>
      </c>
      <c r="L2403" t="n">
        <v>0.846</v>
      </c>
      <c r="M2403" t="n">
        <v>0.055</v>
      </c>
    </row>
    <row r="2404" spans="1:13">
      <c r="A2404" s="1">
        <f>HYPERLINK("http://www.twitter.com/NathanBLawrence/status/973926725674569729", "973926725674569729")</f>
        <v/>
      </c>
      <c r="B2404" s="2" t="n">
        <v>43173.59722222222</v>
      </c>
      <c r="C2404" t="n">
        <v>0</v>
      </c>
      <c r="D2404" t="n">
        <v>5</v>
      </c>
      <c r="E2404" t="s">
        <v>2406</v>
      </c>
      <c r="F2404" t="s"/>
      <c r="G2404" t="s"/>
      <c r="H2404" t="s"/>
      <c r="I2404" t="s"/>
      <c r="J2404" t="n">
        <v>-0.3382</v>
      </c>
      <c r="K2404" t="n">
        <v>0.191</v>
      </c>
      <c r="L2404" t="n">
        <v>0.6870000000000001</v>
      </c>
      <c r="M2404" t="n">
        <v>0.123</v>
      </c>
    </row>
    <row r="2405" spans="1:13">
      <c r="A2405" s="1">
        <f>HYPERLINK("http://www.twitter.com/NathanBLawrence/status/973926399798104064", "973926399798104064")</f>
        <v/>
      </c>
      <c r="B2405" s="2" t="n">
        <v>43173.59633101852</v>
      </c>
      <c r="C2405" t="n">
        <v>0</v>
      </c>
      <c r="D2405" t="n">
        <v>3</v>
      </c>
      <c r="E2405" t="s">
        <v>2407</v>
      </c>
      <c r="F2405" t="s"/>
      <c r="G2405" t="s"/>
      <c r="H2405" t="s"/>
      <c r="I2405" t="s"/>
      <c r="J2405" t="n">
        <v>0.0772</v>
      </c>
      <c r="K2405" t="n">
        <v>0.091</v>
      </c>
      <c r="L2405" t="n">
        <v>0.772</v>
      </c>
      <c r="M2405" t="n">
        <v>0.137</v>
      </c>
    </row>
    <row r="2406" spans="1:13">
      <c r="A2406" s="1">
        <f>HYPERLINK("http://www.twitter.com/NathanBLawrence/status/973926315224174592", "973926315224174592")</f>
        <v/>
      </c>
      <c r="B2406" s="2" t="n">
        <v>43173.59608796296</v>
      </c>
      <c r="C2406" t="n">
        <v>1</v>
      </c>
      <c r="D2406" t="n">
        <v>0</v>
      </c>
      <c r="E2406" t="s">
        <v>2408</v>
      </c>
      <c r="F2406" t="s"/>
      <c r="G2406" t="s"/>
      <c r="H2406" t="s"/>
      <c r="I2406" t="s"/>
      <c r="J2406" t="n">
        <v>0</v>
      </c>
      <c r="K2406" t="n">
        <v>0</v>
      </c>
      <c r="L2406" t="n">
        <v>1</v>
      </c>
      <c r="M2406" t="n">
        <v>0</v>
      </c>
    </row>
    <row r="2407" spans="1:13">
      <c r="A2407" s="1">
        <f>HYPERLINK("http://www.twitter.com/NathanBLawrence/status/973926206742650882", "973926206742650882")</f>
        <v/>
      </c>
      <c r="B2407" s="2" t="n">
        <v>43173.59579861111</v>
      </c>
      <c r="C2407" t="n">
        <v>0</v>
      </c>
      <c r="D2407" t="n">
        <v>1</v>
      </c>
      <c r="E2407" t="s">
        <v>2409</v>
      </c>
      <c r="F2407" t="s"/>
      <c r="G2407" t="s"/>
      <c r="H2407" t="s"/>
      <c r="I2407" t="s"/>
      <c r="J2407" t="n">
        <v>-0.5106000000000001</v>
      </c>
      <c r="K2407" t="n">
        <v>0.17</v>
      </c>
      <c r="L2407" t="n">
        <v>0.83</v>
      </c>
      <c r="M2407" t="n">
        <v>0</v>
      </c>
    </row>
    <row r="2408" spans="1:13">
      <c r="A2408" s="1">
        <f>HYPERLINK("http://www.twitter.com/NathanBLawrence/status/973926019244740608", "973926019244740608")</f>
        <v/>
      </c>
      <c r="B2408" s="2" t="n">
        <v>43173.59527777778</v>
      </c>
      <c r="C2408" t="n">
        <v>0</v>
      </c>
      <c r="D2408" t="n">
        <v>0</v>
      </c>
      <c r="E2408" t="s">
        <v>2410</v>
      </c>
      <c r="F2408" t="s"/>
      <c r="G2408" t="s"/>
      <c r="H2408" t="s"/>
      <c r="I2408" t="s"/>
      <c r="J2408" t="n">
        <v>-0.2411</v>
      </c>
      <c r="K2408" t="n">
        <v>0.089</v>
      </c>
      <c r="L2408" t="n">
        <v>0.911</v>
      </c>
      <c r="M2408" t="n">
        <v>0</v>
      </c>
    </row>
    <row r="2409" spans="1:13">
      <c r="A2409" s="1">
        <f>HYPERLINK("http://www.twitter.com/NathanBLawrence/status/973925449934962688", "973925449934962688")</f>
        <v/>
      </c>
      <c r="B2409" s="2" t="n">
        <v>43173.5937037037</v>
      </c>
      <c r="C2409" t="n">
        <v>0</v>
      </c>
      <c r="D2409" t="n">
        <v>1</v>
      </c>
      <c r="E2409" t="s">
        <v>2411</v>
      </c>
      <c r="F2409" t="s"/>
      <c r="G2409" t="s"/>
      <c r="H2409" t="s"/>
      <c r="I2409" t="s"/>
      <c r="J2409" t="n">
        <v>0</v>
      </c>
      <c r="K2409" t="n">
        <v>0</v>
      </c>
      <c r="L2409" t="n">
        <v>1</v>
      </c>
      <c r="M2409" t="n">
        <v>0</v>
      </c>
    </row>
    <row r="2410" spans="1:13">
      <c r="A2410" s="1">
        <f>HYPERLINK("http://www.twitter.com/NathanBLawrence/status/973925128533889025", "973925128533889025")</f>
        <v/>
      </c>
      <c r="B2410" s="2" t="n">
        <v>43173.5928125</v>
      </c>
      <c r="C2410" t="n">
        <v>0</v>
      </c>
      <c r="D2410" t="n">
        <v>2</v>
      </c>
      <c r="E2410" t="s">
        <v>2412</v>
      </c>
      <c r="F2410" t="s"/>
      <c r="G2410" t="s"/>
      <c r="H2410" t="s"/>
      <c r="I2410" t="s"/>
      <c r="J2410" t="n">
        <v>0.4939</v>
      </c>
      <c r="K2410" t="n">
        <v>0</v>
      </c>
      <c r="L2410" t="n">
        <v>0.856</v>
      </c>
      <c r="M2410" t="n">
        <v>0.144</v>
      </c>
    </row>
    <row r="2411" spans="1:13">
      <c r="A2411" s="1">
        <f>HYPERLINK("http://www.twitter.com/NathanBLawrence/status/973924512663252994", "973924512663252994")</f>
        <v/>
      </c>
      <c r="B2411" s="2" t="n">
        <v>43173.59112268518</v>
      </c>
      <c r="C2411" t="n">
        <v>0</v>
      </c>
      <c r="D2411" t="n">
        <v>1</v>
      </c>
      <c r="E2411" t="s">
        <v>2413</v>
      </c>
      <c r="F2411" t="s"/>
      <c r="G2411" t="s"/>
      <c r="H2411" t="s"/>
      <c r="I2411" t="s"/>
      <c r="J2411" t="n">
        <v>0.4199</v>
      </c>
      <c r="K2411" t="n">
        <v>0</v>
      </c>
      <c r="L2411" t="n">
        <v>0.859</v>
      </c>
      <c r="M2411" t="n">
        <v>0.141</v>
      </c>
    </row>
    <row r="2412" spans="1:13">
      <c r="A2412" s="1">
        <f>HYPERLINK("http://www.twitter.com/NathanBLawrence/status/973924388646113280", "973924388646113280")</f>
        <v/>
      </c>
      <c r="B2412" s="2" t="n">
        <v>43173.59077546297</v>
      </c>
      <c r="C2412" t="n">
        <v>0</v>
      </c>
      <c r="D2412" t="n">
        <v>1</v>
      </c>
      <c r="E2412" t="s">
        <v>2414</v>
      </c>
      <c r="F2412" t="s"/>
      <c r="G2412" t="s"/>
      <c r="H2412" t="s"/>
      <c r="I2412" t="s"/>
      <c r="J2412" t="n">
        <v>-0.4939</v>
      </c>
      <c r="K2412" t="n">
        <v>0.167</v>
      </c>
      <c r="L2412" t="n">
        <v>0.833</v>
      </c>
      <c r="M2412" t="n">
        <v>0</v>
      </c>
    </row>
    <row r="2413" spans="1:13">
      <c r="A2413" s="1">
        <f>HYPERLINK("http://www.twitter.com/NathanBLawrence/status/973924195234140160", "973924195234140160")</f>
        <v/>
      </c>
      <c r="B2413" s="2" t="n">
        <v>43173.59024305556</v>
      </c>
      <c r="C2413" t="n">
        <v>0</v>
      </c>
      <c r="D2413" t="n">
        <v>0</v>
      </c>
      <c r="E2413" t="s">
        <v>2415</v>
      </c>
      <c r="F2413" t="s"/>
      <c r="G2413" t="s"/>
      <c r="H2413" t="s"/>
      <c r="I2413" t="s"/>
      <c r="J2413" t="n">
        <v>0</v>
      </c>
      <c r="K2413" t="n">
        <v>0</v>
      </c>
      <c r="L2413" t="n">
        <v>1</v>
      </c>
      <c r="M2413" t="n">
        <v>0</v>
      </c>
    </row>
    <row r="2414" spans="1:13">
      <c r="A2414" s="1">
        <f>HYPERLINK("http://www.twitter.com/NathanBLawrence/status/973923775325622272", "973923775325622272")</f>
        <v/>
      </c>
      <c r="B2414" s="2" t="n">
        <v>43173.58908564815</v>
      </c>
      <c r="C2414" t="n">
        <v>0</v>
      </c>
      <c r="D2414" t="n">
        <v>0</v>
      </c>
      <c r="E2414" t="s">
        <v>2416</v>
      </c>
      <c r="F2414" t="s"/>
      <c r="G2414" t="s"/>
      <c r="H2414" t="s"/>
      <c r="I2414" t="s"/>
      <c r="J2414" t="n">
        <v>0</v>
      </c>
      <c r="K2414" t="n">
        <v>0</v>
      </c>
      <c r="L2414" t="n">
        <v>1</v>
      </c>
      <c r="M2414" t="n">
        <v>0</v>
      </c>
    </row>
    <row r="2415" spans="1:13">
      <c r="A2415" s="1">
        <f>HYPERLINK("http://www.twitter.com/NathanBLawrence/status/973923333912846342", "973923333912846342")</f>
        <v/>
      </c>
      <c r="B2415" s="2" t="n">
        <v>43173.58787037037</v>
      </c>
      <c r="C2415" t="n">
        <v>0</v>
      </c>
      <c r="D2415" t="n">
        <v>4</v>
      </c>
      <c r="E2415" t="s">
        <v>2417</v>
      </c>
      <c r="F2415">
        <f>HYPERLINK("http://pbs.twimg.com/media/DYQRqVNXkAI0bMz.jpg", "http://pbs.twimg.com/media/DYQRqVNXkAI0bMz.jpg")</f>
        <v/>
      </c>
      <c r="G2415" t="s"/>
      <c r="H2415" t="s"/>
      <c r="I2415" t="s"/>
      <c r="J2415" t="n">
        <v>0</v>
      </c>
      <c r="K2415" t="n">
        <v>0</v>
      </c>
      <c r="L2415" t="n">
        <v>1</v>
      </c>
      <c r="M2415" t="n">
        <v>0</v>
      </c>
    </row>
    <row r="2416" spans="1:13">
      <c r="A2416" s="1">
        <f>HYPERLINK("http://www.twitter.com/NathanBLawrence/status/973922152973045760", "973922152973045760")</f>
        <v/>
      </c>
      <c r="B2416" s="2" t="n">
        <v>43173.58460648148</v>
      </c>
      <c r="C2416" t="n">
        <v>2</v>
      </c>
      <c r="D2416" t="n">
        <v>0</v>
      </c>
      <c r="E2416" t="s">
        <v>2418</v>
      </c>
      <c r="F2416" t="s"/>
      <c r="G2416" t="s"/>
      <c r="H2416" t="s"/>
      <c r="I2416" t="s"/>
      <c r="J2416" t="n">
        <v>-0.5859</v>
      </c>
      <c r="K2416" t="n">
        <v>0.322</v>
      </c>
      <c r="L2416" t="n">
        <v>0.678</v>
      </c>
      <c r="M2416" t="n">
        <v>0</v>
      </c>
    </row>
    <row r="2417" spans="1:13">
      <c r="A2417" s="1">
        <f>HYPERLINK("http://www.twitter.com/NathanBLawrence/status/973921822273167360", "973921822273167360")</f>
        <v/>
      </c>
      <c r="B2417" s="2" t="n">
        <v>43173.58369212963</v>
      </c>
      <c r="C2417" t="n">
        <v>0</v>
      </c>
      <c r="D2417" t="n">
        <v>109</v>
      </c>
      <c r="E2417" t="s">
        <v>2419</v>
      </c>
      <c r="F2417" t="s"/>
      <c r="G2417" t="s"/>
      <c r="H2417" t="s"/>
      <c r="I2417" t="s"/>
      <c r="J2417" t="n">
        <v>0</v>
      </c>
      <c r="K2417" t="n">
        <v>0</v>
      </c>
      <c r="L2417" t="n">
        <v>1</v>
      </c>
      <c r="M2417" t="n">
        <v>0</v>
      </c>
    </row>
    <row r="2418" spans="1:13">
      <c r="A2418" s="1">
        <f>HYPERLINK("http://www.twitter.com/NathanBLawrence/status/973919652513570816", "973919652513570816")</f>
        <v/>
      </c>
      <c r="B2418" s="2" t="n">
        <v>43173.57770833333</v>
      </c>
      <c r="C2418" t="n">
        <v>0</v>
      </c>
      <c r="D2418" t="n">
        <v>0</v>
      </c>
      <c r="E2418" t="s">
        <v>2420</v>
      </c>
      <c r="F2418" t="s"/>
      <c r="G2418" t="s"/>
      <c r="H2418" t="s"/>
      <c r="I2418" t="s"/>
      <c r="J2418" t="n">
        <v>0.5965</v>
      </c>
      <c r="K2418" t="n">
        <v>0.152</v>
      </c>
      <c r="L2418" t="n">
        <v>0.487</v>
      </c>
      <c r="M2418" t="n">
        <v>0.361</v>
      </c>
    </row>
    <row r="2419" spans="1:13">
      <c r="A2419" s="1">
        <f>HYPERLINK("http://www.twitter.com/NathanBLawrence/status/973919249688420352", "973919249688420352")</f>
        <v/>
      </c>
      <c r="B2419" s="2" t="n">
        <v>43173.57659722222</v>
      </c>
      <c r="C2419" t="n">
        <v>1</v>
      </c>
      <c r="D2419" t="n">
        <v>0</v>
      </c>
      <c r="E2419" t="s">
        <v>2421</v>
      </c>
      <c r="F2419" t="s"/>
      <c r="G2419" t="s"/>
      <c r="H2419" t="s"/>
      <c r="I2419" t="s"/>
      <c r="J2419" t="n">
        <v>0.6808</v>
      </c>
      <c r="K2419" t="n">
        <v>0</v>
      </c>
      <c r="L2419" t="n">
        <v>0.263</v>
      </c>
      <c r="M2419" t="n">
        <v>0.737</v>
      </c>
    </row>
    <row r="2420" spans="1:13">
      <c r="A2420" s="1">
        <f>HYPERLINK("http://www.twitter.com/NathanBLawrence/status/973919175105228802", "973919175105228802")</f>
        <v/>
      </c>
      <c r="B2420" s="2" t="n">
        <v>43173.57638888889</v>
      </c>
      <c r="C2420" t="n">
        <v>0</v>
      </c>
      <c r="D2420" t="n">
        <v>1</v>
      </c>
      <c r="E2420" t="s">
        <v>2422</v>
      </c>
      <c r="F2420" t="s"/>
      <c r="G2420" t="s"/>
      <c r="H2420" t="s"/>
      <c r="I2420" t="s"/>
      <c r="J2420" t="n">
        <v>0.6124000000000001</v>
      </c>
      <c r="K2420" t="n">
        <v>0</v>
      </c>
      <c r="L2420" t="n">
        <v>0.852</v>
      </c>
      <c r="M2420" t="n">
        <v>0.148</v>
      </c>
    </row>
    <row r="2421" spans="1:13">
      <c r="A2421" s="1">
        <f>HYPERLINK("http://www.twitter.com/NathanBLawrence/status/973918609612460032", "973918609612460032")</f>
        <v/>
      </c>
      <c r="B2421" s="2" t="n">
        <v>43173.57482638889</v>
      </c>
      <c r="C2421" t="n">
        <v>1</v>
      </c>
      <c r="D2421" t="n">
        <v>0</v>
      </c>
      <c r="E2421" t="s">
        <v>2423</v>
      </c>
      <c r="F2421" t="s"/>
      <c r="G2421" t="s"/>
      <c r="H2421" t="s"/>
      <c r="I2421" t="s"/>
      <c r="J2421" t="n">
        <v>0</v>
      </c>
      <c r="K2421" t="n">
        <v>0</v>
      </c>
      <c r="L2421" t="n">
        <v>1</v>
      </c>
      <c r="M2421" t="n">
        <v>0</v>
      </c>
    </row>
    <row r="2422" spans="1:13">
      <c r="A2422" s="1">
        <f>HYPERLINK("http://www.twitter.com/NathanBLawrence/status/973918038352367616", "973918038352367616")</f>
        <v/>
      </c>
      <c r="B2422" s="2" t="n">
        <v>43173.57325231482</v>
      </c>
      <c r="C2422" t="n">
        <v>1</v>
      </c>
      <c r="D2422" t="n">
        <v>0</v>
      </c>
      <c r="E2422" t="s">
        <v>2424</v>
      </c>
      <c r="F2422" t="s"/>
      <c r="G2422" t="s"/>
      <c r="H2422" t="s"/>
      <c r="I2422" t="s"/>
      <c r="J2422" t="n">
        <v>0.7096</v>
      </c>
      <c r="K2422" t="n">
        <v>0</v>
      </c>
      <c r="L2422" t="n">
        <v>0.504</v>
      </c>
      <c r="M2422" t="n">
        <v>0.496</v>
      </c>
    </row>
    <row r="2423" spans="1:13">
      <c r="A2423" s="1">
        <f>HYPERLINK("http://www.twitter.com/NathanBLawrence/status/973917864393625600", "973917864393625600")</f>
        <v/>
      </c>
      <c r="B2423" s="2" t="n">
        <v>43173.57277777778</v>
      </c>
      <c r="C2423" t="n">
        <v>0</v>
      </c>
      <c r="D2423" t="n">
        <v>2</v>
      </c>
      <c r="E2423" t="s">
        <v>2425</v>
      </c>
      <c r="F2423" t="s"/>
      <c r="G2423" t="s"/>
      <c r="H2423" t="s"/>
      <c r="I2423" t="s"/>
      <c r="J2423" t="n">
        <v>-0.7027</v>
      </c>
      <c r="K2423" t="n">
        <v>0.194</v>
      </c>
      <c r="L2423" t="n">
        <v>0.806</v>
      </c>
      <c r="M2423" t="n">
        <v>0</v>
      </c>
    </row>
    <row r="2424" spans="1:13">
      <c r="A2424" s="1">
        <f>HYPERLINK("http://www.twitter.com/NathanBLawrence/status/973917664023318528", "973917664023318528")</f>
        <v/>
      </c>
      <c r="B2424" s="2" t="n">
        <v>43173.57222222222</v>
      </c>
      <c r="C2424" t="n">
        <v>0</v>
      </c>
      <c r="D2424" t="n">
        <v>1</v>
      </c>
      <c r="E2424" t="s">
        <v>2426</v>
      </c>
      <c r="F2424" t="s"/>
      <c r="G2424" t="s"/>
      <c r="H2424" t="s"/>
      <c r="I2424" t="s"/>
      <c r="J2424" t="n">
        <v>0.5106000000000001</v>
      </c>
      <c r="K2424" t="n">
        <v>0</v>
      </c>
      <c r="L2424" t="n">
        <v>0.852</v>
      </c>
      <c r="M2424" t="n">
        <v>0.148</v>
      </c>
    </row>
    <row r="2425" spans="1:13">
      <c r="A2425" s="1">
        <f>HYPERLINK("http://www.twitter.com/NathanBLawrence/status/973916847845396481", "973916847845396481")</f>
        <v/>
      </c>
      <c r="B2425" s="2" t="n">
        <v>43173.56996527778</v>
      </c>
      <c r="C2425" t="n">
        <v>0</v>
      </c>
      <c r="D2425" t="n">
        <v>4</v>
      </c>
      <c r="E2425" t="s">
        <v>2427</v>
      </c>
      <c r="F2425" t="s"/>
      <c r="G2425" t="s"/>
      <c r="H2425" t="s"/>
      <c r="I2425" t="s"/>
      <c r="J2425" t="n">
        <v>-0.0516</v>
      </c>
      <c r="K2425" t="n">
        <v>0.066</v>
      </c>
      <c r="L2425" t="n">
        <v>0.9340000000000001</v>
      </c>
      <c r="M2425" t="n">
        <v>0</v>
      </c>
    </row>
    <row r="2426" spans="1:13">
      <c r="A2426" s="1">
        <f>HYPERLINK("http://www.twitter.com/NathanBLawrence/status/973916751133134848", "973916751133134848")</f>
        <v/>
      </c>
      <c r="B2426" s="2" t="n">
        <v>43173.56969907408</v>
      </c>
      <c r="C2426" t="n">
        <v>0</v>
      </c>
      <c r="D2426" t="n">
        <v>3</v>
      </c>
      <c r="E2426" t="s">
        <v>2428</v>
      </c>
      <c r="F2426" t="s"/>
      <c r="G2426" t="s"/>
      <c r="H2426" t="s"/>
      <c r="I2426" t="s"/>
      <c r="J2426" t="n">
        <v>-0.3182</v>
      </c>
      <c r="K2426" t="n">
        <v>0.08699999999999999</v>
      </c>
      <c r="L2426" t="n">
        <v>0.913</v>
      </c>
      <c r="M2426" t="n">
        <v>0</v>
      </c>
    </row>
    <row r="2427" spans="1:13">
      <c r="A2427" s="1">
        <f>HYPERLINK("http://www.twitter.com/NathanBLawrence/status/973916104946053120", "973916104946053120")</f>
        <v/>
      </c>
      <c r="B2427" s="2" t="n">
        <v>43173.56791666667</v>
      </c>
      <c r="C2427" t="n">
        <v>0</v>
      </c>
      <c r="D2427" t="n">
        <v>9</v>
      </c>
      <c r="E2427" t="s">
        <v>2429</v>
      </c>
      <c r="F2427" t="s"/>
      <c r="G2427" t="s"/>
      <c r="H2427" t="s"/>
      <c r="I2427" t="s"/>
      <c r="J2427" t="n">
        <v>0.2561</v>
      </c>
      <c r="K2427" t="n">
        <v>0.092</v>
      </c>
      <c r="L2427" t="n">
        <v>0.782</v>
      </c>
      <c r="M2427" t="n">
        <v>0.127</v>
      </c>
    </row>
    <row r="2428" spans="1:13">
      <c r="A2428" s="1">
        <f>HYPERLINK("http://www.twitter.com/NathanBLawrence/status/973914608443576320", "973914608443576320")</f>
        <v/>
      </c>
      <c r="B2428" s="2" t="n">
        <v>43173.56378472222</v>
      </c>
      <c r="C2428" t="n">
        <v>1</v>
      </c>
      <c r="D2428" t="n">
        <v>0</v>
      </c>
      <c r="E2428" t="s">
        <v>2430</v>
      </c>
      <c r="F2428" t="s"/>
      <c r="G2428" t="s"/>
      <c r="H2428" t="s"/>
      <c r="I2428" t="s"/>
      <c r="J2428" t="n">
        <v>0</v>
      </c>
      <c r="K2428" t="n">
        <v>0</v>
      </c>
      <c r="L2428" t="n">
        <v>1</v>
      </c>
      <c r="M2428" t="n">
        <v>0</v>
      </c>
    </row>
    <row r="2429" spans="1:13">
      <c r="A2429" s="1">
        <f>HYPERLINK("http://www.twitter.com/NathanBLawrence/status/973914150832431105", "973914150832431105")</f>
        <v/>
      </c>
      <c r="B2429" s="2" t="n">
        <v>43173.56252314815</v>
      </c>
      <c r="C2429" t="n">
        <v>0</v>
      </c>
      <c r="D2429" t="n">
        <v>3</v>
      </c>
      <c r="E2429" t="s">
        <v>2431</v>
      </c>
      <c r="F2429" t="s"/>
      <c r="G2429" t="s"/>
      <c r="H2429" t="s"/>
      <c r="I2429" t="s"/>
      <c r="J2429" t="n">
        <v>0</v>
      </c>
      <c r="K2429" t="n">
        <v>0</v>
      </c>
      <c r="L2429" t="n">
        <v>1</v>
      </c>
      <c r="M2429" t="n">
        <v>0</v>
      </c>
    </row>
    <row r="2430" spans="1:13">
      <c r="A2430" s="1">
        <f>HYPERLINK("http://www.twitter.com/NathanBLawrence/status/973913827388608512", "973913827388608512")</f>
        <v/>
      </c>
      <c r="B2430" s="2" t="n">
        <v>43173.56163194445</v>
      </c>
      <c r="C2430" t="n">
        <v>0</v>
      </c>
      <c r="D2430" t="n">
        <v>26</v>
      </c>
      <c r="E2430" t="s">
        <v>2432</v>
      </c>
      <c r="F2430" t="s"/>
      <c r="G2430" t="s"/>
      <c r="H2430" t="s"/>
      <c r="I2430" t="s"/>
      <c r="J2430" t="n">
        <v>-0.8919</v>
      </c>
      <c r="K2430" t="n">
        <v>0.336</v>
      </c>
      <c r="L2430" t="n">
        <v>0.664</v>
      </c>
      <c r="M2430" t="n">
        <v>0</v>
      </c>
    </row>
    <row r="2431" spans="1:13">
      <c r="A2431" s="1">
        <f>HYPERLINK("http://www.twitter.com/NathanBLawrence/status/973913710896074753", "973913710896074753")</f>
        <v/>
      </c>
      <c r="B2431" s="2" t="n">
        <v>43173.56130787037</v>
      </c>
      <c r="C2431" t="n">
        <v>0</v>
      </c>
      <c r="D2431" t="n">
        <v>1</v>
      </c>
      <c r="E2431" t="s">
        <v>2433</v>
      </c>
      <c r="F2431" t="s"/>
      <c r="G2431" t="s"/>
      <c r="H2431" t="s"/>
      <c r="I2431" t="s"/>
      <c r="J2431" t="n">
        <v>0.0258</v>
      </c>
      <c r="K2431" t="n">
        <v>0.115</v>
      </c>
      <c r="L2431" t="n">
        <v>0.766</v>
      </c>
      <c r="M2431" t="n">
        <v>0.119</v>
      </c>
    </row>
    <row r="2432" spans="1:13">
      <c r="A2432" s="1">
        <f>HYPERLINK("http://www.twitter.com/NathanBLawrence/status/973913584173502464", "973913584173502464")</f>
        <v/>
      </c>
      <c r="B2432" s="2" t="n">
        <v>43173.56096064814</v>
      </c>
      <c r="C2432" t="n">
        <v>1</v>
      </c>
      <c r="D2432" t="n">
        <v>0</v>
      </c>
      <c r="E2432" t="s">
        <v>2434</v>
      </c>
      <c r="F2432" t="s"/>
      <c r="G2432" t="s"/>
      <c r="H2432" t="s"/>
      <c r="I2432" t="s"/>
      <c r="J2432" t="n">
        <v>0</v>
      </c>
      <c r="K2432" t="n">
        <v>0</v>
      </c>
      <c r="L2432" t="n">
        <v>1</v>
      </c>
      <c r="M2432" t="n">
        <v>0</v>
      </c>
    </row>
    <row r="2433" spans="1:13">
      <c r="A2433" s="1">
        <f>HYPERLINK("http://www.twitter.com/NathanBLawrence/status/973913193297993728", "973913193297993728")</f>
        <v/>
      </c>
      <c r="B2433" s="2" t="n">
        <v>43173.55988425926</v>
      </c>
      <c r="C2433" t="n">
        <v>1</v>
      </c>
      <c r="D2433" t="n">
        <v>0</v>
      </c>
      <c r="E2433" t="s">
        <v>2435</v>
      </c>
      <c r="F2433" t="s"/>
      <c r="G2433" t="s"/>
      <c r="H2433" t="s"/>
      <c r="I2433" t="s"/>
      <c r="J2433" t="n">
        <v>0</v>
      </c>
      <c r="K2433" t="n">
        <v>0</v>
      </c>
      <c r="L2433" t="n">
        <v>1</v>
      </c>
      <c r="M2433" t="n">
        <v>0</v>
      </c>
    </row>
    <row r="2434" spans="1:13">
      <c r="A2434" s="1">
        <f>HYPERLINK("http://www.twitter.com/NathanBLawrence/status/973912758658977792", "973912758658977792")</f>
        <v/>
      </c>
      <c r="B2434" s="2" t="n">
        <v>43173.55868055556</v>
      </c>
      <c r="C2434" t="n">
        <v>1</v>
      </c>
      <c r="D2434" t="n">
        <v>0</v>
      </c>
      <c r="E2434" t="s">
        <v>2436</v>
      </c>
      <c r="F2434" t="s"/>
      <c r="G2434" t="s"/>
      <c r="H2434" t="s"/>
      <c r="I2434" t="s"/>
      <c r="J2434" t="n">
        <v>0.7717000000000001</v>
      </c>
      <c r="K2434" t="n">
        <v>0</v>
      </c>
      <c r="L2434" t="n">
        <v>0.5649999999999999</v>
      </c>
      <c r="M2434" t="n">
        <v>0.435</v>
      </c>
    </row>
    <row r="2435" spans="1:13">
      <c r="A2435" s="1">
        <f>HYPERLINK("http://www.twitter.com/NathanBLawrence/status/973911523755249666", "973911523755249666")</f>
        <v/>
      </c>
      <c r="B2435" s="2" t="n">
        <v>43173.55527777778</v>
      </c>
      <c r="C2435" t="n">
        <v>0</v>
      </c>
      <c r="D2435" t="n">
        <v>20</v>
      </c>
      <c r="E2435" t="s">
        <v>2437</v>
      </c>
      <c r="F2435" t="s"/>
      <c r="G2435" t="s"/>
      <c r="H2435" t="s"/>
      <c r="I2435" t="s"/>
      <c r="J2435" t="n">
        <v>-0.4648</v>
      </c>
      <c r="K2435" t="n">
        <v>0.144</v>
      </c>
      <c r="L2435" t="n">
        <v>0.856</v>
      </c>
      <c r="M2435" t="n">
        <v>0</v>
      </c>
    </row>
    <row r="2436" spans="1:13">
      <c r="A2436" s="1">
        <f>HYPERLINK("http://www.twitter.com/NathanBLawrence/status/973910987328966657", "973910987328966657")</f>
        <v/>
      </c>
      <c r="B2436" s="2" t="n">
        <v>43173.5537962963</v>
      </c>
      <c r="C2436" t="n">
        <v>1</v>
      </c>
      <c r="D2436" t="n">
        <v>0</v>
      </c>
      <c r="E2436" t="s">
        <v>2438</v>
      </c>
      <c r="F2436" t="s"/>
      <c r="G2436" t="s"/>
      <c r="H2436" t="s"/>
      <c r="I2436" t="s"/>
      <c r="J2436" t="n">
        <v>-0.8225</v>
      </c>
      <c r="K2436" t="n">
        <v>0.487</v>
      </c>
      <c r="L2436" t="n">
        <v>0.513</v>
      </c>
      <c r="M2436" t="n">
        <v>0</v>
      </c>
    </row>
    <row r="2437" spans="1:13">
      <c r="A2437" s="1">
        <f>HYPERLINK("http://www.twitter.com/NathanBLawrence/status/973910583153131520", "973910583153131520")</f>
        <v/>
      </c>
      <c r="B2437" s="2" t="n">
        <v>43173.55268518518</v>
      </c>
      <c r="C2437" t="n">
        <v>0</v>
      </c>
      <c r="D2437" t="n">
        <v>1</v>
      </c>
      <c r="E2437" t="s">
        <v>2439</v>
      </c>
      <c r="F2437" t="s"/>
      <c r="G2437" t="s"/>
      <c r="H2437" t="s"/>
      <c r="I2437" t="s"/>
      <c r="J2437" t="n">
        <v>0</v>
      </c>
      <c r="K2437" t="n">
        <v>0</v>
      </c>
      <c r="L2437" t="n">
        <v>1</v>
      </c>
      <c r="M2437" t="n">
        <v>0</v>
      </c>
    </row>
    <row r="2438" spans="1:13">
      <c r="A2438" s="1">
        <f>HYPERLINK("http://www.twitter.com/NathanBLawrence/status/973910390722703362", "973910390722703362")</f>
        <v/>
      </c>
      <c r="B2438" s="2" t="n">
        <v>43173.55215277777</v>
      </c>
      <c r="C2438" t="n">
        <v>12</v>
      </c>
      <c r="D2438" t="n">
        <v>0</v>
      </c>
      <c r="E2438" t="s">
        <v>2440</v>
      </c>
      <c r="F2438" t="s"/>
      <c r="G2438" t="s"/>
      <c r="H2438" t="s"/>
      <c r="I2438" t="s"/>
      <c r="J2438" t="n">
        <v>0.25</v>
      </c>
      <c r="K2438" t="n">
        <v>0.124</v>
      </c>
      <c r="L2438" t="n">
        <v>0.723</v>
      </c>
      <c r="M2438" t="n">
        <v>0.153</v>
      </c>
    </row>
    <row r="2439" spans="1:13">
      <c r="A2439" s="1">
        <f>HYPERLINK("http://www.twitter.com/NathanBLawrence/status/973909550649827328", "973909550649827328")</f>
        <v/>
      </c>
      <c r="B2439" s="2" t="n">
        <v>43173.54982638889</v>
      </c>
      <c r="C2439" t="n">
        <v>0</v>
      </c>
      <c r="D2439" t="n">
        <v>5</v>
      </c>
      <c r="E2439" t="s">
        <v>2441</v>
      </c>
      <c r="F2439" t="s"/>
      <c r="G2439" t="s"/>
      <c r="H2439" t="s"/>
      <c r="I2439" t="s"/>
      <c r="J2439" t="n">
        <v>0.6722</v>
      </c>
      <c r="K2439" t="n">
        <v>0.108</v>
      </c>
      <c r="L2439" t="n">
        <v>0.584</v>
      </c>
      <c r="M2439" t="n">
        <v>0.308</v>
      </c>
    </row>
    <row r="2440" spans="1:13">
      <c r="A2440" s="1">
        <f>HYPERLINK("http://www.twitter.com/NathanBLawrence/status/973909488704065536", "973909488704065536")</f>
        <v/>
      </c>
      <c r="B2440" s="2" t="n">
        <v>43173.54966435185</v>
      </c>
      <c r="C2440" t="n">
        <v>1</v>
      </c>
      <c r="D2440" t="n">
        <v>0</v>
      </c>
      <c r="E2440" t="s">
        <v>2442</v>
      </c>
      <c r="F2440" t="s"/>
      <c r="G2440" t="s"/>
      <c r="H2440" t="s"/>
      <c r="I2440" t="s"/>
      <c r="J2440" t="n">
        <v>0</v>
      </c>
      <c r="K2440" t="n">
        <v>0</v>
      </c>
      <c r="L2440" t="n">
        <v>1</v>
      </c>
      <c r="M2440" t="n">
        <v>0</v>
      </c>
    </row>
    <row r="2441" spans="1:13">
      <c r="A2441" s="1">
        <f>HYPERLINK("http://www.twitter.com/NathanBLawrence/status/973909083790200833", "973909083790200833")</f>
        <v/>
      </c>
      <c r="B2441" s="2" t="n">
        <v>43173.54854166666</v>
      </c>
      <c r="C2441" t="n">
        <v>0</v>
      </c>
      <c r="D2441" t="n">
        <v>14</v>
      </c>
      <c r="E2441" t="s">
        <v>2443</v>
      </c>
      <c r="F2441" t="s"/>
      <c r="G2441" t="s"/>
      <c r="H2441" t="s"/>
      <c r="I2441" t="s"/>
      <c r="J2441" t="n">
        <v>0.2942</v>
      </c>
      <c r="K2441" t="n">
        <v>0</v>
      </c>
      <c r="L2441" t="n">
        <v>0.886</v>
      </c>
      <c r="M2441" t="n">
        <v>0.114</v>
      </c>
    </row>
    <row r="2442" spans="1:13">
      <c r="A2442" s="1">
        <f>HYPERLINK("http://www.twitter.com/NathanBLawrence/status/973908811957391360", "973908811957391360")</f>
        <v/>
      </c>
      <c r="B2442" s="2" t="n">
        <v>43173.54778935185</v>
      </c>
      <c r="C2442" t="n">
        <v>1</v>
      </c>
      <c r="D2442" t="n">
        <v>0</v>
      </c>
      <c r="E2442" t="s">
        <v>2444</v>
      </c>
      <c r="F2442" t="s"/>
      <c r="G2442" t="s"/>
      <c r="H2442" t="s"/>
      <c r="I2442" t="s"/>
      <c r="J2442" t="n">
        <v>-0.2263</v>
      </c>
      <c r="K2442" t="n">
        <v>0.189</v>
      </c>
      <c r="L2442" t="n">
        <v>0.653</v>
      </c>
      <c r="M2442" t="n">
        <v>0.158</v>
      </c>
    </row>
    <row r="2443" spans="1:13">
      <c r="A2443" s="1">
        <f>HYPERLINK("http://www.twitter.com/NathanBLawrence/status/973907135003324416", "973907135003324416")</f>
        <v/>
      </c>
      <c r="B2443" s="2" t="n">
        <v>43173.54315972222</v>
      </c>
      <c r="C2443" t="n">
        <v>0</v>
      </c>
      <c r="D2443" t="n">
        <v>11</v>
      </c>
      <c r="E2443" t="s">
        <v>2445</v>
      </c>
      <c r="F2443" t="s"/>
      <c r="G2443" t="s"/>
      <c r="H2443" t="s"/>
      <c r="I2443" t="s"/>
      <c r="J2443" t="n">
        <v>-0.2023</v>
      </c>
      <c r="K2443" t="n">
        <v>0.204</v>
      </c>
      <c r="L2443" t="n">
        <v>0.5590000000000001</v>
      </c>
      <c r="M2443" t="n">
        <v>0.237</v>
      </c>
    </row>
    <row r="2444" spans="1:13">
      <c r="A2444" s="1">
        <f>HYPERLINK("http://www.twitter.com/NathanBLawrence/status/973907066833309702", "973907066833309702")</f>
        <v/>
      </c>
      <c r="B2444" s="2" t="n">
        <v>43173.54297453703</v>
      </c>
      <c r="C2444" t="n">
        <v>1</v>
      </c>
      <c r="D2444" t="n">
        <v>0</v>
      </c>
      <c r="E2444" t="s">
        <v>2446</v>
      </c>
      <c r="F2444" t="s"/>
      <c r="G2444" t="s"/>
      <c r="H2444" t="s"/>
      <c r="I2444" t="s"/>
      <c r="J2444" t="n">
        <v>-0.4184</v>
      </c>
      <c r="K2444" t="n">
        <v>0.117</v>
      </c>
      <c r="L2444" t="n">
        <v>0.883</v>
      </c>
      <c r="M2444" t="n">
        <v>0</v>
      </c>
    </row>
    <row r="2445" spans="1:13">
      <c r="A2445" s="1">
        <f>HYPERLINK("http://www.twitter.com/NathanBLawrence/status/973905881967595520", "973905881967595520")</f>
        <v/>
      </c>
      <c r="B2445" s="2" t="n">
        <v>43173.53971064815</v>
      </c>
      <c r="C2445" t="n">
        <v>0</v>
      </c>
      <c r="D2445" t="n">
        <v>51</v>
      </c>
      <c r="E2445" t="s">
        <v>2447</v>
      </c>
      <c r="F2445" t="s"/>
      <c r="G2445" t="s"/>
      <c r="H2445" t="s"/>
      <c r="I2445" t="s"/>
      <c r="J2445" t="n">
        <v>0.2975</v>
      </c>
      <c r="K2445" t="n">
        <v>0</v>
      </c>
      <c r="L2445" t="n">
        <v>0.885</v>
      </c>
      <c r="M2445" t="n">
        <v>0.115</v>
      </c>
    </row>
    <row r="2446" spans="1:13">
      <c r="A2446" s="1">
        <f>HYPERLINK("http://www.twitter.com/NathanBLawrence/status/973905740179140608", "973905740179140608")</f>
        <v/>
      </c>
      <c r="B2446" s="2" t="n">
        <v>43173.53931712963</v>
      </c>
      <c r="C2446" t="n">
        <v>0</v>
      </c>
      <c r="D2446" t="n">
        <v>23</v>
      </c>
      <c r="E2446" t="s">
        <v>2448</v>
      </c>
      <c r="F2446" t="s"/>
      <c r="G2446" t="s"/>
      <c r="H2446" t="s"/>
      <c r="I2446" t="s"/>
      <c r="J2446" t="n">
        <v>0.4184</v>
      </c>
      <c r="K2446" t="n">
        <v>0</v>
      </c>
      <c r="L2446" t="n">
        <v>0.888</v>
      </c>
      <c r="M2446" t="n">
        <v>0.112</v>
      </c>
    </row>
    <row r="2447" spans="1:13">
      <c r="A2447" s="1">
        <f>HYPERLINK("http://www.twitter.com/NathanBLawrence/status/973901830362206210", "973901830362206210")</f>
        <v/>
      </c>
      <c r="B2447" s="2" t="n">
        <v>43173.52853009259</v>
      </c>
      <c r="C2447" t="n">
        <v>0</v>
      </c>
      <c r="D2447" t="n">
        <v>126</v>
      </c>
      <c r="E2447" t="s">
        <v>2449</v>
      </c>
      <c r="F2447" t="s"/>
      <c r="G2447" t="s"/>
      <c r="H2447" t="s"/>
      <c r="I2447" t="s"/>
      <c r="J2447" t="n">
        <v>-0.4404</v>
      </c>
      <c r="K2447" t="n">
        <v>0.108</v>
      </c>
      <c r="L2447" t="n">
        <v>0.892</v>
      </c>
      <c r="M2447" t="n">
        <v>0</v>
      </c>
    </row>
    <row r="2448" spans="1:13">
      <c r="A2448" s="1">
        <f>HYPERLINK("http://www.twitter.com/NathanBLawrence/status/973901790931554304", "973901790931554304")</f>
        <v/>
      </c>
      <c r="B2448" s="2" t="n">
        <v>43173.52841435185</v>
      </c>
      <c r="C2448" t="n">
        <v>0</v>
      </c>
      <c r="D2448" t="n">
        <v>44</v>
      </c>
      <c r="E2448" t="s">
        <v>2450</v>
      </c>
      <c r="F2448" t="s"/>
      <c r="G2448" t="s"/>
      <c r="H2448" t="s"/>
      <c r="I2448" t="s"/>
      <c r="J2448" t="n">
        <v>-0.7644</v>
      </c>
      <c r="K2448" t="n">
        <v>0.231</v>
      </c>
      <c r="L2448" t="n">
        <v>0.769</v>
      </c>
      <c r="M2448" t="n">
        <v>0</v>
      </c>
    </row>
    <row r="2449" spans="1:13">
      <c r="A2449" s="1">
        <f>HYPERLINK("http://www.twitter.com/NathanBLawrence/status/973900047837532160", "973900047837532160")</f>
        <v/>
      </c>
      <c r="B2449" s="2" t="n">
        <v>43173.52361111111</v>
      </c>
      <c r="C2449" t="n">
        <v>2</v>
      </c>
      <c r="D2449" t="n">
        <v>0</v>
      </c>
      <c r="E2449" t="s">
        <v>2451</v>
      </c>
      <c r="F2449" t="s"/>
      <c r="G2449" t="s"/>
      <c r="H2449" t="s"/>
      <c r="I2449" t="s"/>
      <c r="J2449" t="n">
        <v>0.0644</v>
      </c>
      <c r="K2449" t="n">
        <v>0.217</v>
      </c>
      <c r="L2449" t="n">
        <v>0.647</v>
      </c>
      <c r="M2449" t="n">
        <v>0.136</v>
      </c>
    </row>
    <row r="2450" spans="1:13">
      <c r="A2450" s="1">
        <f>HYPERLINK("http://www.twitter.com/NathanBLawrence/status/973898873298137088", "973898873298137088")</f>
        <v/>
      </c>
      <c r="B2450" s="2" t="n">
        <v>43173.52037037037</v>
      </c>
      <c r="C2450" t="n">
        <v>3</v>
      </c>
      <c r="D2450" t="n">
        <v>0</v>
      </c>
      <c r="E2450" t="s">
        <v>2452</v>
      </c>
      <c r="F2450" t="s"/>
      <c r="G2450" t="s"/>
      <c r="H2450" t="s"/>
      <c r="I2450" t="s"/>
      <c r="J2450" t="n">
        <v>0.8353</v>
      </c>
      <c r="K2450" t="n">
        <v>0</v>
      </c>
      <c r="L2450" t="n">
        <v>0.68</v>
      </c>
      <c r="M2450" t="n">
        <v>0.32</v>
      </c>
    </row>
    <row r="2451" spans="1:13">
      <c r="A2451" s="1">
        <f>HYPERLINK("http://www.twitter.com/NathanBLawrence/status/973896884757647360", "973896884757647360")</f>
        <v/>
      </c>
      <c r="B2451" s="2" t="n">
        <v>43173.51488425926</v>
      </c>
      <c r="C2451" t="n">
        <v>0</v>
      </c>
      <c r="D2451" t="n">
        <v>232</v>
      </c>
      <c r="E2451" t="s">
        <v>2453</v>
      </c>
      <c r="F2451" t="s"/>
      <c r="G2451" t="s"/>
      <c r="H2451" t="s"/>
      <c r="I2451" t="s"/>
      <c r="J2451" t="n">
        <v>0.643</v>
      </c>
      <c r="K2451" t="n">
        <v>0</v>
      </c>
      <c r="L2451" t="n">
        <v>0.696</v>
      </c>
      <c r="M2451" t="n">
        <v>0.304</v>
      </c>
    </row>
    <row r="2452" spans="1:13">
      <c r="A2452" s="1">
        <f>HYPERLINK("http://www.twitter.com/NathanBLawrence/status/973896430799769600", "973896430799769600")</f>
        <v/>
      </c>
      <c r="B2452" s="2" t="n">
        <v>43173.51362268518</v>
      </c>
      <c r="C2452" t="n">
        <v>3</v>
      </c>
      <c r="D2452" t="n">
        <v>0</v>
      </c>
      <c r="E2452" t="s">
        <v>2454</v>
      </c>
      <c r="F2452" t="s"/>
      <c r="G2452" t="s"/>
      <c r="H2452" t="s"/>
      <c r="I2452" t="s"/>
      <c r="J2452" t="n">
        <v>-0.9163</v>
      </c>
      <c r="K2452" t="n">
        <v>0.263</v>
      </c>
      <c r="L2452" t="n">
        <v>0.737</v>
      </c>
      <c r="M2452" t="n">
        <v>0</v>
      </c>
    </row>
    <row r="2453" spans="1:13">
      <c r="A2453" s="1">
        <f>HYPERLINK("http://www.twitter.com/NathanBLawrence/status/973895335939538945", "973895335939538945")</f>
        <v/>
      </c>
      <c r="B2453" s="2" t="n">
        <v>43173.51060185185</v>
      </c>
      <c r="C2453" t="n">
        <v>2</v>
      </c>
      <c r="D2453" t="n">
        <v>0</v>
      </c>
      <c r="E2453" t="s">
        <v>2455</v>
      </c>
      <c r="F2453" t="s"/>
      <c r="G2453" t="s"/>
      <c r="H2453" t="s"/>
      <c r="I2453" t="s"/>
      <c r="J2453" t="n">
        <v>0.2263</v>
      </c>
      <c r="K2453" t="n">
        <v>0.075</v>
      </c>
      <c r="L2453" t="n">
        <v>0.802</v>
      </c>
      <c r="M2453" t="n">
        <v>0.123</v>
      </c>
    </row>
    <row r="2454" spans="1:13">
      <c r="A2454" s="1">
        <f>HYPERLINK("http://www.twitter.com/NathanBLawrence/status/973894560488263680", "973894560488263680")</f>
        <v/>
      </c>
      <c r="B2454" s="2" t="n">
        <v>43173.50846064815</v>
      </c>
      <c r="C2454" t="n">
        <v>1</v>
      </c>
      <c r="D2454" t="n">
        <v>0</v>
      </c>
      <c r="E2454" t="s">
        <v>2456</v>
      </c>
      <c r="F2454" t="s"/>
      <c r="G2454" t="s"/>
      <c r="H2454" t="s"/>
      <c r="I2454" t="s"/>
      <c r="J2454" t="n">
        <v>0.5859</v>
      </c>
      <c r="K2454" t="n">
        <v>0</v>
      </c>
      <c r="L2454" t="n">
        <v>0.703</v>
      </c>
      <c r="M2454" t="n">
        <v>0.297</v>
      </c>
    </row>
    <row r="2455" spans="1:13">
      <c r="A2455" s="1">
        <f>HYPERLINK("http://www.twitter.com/NathanBLawrence/status/973740593523429376", "973740593523429376")</f>
        <v/>
      </c>
      <c r="B2455" s="2" t="n">
        <v>43173.08359953704</v>
      </c>
      <c r="C2455" t="n">
        <v>0</v>
      </c>
      <c r="D2455" t="n">
        <v>1</v>
      </c>
      <c r="E2455" t="s">
        <v>2457</v>
      </c>
      <c r="F2455" t="s"/>
      <c r="G2455" t="s"/>
      <c r="H2455" t="s"/>
      <c r="I2455" t="s"/>
      <c r="J2455" t="n">
        <v>0</v>
      </c>
      <c r="K2455" t="n">
        <v>0</v>
      </c>
      <c r="L2455" t="n">
        <v>1</v>
      </c>
      <c r="M2455" t="n">
        <v>0</v>
      </c>
    </row>
    <row r="2456" spans="1:13">
      <c r="A2456" s="1">
        <f>HYPERLINK("http://www.twitter.com/NathanBLawrence/status/973740416674746369", "973740416674746369")</f>
        <v/>
      </c>
      <c r="B2456" s="2" t="n">
        <v>43173.08311342593</v>
      </c>
      <c r="C2456" t="n">
        <v>6</v>
      </c>
      <c r="D2456" t="n">
        <v>0</v>
      </c>
      <c r="E2456" t="s">
        <v>2458</v>
      </c>
      <c r="F2456" t="s"/>
      <c r="G2456" t="s"/>
      <c r="H2456" t="s"/>
      <c r="I2456" t="s"/>
      <c r="J2456" t="n">
        <v>0</v>
      </c>
      <c r="K2456" t="n">
        <v>0</v>
      </c>
      <c r="L2456" t="n">
        <v>1</v>
      </c>
      <c r="M2456" t="n">
        <v>0</v>
      </c>
    </row>
    <row r="2457" spans="1:13">
      <c r="A2457" s="1">
        <f>HYPERLINK("http://www.twitter.com/NathanBLawrence/status/973740341193998337", "973740341193998337")</f>
        <v/>
      </c>
      <c r="B2457" s="2" t="n">
        <v>43173.08290509259</v>
      </c>
      <c r="C2457" t="n">
        <v>1</v>
      </c>
      <c r="D2457" t="n">
        <v>0</v>
      </c>
      <c r="E2457" t="s">
        <v>2459</v>
      </c>
      <c r="F2457" t="s"/>
      <c r="G2457" t="s"/>
      <c r="H2457" t="s"/>
      <c r="I2457" t="s"/>
      <c r="J2457" t="n">
        <v>0</v>
      </c>
      <c r="K2457" t="n">
        <v>0</v>
      </c>
      <c r="L2457" t="n">
        <v>1</v>
      </c>
      <c r="M2457" t="n">
        <v>0</v>
      </c>
    </row>
    <row r="2458" spans="1:13">
      <c r="A2458" s="1">
        <f>HYPERLINK("http://www.twitter.com/NathanBLawrence/status/973740189301575680", "973740189301575680")</f>
        <v/>
      </c>
      <c r="B2458" s="2" t="n">
        <v>43173.08248842593</v>
      </c>
      <c r="C2458" t="n">
        <v>0</v>
      </c>
      <c r="D2458" t="n">
        <v>1</v>
      </c>
      <c r="E2458" t="s">
        <v>2460</v>
      </c>
      <c r="F2458" t="s"/>
      <c r="G2458" t="s"/>
      <c r="H2458" t="s"/>
      <c r="I2458" t="s"/>
      <c r="J2458" t="n">
        <v>0</v>
      </c>
      <c r="K2458" t="n">
        <v>0</v>
      </c>
      <c r="L2458" t="n">
        <v>1</v>
      </c>
      <c r="M2458" t="n">
        <v>0</v>
      </c>
    </row>
    <row r="2459" spans="1:13">
      <c r="A2459" s="1">
        <f>HYPERLINK("http://www.twitter.com/NathanBLawrence/status/973740130442924032", "973740130442924032")</f>
        <v/>
      </c>
      <c r="B2459" s="2" t="n">
        <v>43173.08231481481</v>
      </c>
      <c r="C2459" t="n">
        <v>0</v>
      </c>
      <c r="D2459" t="n">
        <v>0</v>
      </c>
      <c r="E2459" t="s">
        <v>2461</v>
      </c>
      <c r="F2459" t="s"/>
      <c r="G2459" t="s"/>
      <c r="H2459" t="s"/>
      <c r="I2459" t="s"/>
      <c r="J2459" t="n">
        <v>-0.4559</v>
      </c>
      <c r="K2459" t="n">
        <v>0.599</v>
      </c>
      <c r="L2459" t="n">
        <v>0.401</v>
      </c>
      <c r="M2459" t="n">
        <v>0</v>
      </c>
    </row>
    <row r="2460" spans="1:13">
      <c r="A2460" s="1">
        <f>HYPERLINK("http://www.twitter.com/NathanBLawrence/status/973740017494446081", "973740017494446081")</f>
        <v/>
      </c>
      <c r="B2460" s="2" t="n">
        <v>43173.08201388889</v>
      </c>
      <c r="C2460" t="n">
        <v>0</v>
      </c>
      <c r="D2460" t="n">
        <v>2</v>
      </c>
      <c r="E2460" t="s">
        <v>2462</v>
      </c>
      <c r="F2460" t="s"/>
      <c r="G2460" t="s"/>
      <c r="H2460" t="s"/>
      <c r="I2460" t="s"/>
      <c r="J2460" t="n">
        <v>0.6369</v>
      </c>
      <c r="K2460" t="n">
        <v>0</v>
      </c>
      <c r="L2460" t="n">
        <v>0.756</v>
      </c>
      <c r="M2460" t="n">
        <v>0.244</v>
      </c>
    </row>
    <row r="2461" spans="1:13">
      <c r="A2461" s="1">
        <f>HYPERLINK("http://www.twitter.com/NathanBLawrence/status/973739998133579776", "973739998133579776")</f>
        <v/>
      </c>
      <c r="B2461" s="2" t="n">
        <v>43173.08195601852</v>
      </c>
      <c r="C2461" t="n">
        <v>0</v>
      </c>
      <c r="D2461" t="n">
        <v>1</v>
      </c>
      <c r="E2461" t="s">
        <v>2463</v>
      </c>
      <c r="F2461" t="s"/>
      <c r="G2461" t="s"/>
      <c r="H2461" t="s"/>
      <c r="I2461" t="s"/>
      <c r="J2461" t="n">
        <v>0</v>
      </c>
      <c r="K2461" t="n">
        <v>0</v>
      </c>
      <c r="L2461" t="n">
        <v>1</v>
      </c>
      <c r="M2461" t="n">
        <v>0</v>
      </c>
    </row>
    <row r="2462" spans="1:13">
      <c r="A2462" s="1">
        <f>HYPERLINK("http://www.twitter.com/NathanBLawrence/status/973739966181335041", "973739966181335041")</f>
        <v/>
      </c>
      <c r="B2462" s="2" t="n">
        <v>43173.08186342593</v>
      </c>
      <c r="C2462" t="n">
        <v>0</v>
      </c>
      <c r="D2462" t="n">
        <v>0</v>
      </c>
      <c r="E2462" t="s">
        <v>2464</v>
      </c>
      <c r="F2462" t="s"/>
      <c r="G2462" t="s"/>
      <c r="H2462" t="s"/>
      <c r="I2462" t="s"/>
      <c r="J2462" t="n">
        <v>-0.8442</v>
      </c>
      <c r="K2462" t="n">
        <v>0.344</v>
      </c>
      <c r="L2462" t="n">
        <v>0.591</v>
      </c>
      <c r="M2462" t="n">
        <v>0.065</v>
      </c>
    </row>
    <row r="2463" spans="1:13">
      <c r="A2463" s="1">
        <f>HYPERLINK("http://www.twitter.com/NathanBLawrence/status/973739563431624704", "973739563431624704")</f>
        <v/>
      </c>
      <c r="B2463" s="2" t="n">
        <v>43173.08075231482</v>
      </c>
      <c r="C2463" t="n">
        <v>0</v>
      </c>
      <c r="D2463" t="n">
        <v>1</v>
      </c>
      <c r="E2463" t="s">
        <v>2465</v>
      </c>
      <c r="F2463" t="s"/>
      <c r="G2463" t="s"/>
      <c r="H2463" t="s"/>
      <c r="I2463" t="s"/>
      <c r="J2463" t="n">
        <v>0</v>
      </c>
      <c r="K2463" t="n">
        <v>0</v>
      </c>
      <c r="L2463" t="n">
        <v>1</v>
      </c>
      <c r="M2463" t="n">
        <v>0</v>
      </c>
    </row>
    <row r="2464" spans="1:13">
      <c r="A2464" s="1">
        <f>HYPERLINK("http://www.twitter.com/NathanBLawrence/status/973739453532471296", "973739453532471296")</f>
        <v/>
      </c>
      <c r="B2464" s="2" t="n">
        <v>43173.08045138889</v>
      </c>
      <c r="C2464" t="n">
        <v>0</v>
      </c>
      <c r="D2464" t="n">
        <v>1</v>
      </c>
      <c r="E2464" t="s">
        <v>2466</v>
      </c>
      <c r="F2464" t="s"/>
      <c r="G2464" t="s"/>
      <c r="H2464" t="s"/>
      <c r="I2464" t="s"/>
      <c r="J2464" t="n">
        <v>-0.6486</v>
      </c>
      <c r="K2464" t="n">
        <v>0.265</v>
      </c>
      <c r="L2464" t="n">
        <v>0.643</v>
      </c>
      <c r="M2464" t="n">
        <v>0.092</v>
      </c>
    </row>
    <row r="2465" spans="1:13">
      <c r="A2465" s="1">
        <f>HYPERLINK("http://www.twitter.com/NathanBLawrence/status/973739420166836224", "973739420166836224")</f>
        <v/>
      </c>
      <c r="B2465" s="2" t="n">
        <v>43173.08035879629</v>
      </c>
      <c r="C2465" t="n">
        <v>0</v>
      </c>
      <c r="D2465" t="n">
        <v>1</v>
      </c>
      <c r="E2465" t="s">
        <v>2467</v>
      </c>
      <c r="F2465" t="s"/>
      <c r="G2465" t="s"/>
      <c r="H2465" t="s"/>
      <c r="I2465" t="s"/>
      <c r="J2465" t="n">
        <v>-0.4019</v>
      </c>
      <c r="K2465" t="n">
        <v>0.252</v>
      </c>
      <c r="L2465" t="n">
        <v>0.748</v>
      </c>
      <c r="M2465" t="n">
        <v>0</v>
      </c>
    </row>
    <row r="2466" spans="1:13">
      <c r="A2466" s="1">
        <f>HYPERLINK("http://www.twitter.com/NathanBLawrence/status/973739215270932480", "973739215270932480")</f>
        <v/>
      </c>
      <c r="B2466" s="2" t="n">
        <v>43173.07979166666</v>
      </c>
      <c r="C2466" t="n">
        <v>0</v>
      </c>
      <c r="D2466" t="n">
        <v>1</v>
      </c>
      <c r="E2466" t="s">
        <v>2468</v>
      </c>
      <c r="F2466" t="s"/>
      <c r="G2466" t="s"/>
      <c r="H2466" t="s"/>
      <c r="I2466" t="s"/>
      <c r="J2466" t="n">
        <v>0</v>
      </c>
      <c r="K2466" t="n">
        <v>0</v>
      </c>
      <c r="L2466" t="n">
        <v>1</v>
      </c>
      <c r="M2466" t="n">
        <v>0</v>
      </c>
    </row>
    <row r="2467" spans="1:13">
      <c r="A2467" s="1">
        <f>HYPERLINK("http://www.twitter.com/NathanBLawrence/status/973739191917039616", "973739191917039616")</f>
        <v/>
      </c>
      <c r="B2467" s="2" t="n">
        <v>43173.07973379629</v>
      </c>
      <c r="C2467" t="n">
        <v>0</v>
      </c>
      <c r="D2467" t="n">
        <v>1</v>
      </c>
      <c r="E2467" t="s">
        <v>2469</v>
      </c>
      <c r="F2467" t="s"/>
      <c r="G2467" t="s"/>
      <c r="H2467" t="s"/>
      <c r="I2467" t="s"/>
      <c r="J2467" t="n">
        <v>-0.6007</v>
      </c>
      <c r="K2467" t="n">
        <v>0.262</v>
      </c>
      <c r="L2467" t="n">
        <v>0.738</v>
      </c>
      <c r="M2467" t="n">
        <v>0</v>
      </c>
    </row>
    <row r="2468" spans="1:13">
      <c r="A2468" s="1">
        <f>HYPERLINK("http://www.twitter.com/NathanBLawrence/status/973739127362539520", "973739127362539520")</f>
        <v/>
      </c>
      <c r="B2468" s="2" t="n">
        <v>43173.07954861111</v>
      </c>
      <c r="C2468" t="n">
        <v>0</v>
      </c>
      <c r="D2468" t="n">
        <v>1</v>
      </c>
      <c r="E2468" t="s">
        <v>2470</v>
      </c>
      <c r="F2468" t="s"/>
      <c r="G2468" t="s"/>
      <c r="H2468" t="s"/>
      <c r="I2468" t="s"/>
      <c r="J2468" t="n">
        <v>-0.4003</v>
      </c>
      <c r="K2468" t="n">
        <v>0.228</v>
      </c>
      <c r="L2468" t="n">
        <v>0.644</v>
      </c>
      <c r="M2468" t="n">
        <v>0.129</v>
      </c>
    </row>
    <row r="2469" spans="1:13">
      <c r="A2469" s="1">
        <f>HYPERLINK("http://www.twitter.com/NathanBLawrence/status/973739010605633536", "973739010605633536")</f>
        <v/>
      </c>
      <c r="B2469" s="2" t="n">
        <v>43173.07922453704</v>
      </c>
      <c r="C2469" t="n">
        <v>1</v>
      </c>
      <c r="D2469" t="n">
        <v>0</v>
      </c>
      <c r="E2469" t="s">
        <v>2471</v>
      </c>
      <c r="F2469" t="s"/>
      <c r="G2469" t="s"/>
      <c r="H2469" t="s"/>
      <c r="I2469" t="s"/>
      <c r="J2469" t="n">
        <v>0.2838</v>
      </c>
      <c r="K2469" t="n">
        <v>0.067</v>
      </c>
      <c r="L2469" t="n">
        <v>0.789</v>
      </c>
      <c r="M2469" t="n">
        <v>0.144</v>
      </c>
    </row>
    <row r="2470" spans="1:13">
      <c r="A2470" s="1">
        <f>HYPERLINK("http://www.twitter.com/NathanBLawrence/status/973738278548594688", "973738278548594688")</f>
        <v/>
      </c>
      <c r="B2470" s="2" t="n">
        <v>43173.07721064815</v>
      </c>
      <c r="C2470" t="n">
        <v>0</v>
      </c>
      <c r="D2470" t="n">
        <v>2</v>
      </c>
      <c r="E2470" t="s">
        <v>2472</v>
      </c>
      <c r="F2470" t="s"/>
      <c r="G2470" t="s"/>
      <c r="H2470" t="s"/>
      <c r="I2470" t="s"/>
      <c r="J2470" t="n">
        <v>0</v>
      </c>
      <c r="K2470" t="n">
        <v>0</v>
      </c>
      <c r="L2470" t="n">
        <v>1</v>
      </c>
      <c r="M2470" t="n">
        <v>0</v>
      </c>
    </row>
    <row r="2471" spans="1:13">
      <c r="A2471" s="1">
        <f>HYPERLINK("http://www.twitter.com/NathanBLawrence/status/973738085916823552", "973738085916823552")</f>
        <v/>
      </c>
      <c r="B2471" s="2" t="n">
        <v>43173.07667824074</v>
      </c>
      <c r="C2471" t="n">
        <v>4</v>
      </c>
      <c r="D2471" t="n">
        <v>1</v>
      </c>
      <c r="E2471" t="s">
        <v>2473</v>
      </c>
      <c r="F2471" t="s"/>
      <c r="G2471" t="s"/>
      <c r="H2471" t="s"/>
      <c r="I2471" t="s"/>
      <c r="J2471" t="n">
        <v>-0.5233</v>
      </c>
      <c r="K2471" t="n">
        <v>0.194</v>
      </c>
      <c r="L2471" t="n">
        <v>0.724</v>
      </c>
      <c r="M2471" t="n">
        <v>0.082</v>
      </c>
    </row>
    <row r="2472" spans="1:13">
      <c r="A2472" s="1">
        <f>HYPERLINK("http://www.twitter.com/NathanBLawrence/status/973397662929227781", "973397662929227781")</f>
        <v/>
      </c>
      <c r="B2472" s="2" t="n">
        <v>43172.13729166667</v>
      </c>
      <c r="C2472" t="n">
        <v>0</v>
      </c>
      <c r="D2472" t="n">
        <v>2</v>
      </c>
      <c r="E2472" t="s">
        <v>2474</v>
      </c>
      <c r="F2472" t="s"/>
      <c r="G2472" t="s"/>
      <c r="H2472" t="s"/>
      <c r="I2472" t="s"/>
      <c r="J2472" t="n">
        <v>0.6098</v>
      </c>
      <c r="K2472" t="n">
        <v>0</v>
      </c>
      <c r="L2472" t="n">
        <v>0.822</v>
      </c>
      <c r="M2472" t="n">
        <v>0.178</v>
      </c>
    </row>
    <row r="2473" spans="1:13">
      <c r="A2473" s="1">
        <f>HYPERLINK("http://www.twitter.com/NathanBLawrence/status/973029303620423680", "973029303620423680")</f>
        <v/>
      </c>
      <c r="B2473" s="2" t="n">
        <v>43171.12081018519</v>
      </c>
      <c r="C2473" t="n">
        <v>0</v>
      </c>
      <c r="D2473" t="n">
        <v>4</v>
      </c>
      <c r="E2473" t="s">
        <v>2475</v>
      </c>
      <c r="F2473" t="s"/>
      <c r="G2473" t="s"/>
      <c r="H2473" t="s"/>
      <c r="I2473" t="s"/>
      <c r="J2473" t="n">
        <v>0</v>
      </c>
      <c r="K2473" t="n">
        <v>0</v>
      </c>
      <c r="L2473" t="n">
        <v>1</v>
      </c>
      <c r="M2473" t="n">
        <v>0</v>
      </c>
    </row>
    <row r="2474" spans="1:13">
      <c r="A2474" s="1">
        <f>HYPERLINK("http://www.twitter.com/NathanBLawrence/status/972592019553116161", "972592019553116161")</f>
        <v/>
      </c>
      <c r="B2474" s="2" t="n">
        <v>43169.91414351852</v>
      </c>
      <c r="C2474" t="n">
        <v>0</v>
      </c>
      <c r="D2474" t="n">
        <v>2</v>
      </c>
      <c r="E2474" t="s">
        <v>2476</v>
      </c>
      <c r="F2474" t="s"/>
      <c r="G2474" t="s"/>
      <c r="H2474" t="s"/>
      <c r="I2474" t="s"/>
      <c r="J2474" t="n">
        <v>0.4491</v>
      </c>
      <c r="K2474" t="n">
        <v>0</v>
      </c>
      <c r="L2474" t="n">
        <v>0.854</v>
      </c>
      <c r="M2474" t="n">
        <v>0.146</v>
      </c>
    </row>
    <row r="2475" spans="1:13">
      <c r="A2475" s="1">
        <f>HYPERLINK("http://www.twitter.com/NathanBLawrence/status/972591089608744961", "972591089608744961")</f>
        <v/>
      </c>
      <c r="B2475" s="2" t="n">
        <v>43169.91157407407</v>
      </c>
      <c r="C2475" t="n">
        <v>0</v>
      </c>
      <c r="D2475" t="n">
        <v>0</v>
      </c>
      <c r="E2475" t="s">
        <v>2477</v>
      </c>
      <c r="F2475" t="s"/>
      <c r="G2475" t="s"/>
      <c r="H2475" t="s"/>
      <c r="I2475" t="s"/>
      <c r="J2475" t="n">
        <v>-0.7146</v>
      </c>
      <c r="K2475" t="n">
        <v>0.46</v>
      </c>
      <c r="L2475" t="n">
        <v>0.54</v>
      </c>
      <c r="M2475" t="n">
        <v>0</v>
      </c>
    </row>
    <row r="2476" spans="1:13">
      <c r="A2476" s="1">
        <f>HYPERLINK("http://www.twitter.com/NathanBLawrence/status/972589705962426369", "972589705962426369")</f>
        <v/>
      </c>
      <c r="B2476" s="2" t="n">
        <v>43169.90775462963</v>
      </c>
      <c r="C2476" t="n">
        <v>0</v>
      </c>
      <c r="D2476" t="n">
        <v>0</v>
      </c>
      <c r="E2476" t="s">
        <v>2478</v>
      </c>
      <c r="F2476" t="s"/>
      <c r="G2476" t="s"/>
      <c r="H2476" t="s"/>
      <c r="I2476" t="s"/>
      <c r="J2476" t="n">
        <v>-0.1779</v>
      </c>
      <c r="K2476" t="n">
        <v>0.159</v>
      </c>
      <c r="L2476" t="n">
        <v>0.841</v>
      </c>
      <c r="M2476" t="n">
        <v>0</v>
      </c>
    </row>
    <row r="2477" spans="1:13">
      <c r="A2477" s="1">
        <f>HYPERLINK("http://www.twitter.com/NathanBLawrence/status/972589453075210241", "972589453075210241")</f>
        <v/>
      </c>
      <c r="B2477" s="2" t="n">
        <v>43169.90706018519</v>
      </c>
      <c r="C2477" t="n">
        <v>2</v>
      </c>
      <c r="D2477" t="n">
        <v>0</v>
      </c>
      <c r="E2477" t="s">
        <v>2479</v>
      </c>
      <c r="F2477" t="s"/>
      <c r="G2477" t="s"/>
      <c r="H2477" t="s"/>
      <c r="I2477" t="s"/>
      <c r="J2477" t="n">
        <v>0.296</v>
      </c>
      <c r="K2477" t="n">
        <v>0.08799999999999999</v>
      </c>
      <c r="L2477" t="n">
        <v>0.773</v>
      </c>
      <c r="M2477" t="n">
        <v>0.139</v>
      </c>
    </row>
    <row r="2478" spans="1:13">
      <c r="A2478" s="1">
        <f>HYPERLINK("http://www.twitter.com/NathanBLawrence/status/972588278133219328", "972588278133219328")</f>
        <v/>
      </c>
      <c r="B2478" s="2" t="n">
        <v>43169.90380787037</v>
      </c>
      <c r="C2478" t="n">
        <v>0</v>
      </c>
      <c r="D2478" t="n">
        <v>3</v>
      </c>
      <c r="E2478" t="s">
        <v>2480</v>
      </c>
      <c r="F2478" t="s"/>
      <c r="G2478" t="s"/>
      <c r="H2478" t="s"/>
      <c r="I2478" t="s"/>
      <c r="J2478" t="n">
        <v>0.1979</v>
      </c>
      <c r="K2478" t="n">
        <v>0</v>
      </c>
      <c r="L2478" t="n">
        <v>0.9</v>
      </c>
      <c r="M2478" t="n">
        <v>0.1</v>
      </c>
    </row>
    <row r="2479" spans="1:13">
      <c r="A2479" s="1">
        <f>HYPERLINK("http://www.twitter.com/NathanBLawrence/status/972588162898911232", "972588162898911232")</f>
        <v/>
      </c>
      <c r="B2479" s="2" t="n">
        <v>43169.90349537037</v>
      </c>
      <c r="C2479" t="n">
        <v>0</v>
      </c>
      <c r="D2479" t="n">
        <v>3</v>
      </c>
      <c r="E2479" t="s">
        <v>2481</v>
      </c>
      <c r="F2479" t="s"/>
      <c r="G2479" t="s"/>
      <c r="H2479" t="s"/>
      <c r="I2479" t="s"/>
      <c r="J2479" t="n">
        <v>0.4404</v>
      </c>
      <c r="K2479" t="n">
        <v>0</v>
      </c>
      <c r="L2479" t="n">
        <v>0.838</v>
      </c>
      <c r="M2479" t="n">
        <v>0.162</v>
      </c>
    </row>
    <row r="2480" spans="1:13">
      <c r="A2480" s="1">
        <f>HYPERLINK("http://www.twitter.com/NathanBLawrence/status/972587948611985408", "972587948611985408")</f>
        <v/>
      </c>
      <c r="B2480" s="2" t="n">
        <v>43169.90290509259</v>
      </c>
      <c r="C2480" t="n">
        <v>0</v>
      </c>
      <c r="D2480" t="n">
        <v>4</v>
      </c>
      <c r="E2480" t="s">
        <v>2482</v>
      </c>
      <c r="F2480" t="s"/>
      <c r="G2480" t="s"/>
      <c r="H2480" t="s"/>
      <c r="I2480" t="s"/>
      <c r="J2480" t="n">
        <v>-0.4336</v>
      </c>
      <c r="K2480" t="n">
        <v>0.107</v>
      </c>
      <c r="L2480" t="n">
        <v>0.893</v>
      </c>
      <c r="M2480" t="n">
        <v>0</v>
      </c>
    </row>
    <row r="2481" spans="1:13">
      <c r="A2481" s="1">
        <f>HYPERLINK("http://www.twitter.com/NathanBLawrence/status/972587168182013952", "972587168182013952")</f>
        <v/>
      </c>
      <c r="B2481" s="2" t="n">
        <v>43169.90075231482</v>
      </c>
      <c r="C2481" t="n">
        <v>0</v>
      </c>
      <c r="D2481" t="n">
        <v>0</v>
      </c>
      <c r="E2481" t="s">
        <v>2483</v>
      </c>
      <c r="F2481" t="s"/>
      <c r="G2481" t="s"/>
      <c r="H2481" t="s"/>
      <c r="I2481" t="s"/>
      <c r="J2481" t="n">
        <v>0.802</v>
      </c>
      <c r="K2481" t="n">
        <v>0</v>
      </c>
      <c r="L2481" t="n">
        <v>0.613</v>
      </c>
      <c r="M2481" t="n">
        <v>0.387</v>
      </c>
    </row>
    <row r="2482" spans="1:13">
      <c r="A2482" s="1">
        <f>HYPERLINK("http://www.twitter.com/NathanBLawrence/status/972586524381499392", "972586524381499392")</f>
        <v/>
      </c>
      <c r="B2482" s="2" t="n">
        <v>43169.89896990741</v>
      </c>
      <c r="C2482" t="n">
        <v>0</v>
      </c>
      <c r="D2482" t="n">
        <v>8</v>
      </c>
      <c r="E2482" t="s">
        <v>2484</v>
      </c>
      <c r="F2482" t="s"/>
      <c r="G2482" t="s"/>
      <c r="H2482" t="s"/>
      <c r="I2482" t="s"/>
      <c r="J2482" t="n">
        <v>-0.6114000000000001</v>
      </c>
      <c r="K2482" t="n">
        <v>0.222</v>
      </c>
      <c r="L2482" t="n">
        <v>0.778</v>
      </c>
      <c r="M2482" t="n">
        <v>0</v>
      </c>
    </row>
    <row r="2483" spans="1:13">
      <c r="A2483" s="1">
        <f>HYPERLINK("http://www.twitter.com/NathanBLawrence/status/972586408933240833", "972586408933240833")</f>
        <v/>
      </c>
      <c r="B2483" s="2" t="n">
        <v>43169.89865740741</v>
      </c>
      <c r="C2483" t="n">
        <v>1</v>
      </c>
      <c r="D2483" t="n">
        <v>0</v>
      </c>
      <c r="E2483" t="s">
        <v>2485</v>
      </c>
      <c r="F2483" t="s"/>
      <c r="G2483" t="s"/>
      <c r="H2483" t="s"/>
      <c r="I2483" t="s"/>
      <c r="J2483" t="n">
        <v>0</v>
      </c>
      <c r="K2483" t="n">
        <v>0</v>
      </c>
      <c r="L2483" t="n">
        <v>1</v>
      </c>
      <c r="M2483" t="n">
        <v>0</v>
      </c>
    </row>
    <row r="2484" spans="1:13">
      <c r="A2484" s="1">
        <f>HYPERLINK("http://www.twitter.com/NathanBLawrence/status/972585064734318592", "972585064734318592")</f>
        <v/>
      </c>
      <c r="B2484" s="2" t="n">
        <v>43169.89494212963</v>
      </c>
      <c r="C2484" t="n">
        <v>2</v>
      </c>
      <c r="D2484" t="n">
        <v>0</v>
      </c>
      <c r="E2484" t="s">
        <v>2486</v>
      </c>
      <c r="F2484" t="s"/>
      <c r="G2484" t="s"/>
      <c r="H2484" t="s"/>
      <c r="I2484" t="s"/>
      <c r="J2484" t="n">
        <v>0.2975</v>
      </c>
      <c r="K2484" t="n">
        <v>0.209</v>
      </c>
      <c r="L2484" t="n">
        <v>0.484</v>
      </c>
      <c r="M2484" t="n">
        <v>0.307</v>
      </c>
    </row>
    <row r="2485" spans="1:13">
      <c r="A2485" s="1">
        <f>HYPERLINK("http://www.twitter.com/NathanBLawrence/status/972582403498741760", "972582403498741760")</f>
        <v/>
      </c>
      <c r="B2485" s="2" t="n">
        <v>43169.88760416667</v>
      </c>
      <c r="C2485" t="n">
        <v>1</v>
      </c>
      <c r="D2485" t="n">
        <v>0</v>
      </c>
      <c r="E2485" t="s">
        <v>2487</v>
      </c>
      <c r="F2485" t="s"/>
      <c r="G2485" t="s"/>
      <c r="H2485" t="s"/>
      <c r="I2485" t="s"/>
      <c r="J2485" t="n">
        <v>0</v>
      </c>
      <c r="K2485" t="n">
        <v>0</v>
      </c>
      <c r="L2485" t="n">
        <v>1</v>
      </c>
      <c r="M2485" t="n">
        <v>0</v>
      </c>
    </row>
    <row r="2486" spans="1:13">
      <c r="A2486" s="1">
        <f>HYPERLINK("http://www.twitter.com/NathanBLawrence/status/972554440275357696", "972554440275357696")</f>
        <v/>
      </c>
      <c r="B2486" s="2" t="n">
        <v>43169.81043981481</v>
      </c>
      <c r="C2486" t="n">
        <v>0</v>
      </c>
      <c r="D2486" t="n">
        <v>11</v>
      </c>
      <c r="E2486" t="s">
        <v>2488</v>
      </c>
      <c r="F2486" t="s"/>
      <c r="G2486" t="s"/>
      <c r="H2486" t="s"/>
      <c r="I2486" t="s"/>
      <c r="J2486" t="n">
        <v>0</v>
      </c>
      <c r="K2486" t="n">
        <v>0</v>
      </c>
      <c r="L2486" t="n">
        <v>1</v>
      </c>
      <c r="M2486" t="n">
        <v>0</v>
      </c>
    </row>
    <row r="2487" spans="1:13">
      <c r="A2487" s="1">
        <f>HYPERLINK("http://www.twitter.com/NathanBLawrence/status/972554382033203203", "972554382033203203")</f>
        <v/>
      </c>
      <c r="B2487" s="2" t="n">
        <v>43169.81027777777</v>
      </c>
      <c r="C2487" t="n">
        <v>0</v>
      </c>
      <c r="D2487" t="n">
        <v>0</v>
      </c>
      <c r="E2487" t="s">
        <v>2489</v>
      </c>
      <c r="F2487" t="s"/>
      <c r="G2487" t="s"/>
      <c r="H2487" t="s"/>
      <c r="I2487" t="s"/>
      <c r="J2487" t="n">
        <v>-0.4588</v>
      </c>
      <c r="K2487" t="n">
        <v>0.08799999999999999</v>
      </c>
      <c r="L2487" t="n">
        <v>0.912</v>
      </c>
      <c r="M2487" t="n">
        <v>0</v>
      </c>
    </row>
    <row r="2488" spans="1:13">
      <c r="A2488" s="1">
        <f>HYPERLINK("http://www.twitter.com/NathanBLawrence/status/972553583836237827", "972553583836237827")</f>
        <v/>
      </c>
      <c r="B2488" s="2" t="n">
        <v>43169.8080787037</v>
      </c>
      <c r="C2488" t="n">
        <v>0</v>
      </c>
      <c r="D2488" t="n">
        <v>1</v>
      </c>
      <c r="E2488" t="s">
        <v>2490</v>
      </c>
      <c r="F2488" t="s"/>
      <c r="G2488" t="s"/>
      <c r="H2488" t="s"/>
      <c r="I2488" t="s"/>
      <c r="J2488" t="n">
        <v>-0.4019</v>
      </c>
      <c r="K2488" t="n">
        <v>0.192</v>
      </c>
      <c r="L2488" t="n">
        <v>0.717</v>
      </c>
      <c r="M2488" t="n">
        <v>0.091</v>
      </c>
    </row>
    <row r="2489" spans="1:13">
      <c r="A2489" s="1">
        <f>HYPERLINK("http://www.twitter.com/NathanBLawrence/status/972553462478180354", "972553462478180354")</f>
        <v/>
      </c>
      <c r="B2489" s="2" t="n">
        <v>43169.80774305556</v>
      </c>
      <c r="C2489" t="n">
        <v>0</v>
      </c>
      <c r="D2489" t="n">
        <v>0</v>
      </c>
      <c r="E2489" t="s">
        <v>2491</v>
      </c>
      <c r="F2489" t="s"/>
      <c r="G2489" t="s"/>
      <c r="H2489" t="s"/>
      <c r="I2489" t="s"/>
      <c r="J2489" t="n">
        <v>0</v>
      </c>
      <c r="K2489" t="n">
        <v>0</v>
      </c>
      <c r="L2489" t="n">
        <v>1</v>
      </c>
      <c r="M2489" t="n">
        <v>0</v>
      </c>
    </row>
    <row r="2490" spans="1:13">
      <c r="A2490" s="1">
        <f>HYPERLINK("http://www.twitter.com/NathanBLawrence/status/972552915574579200", "972552915574579200")</f>
        <v/>
      </c>
      <c r="B2490" s="2" t="n">
        <v>43169.80622685186</v>
      </c>
      <c r="C2490" t="n">
        <v>0</v>
      </c>
      <c r="D2490" t="n">
        <v>4</v>
      </c>
      <c r="E2490" t="s">
        <v>2492</v>
      </c>
      <c r="F2490" t="s"/>
      <c r="G2490" t="s"/>
      <c r="H2490" t="s"/>
      <c r="I2490" t="s"/>
      <c r="J2490" t="n">
        <v>0</v>
      </c>
      <c r="K2490" t="n">
        <v>0</v>
      </c>
      <c r="L2490" t="n">
        <v>1</v>
      </c>
      <c r="M2490" t="n">
        <v>0</v>
      </c>
    </row>
    <row r="2491" spans="1:13">
      <c r="A2491" s="1">
        <f>HYPERLINK("http://www.twitter.com/NathanBLawrence/status/972552874659106816", "972552874659106816")</f>
        <v/>
      </c>
      <c r="B2491" s="2" t="n">
        <v>43169.80612268519</v>
      </c>
      <c r="C2491" t="n">
        <v>0</v>
      </c>
      <c r="D2491" t="n">
        <v>8</v>
      </c>
      <c r="E2491" t="s">
        <v>2493</v>
      </c>
      <c r="F2491">
        <f>HYPERLINK("http://pbs.twimg.com/media/DXydzHSWAAA9LJa.jpg", "http://pbs.twimg.com/media/DXydzHSWAAA9LJa.jpg")</f>
        <v/>
      </c>
      <c r="G2491" t="s"/>
      <c r="H2491" t="s"/>
      <c r="I2491" t="s"/>
      <c r="J2491" t="n">
        <v>0</v>
      </c>
      <c r="K2491" t="n">
        <v>0</v>
      </c>
      <c r="L2491" t="n">
        <v>1</v>
      </c>
      <c r="M2491" t="n">
        <v>0</v>
      </c>
    </row>
    <row r="2492" spans="1:13">
      <c r="A2492" s="1">
        <f>HYPERLINK("http://www.twitter.com/NathanBLawrence/status/972552781721686017", "972552781721686017")</f>
        <v/>
      </c>
      <c r="B2492" s="2" t="n">
        <v>43169.80585648148</v>
      </c>
      <c r="C2492" t="n">
        <v>0</v>
      </c>
      <c r="D2492" t="n">
        <v>40</v>
      </c>
      <c r="E2492" t="s">
        <v>2494</v>
      </c>
      <c r="F2492">
        <f>HYPERLINK("http://pbs.twimg.com/media/DX4dRjFV4AAv9x5.jpg", "http://pbs.twimg.com/media/DX4dRjFV4AAv9x5.jpg")</f>
        <v/>
      </c>
      <c r="G2492">
        <f>HYPERLINK("http://pbs.twimg.com/media/DX4dRlYU8AESp5q.jpg", "http://pbs.twimg.com/media/DX4dRlYU8AESp5q.jpg")</f>
        <v/>
      </c>
      <c r="H2492">
        <f>HYPERLINK("http://pbs.twimg.com/media/DX4dRf7VMAMMbVi.jpg", "http://pbs.twimg.com/media/DX4dRf7VMAMMbVi.jpg")</f>
        <v/>
      </c>
      <c r="I2492" t="s"/>
      <c r="J2492" t="n">
        <v>0.4199</v>
      </c>
      <c r="K2492" t="n">
        <v>0</v>
      </c>
      <c r="L2492" t="n">
        <v>0.866</v>
      </c>
      <c r="M2492" t="n">
        <v>0.134</v>
      </c>
    </row>
    <row r="2493" spans="1:13">
      <c r="A2493" s="1">
        <f>HYPERLINK("http://www.twitter.com/NathanBLawrence/status/972552446533922819", "972552446533922819")</f>
        <v/>
      </c>
      <c r="B2493" s="2" t="n">
        <v>43169.80494212963</v>
      </c>
      <c r="C2493" t="n">
        <v>0</v>
      </c>
      <c r="D2493" t="n">
        <v>11</v>
      </c>
      <c r="E2493" t="s">
        <v>2495</v>
      </c>
      <c r="F2493" t="s"/>
      <c r="G2493" t="s"/>
      <c r="H2493" t="s"/>
      <c r="I2493" t="s"/>
      <c r="J2493" t="n">
        <v>0.8982</v>
      </c>
      <c r="K2493" t="n">
        <v>0</v>
      </c>
      <c r="L2493" t="n">
        <v>0.6889999999999999</v>
      </c>
      <c r="M2493" t="n">
        <v>0.311</v>
      </c>
    </row>
    <row r="2494" spans="1:13">
      <c r="A2494" s="1">
        <f>HYPERLINK("http://www.twitter.com/NathanBLawrence/status/972552006484332546", "972552006484332546")</f>
        <v/>
      </c>
      <c r="B2494" s="2" t="n">
        <v>43169.80372685185</v>
      </c>
      <c r="C2494" t="n">
        <v>0</v>
      </c>
      <c r="D2494" t="n">
        <v>0</v>
      </c>
      <c r="E2494" t="s">
        <v>2496</v>
      </c>
      <c r="F2494" t="s"/>
      <c r="G2494" t="s"/>
      <c r="H2494" t="s"/>
      <c r="I2494" t="s"/>
      <c r="J2494" t="n">
        <v>0</v>
      </c>
      <c r="K2494" t="n">
        <v>0</v>
      </c>
      <c r="L2494" t="n">
        <v>1</v>
      </c>
      <c r="M2494" t="n">
        <v>0</v>
      </c>
    </row>
    <row r="2495" spans="1:13">
      <c r="A2495" s="1">
        <f>HYPERLINK("http://www.twitter.com/NathanBLawrence/status/972546813608808448", "972546813608808448")</f>
        <v/>
      </c>
      <c r="B2495" s="2" t="n">
        <v>43169.78939814815</v>
      </c>
      <c r="C2495" t="n">
        <v>0</v>
      </c>
      <c r="D2495" t="n">
        <v>4</v>
      </c>
      <c r="E2495" t="s">
        <v>2497</v>
      </c>
      <c r="F2495" t="s"/>
      <c r="G2495" t="s"/>
      <c r="H2495" t="s"/>
      <c r="I2495" t="s"/>
      <c r="J2495" t="n">
        <v>-0.3182</v>
      </c>
      <c r="K2495" t="n">
        <v>0.095</v>
      </c>
      <c r="L2495" t="n">
        <v>0.905</v>
      </c>
      <c r="M2495" t="n">
        <v>0</v>
      </c>
    </row>
    <row r="2496" spans="1:13">
      <c r="A2496" s="1">
        <f>HYPERLINK("http://www.twitter.com/NathanBLawrence/status/972546065944776705", "972546065944776705")</f>
        <v/>
      </c>
      <c r="B2496" s="2" t="n">
        <v>43169.78732638889</v>
      </c>
      <c r="C2496" t="n">
        <v>0</v>
      </c>
      <c r="D2496" t="n">
        <v>1</v>
      </c>
      <c r="E2496" t="s">
        <v>2498</v>
      </c>
      <c r="F2496" t="s"/>
      <c r="G2496" t="s"/>
      <c r="H2496" t="s"/>
      <c r="I2496" t="s"/>
      <c r="J2496" t="n">
        <v>0</v>
      </c>
      <c r="K2496" t="n">
        <v>0</v>
      </c>
      <c r="L2496" t="n">
        <v>1</v>
      </c>
      <c r="M2496" t="n">
        <v>0</v>
      </c>
    </row>
    <row r="2497" spans="1:13">
      <c r="A2497" s="1">
        <f>HYPERLINK("http://www.twitter.com/NathanBLawrence/status/972545988433989633", "972545988433989633")</f>
        <v/>
      </c>
      <c r="B2497" s="2" t="n">
        <v>43169.78711805555</v>
      </c>
      <c r="C2497" t="n">
        <v>1</v>
      </c>
      <c r="D2497" t="n">
        <v>0</v>
      </c>
      <c r="E2497" t="s">
        <v>2499</v>
      </c>
      <c r="F2497" t="s"/>
      <c r="G2497" t="s"/>
      <c r="H2497" t="s"/>
      <c r="I2497" t="s"/>
      <c r="J2497" t="n">
        <v>0</v>
      </c>
      <c r="K2497" t="n">
        <v>0</v>
      </c>
      <c r="L2497" t="n">
        <v>1</v>
      </c>
      <c r="M2497" t="n">
        <v>0</v>
      </c>
    </row>
    <row r="2498" spans="1:13">
      <c r="A2498" s="1">
        <f>HYPERLINK("http://www.twitter.com/NathanBLawrence/status/972545726357139457", "972545726357139457")</f>
        <v/>
      </c>
      <c r="B2498" s="2" t="n">
        <v>43169.78638888889</v>
      </c>
      <c r="C2498" t="n">
        <v>1</v>
      </c>
      <c r="D2498" t="n">
        <v>0</v>
      </c>
      <c r="E2498" t="s">
        <v>2500</v>
      </c>
      <c r="F2498" t="s"/>
      <c r="G2498" t="s"/>
      <c r="H2498" t="s"/>
      <c r="I2498" t="s"/>
      <c r="J2498" t="n">
        <v>-0.5266999999999999</v>
      </c>
      <c r="K2498" t="n">
        <v>0.362</v>
      </c>
      <c r="L2498" t="n">
        <v>0.638</v>
      </c>
      <c r="M2498" t="n">
        <v>0</v>
      </c>
    </row>
    <row r="2499" spans="1:13">
      <c r="A2499" s="1">
        <f>HYPERLINK("http://www.twitter.com/NathanBLawrence/status/972545613089959936", "972545613089959936")</f>
        <v/>
      </c>
      <c r="B2499" s="2" t="n">
        <v>43169.78607638889</v>
      </c>
      <c r="C2499" t="n">
        <v>0</v>
      </c>
      <c r="D2499" t="n">
        <v>1</v>
      </c>
      <c r="E2499" t="s">
        <v>2501</v>
      </c>
      <c r="F2499" t="s"/>
      <c r="G2499" t="s"/>
      <c r="H2499" t="s"/>
      <c r="I2499" t="s"/>
      <c r="J2499" t="n">
        <v>-0.128</v>
      </c>
      <c r="K2499" t="n">
        <v>0.108</v>
      </c>
      <c r="L2499" t="n">
        <v>0.803</v>
      </c>
      <c r="M2499" t="n">
        <v>0.08799999999999999</v>
      </c>
    </row>
    <row r="2500" spans="1:13">
      <c r="A2500" s="1">
        <f>HYPERLINK("http://www.twitter.com/NathanBLawrence/status/972545475701366785", "972545475701366785")</f>
        <v/>
      </c>
      <c r="B2500" s="2" t="n">
        <v>43169.78570601852</v>
      </c>
      <c r="C2500" t="n">
        <v>1</v>
      </c>
      <c r="D2500" t="n">
        <v>1</v>
      </c>
      <c r="E2500" t="s">
        <v>2502</v>
      </c>
      <c r="F2500" t="s"/>
      <c r="G2500" t="s"/>
      <c r="H2500" t="s"/>
      <c r="I2500" t="s"/>
      <c r="J2500" t="n">
        <v>0.6353</v>
      </c>
      <c r="K2500" t="n">
        <v>0.089</v>
      </c>
      <c r="L2500" t="n">
        <v>0.651</v>
      </c>
      <c r="M2500" t="n">
        <v>0.26</v>
      </c>
    </row>
    <row r="2501" spans="1:13">
      <c r="A2501" s="1">
        <f>HYPERLINK("http://www.twitter.com/NathanBLawrence/status/972545160553881601", "972545160553881601")</f>
        <v/>
      </c>
      <c r="B2501" s="2" t="n">
        <v>43169.78482638889</v>
      </c>
      <c r="C2501" t="n">
        <v>0</v>
      </c>
      <c r="D2501" t="n">
        <v>1</v>
      </c>
      <c r="E2501" t="s">
        <v>2503</v>
      </c>
      <c r="F2501" t="s"/>
      <c r="G2501" t="s"/>
      <c r="H2501" t="s"/>
      <c r="I2501" t="s"/>
      <c r="J2501" t="n">
        <v>-0.1926</v>
      </c>
      <c r="K2501" t="n">
        <v>0.068</v>
      </c>
      <c r="L2501" t="n">
        <v>0.9320000000000001</v>
      </c>
      <c r="M2501" t="n">
        <v>0</v>
      </c>
    </row>
    <row r="2502" spans="1:13">
      <c r="A2502" s="1">
        <f>HYPERLINK("http://www.twitter.com/NathanBLawrence/status/972544954072432642", "972544954072432642")</f>
        <v/>
      </c>
      <c r="B2502" s="2" t="n">
        <v>43169.78425925926</v>
      </c>
      <c r="C2502" t="n">
        <v>0</v>
      </c>
      <c r="D2502" t="n">
        <v>0</v>
      </c>
      <c r="E2502" t="s">
        <v>2504</v>
      </c>
      <c r="F2502" t="s"/>
      <c r="G2502" t="s"/>
      <c r="H2502" t="s"/>
      <c r="I2502" t="s"/>
      <c r="J2502" t="n">
        <v>0.3182</v>
      </c>
      <c r="K2502" t="n">
        <v>0</v>
      </c>
      <c r="L2502" t="n">
        <v>0.85</v>
      </c>
      <c r="M2502" t="n">
        <v>0.15</v>
      </c>
    </row>
    <row r="2503" spans="1:13">
      <c r="A2503" s="1">
        <f>HYPERLINK("http://www.twitter.com/NathanBLawrence/status/972544440429621248", "972544440429621248")</f>
        <v/>
      </c>
      <c r="B2503" s="2" t="n">
        <v>43169.78284722222</v>
      </c>
      <c r="C2503" t="n">
        <v>0</v>
      </c>
      <c r="D2503" t="n">
        <v>0</v>
      </c>
      <c r="E2503" t="s">
        <v>2505</v>
      </c>
      <c r="F2503" t="s"/>
      <c r="G2503" t="s"/>
      <c r="H2503" t="s"/>
      <c r="I2503" t="s"/>
      <c r="J2503" t="n">
        <v>0</v>
      </c>
      <c r="K2503" t="n">
        <v>0</v>
      </c>
      <c r="L2503" t="n">
        <v>1</v>
      </c>
      <c r="M2503" t="n">
        <v>0</v>
      </c>
    </row>
    <row r="2504" spans="1:13">
      <c r="A2504" s="1">
        <f>HYPERLINK("http://www.twitter.com/NathanBLawrence/status/972544343528615938", "972544343528615938")</f>
        <v/>
      </c>
      <c r="B2504" s="2" t="n">
        <v>43169.78258101852</v>
      </c>
      <c r="C2504" t="n">
        <v>1</v>
      </c>
      <c r="D2504" t="n">
        <v>0</v>
      </c>
      <c r="E2504" t="s">
        <v>2506</v>
      </c>
      <c r="F2504" t="s"/>
      <c r="G2504" t="s"/>
      <c r="H2504" t="s"/>
      <c r="I2504" t="s"/>
      <c r="J2504" t="n">
        <v>0.2924</v>
      </c>
      <c r="K2504" t="n">
        <v>0</v>
      </c>
      <c r="L2504" t="n">
        <v>0.786</v>
      </c>
      <c r="M2504" t="n">
        <v>0.214</v>
      </c>
    </row>
    <row r="2505" spans="1:13">
      <c r="A2505" s="1">
        <f>HYPERLINK("http://www.twitter.com/NathanBLawrence/status/972544137491812353", "972544137491812353")</f>
        <v/>
      </c>
      <c r="B2505" s="2" t="n">
        <v>43169.78201388889</v>
      </c>
      <c r="C2505" t="n">
        <v>1</v>
      </c>
      <c r="D2505" t="n">
        <v>0</v>
      </c>
      <c r="E2505" t="s">
        <v>2507</v>
      </c>
      <c r="F2505" t="s"/>
      <c r="G2505" t="s"/>
      <c r="H2505" t="s"/>
      <c r="I2505" t="s"/>
      <c r="J2505" t="n">
        <v>-0.4924</v>
      </c>
      <c r="K2505" t="n">
        <v>0.151</v>
      </c>
      <c r="L2505" t="n">
        <v>0.802</v>
      </c>
      <c r="M2505" t="n">
        <v>0.046</v>
      </c>
    </row>
    <row r="2506" spans="1:13">
      <c r="A2506" s="1">
        <f>HYPERLINK("http://www.twitter.com/NathanBLawrence/status/972543384714989573", "972543384714989573")</f>
        <v/>
      </c>
      <c r="B2506" s="2" t="n">
        <v>43169.77993055555</v>
      </c>
      <c r="C2506" t="n">
        <v>0</v>
      </c>
      <c r="D2506" t="n">
        <v>1</v>
      </c>
      <c r="E2506" t="s">
        <v>2508</v>
      </c>
      <c r="F2506" t="s"/>
      <c r="G2506" t="s"/>
      <c r="H2506" t="s"/>
      <c r="I2506" t="s"/>
      <c r="J2506" t="n">
        <v>-0.5423</v>
      </c>
      <c r="K2506" t="n">
        <v>0.171</v>
      </c>
      <c r="L2506" t="n">
        <v>0.829</v>
      </c>
      <c r="M2506" t="n">
        <v>0</v>
      </c>
    </row>
    <row r="2507" spans="1:13">
      <c r="A2507" s="1">
        <f>HYPERLINK("http://www.twitter.com/NathanBLawrence/status/972543310182146048", "972543310182146048")</f>
        <v/>
      </c>
      <c r="B2507" s="2" t="n">
        <v>43169.77972222222</v>
      </c>
      <c r="C2507" t="n">
        <v>0</v>
      </c>
      <c r="D2507" t="n">
        <v>0</v>
      </c>
      <c r="E2507" t="s">
        <v>2509</v>
      </c>
      <c r="F2507" t="s"/>
      <c r="G2507" t="s"/>
      <c r="H2507" t="s"/>
      <c r="I2507" t="s"/>
      <c r="J2507" t="n">
        <v>-0.802</v>
      </c>
      <c r="K2507" t="n">
        <v>0.444</v>
      </c>
      <c r="L2507" t="n">
        <v>0.556</v>
      </c>
      <c r="M2507" t="n">
        <v>0</v>
      </c>
    </row>
    <row r="2508" spans="1:13">
      <c r="A2508" s="1">
        <f>HYPERLINK("http://www.twitter.com/NathanBLawrence/status/972542899652087808", "972542899652087808")</f>
        <v/>
      </c>
      <c r="B2508" s="2" t="n">
        <v>43169.77858796297</v>
      </c>
      <c r="C2508" t="n">
        <v>0</v>
      </c>
      <c r="D2508" t="n">
        <v>38</v>
      </c>
      <c r="E2508" t="s">
        <v>2510</v>
      </c>
      <c r="F2508" t="s"/>
      <c r="G2508" t="s"/>
      <c r="H2508" t="s"/>
      <c r="I2508" t="s"/>
      <c r="J2508" t="n">
        <v>0</v>
      </c>
      <c r="K2508" t="n">
        <v>0</v>
      </c>
      <c r="L2508" t="n">
        <v>1</v>
      </c>
      <c r="M2508" t="n">
        <v>0</v>
      </c>
    </row>
    <row r="2509" spans="1:13">
      <c r="A2509" s="1">
        <f>HYPERLINK("http://www.twitter.com/NathanBLawrence/status/972542351171293184", "972542351171293184")</f>
        <v/>
      </c>
      <c r="B2509" s="2" t="n">
        <v>43169.77708333333</v>
      </c>
      <c r="C2509" t="n">
        <v>1</v>
      </c>
      <c r="D2509" t="n">
        <v>0</v>
      </c>
      <c r="E2509" t="s">
        <v>2511</v>
      </c>
      <c r="F2509" t="s"/>
      <c r="G2509" t="s"/>
      <c r="H2509" t="s"/>
      <c r="I2509" t="s"/>
      <c r="J2509" t="n">
        <v>0</v>
      </c>
      <c r="K2509" t="n">
        <v>0</v>
      </c>
      <c r="L2509" t="n">
        <v>1</v>
      </c>
      <c r="M2509" t="n">
        <v>0</v>
      </c>
    </row>
    <row r="2510" spans="1:13">
      <c r="A2510" s="1">
        <f>HYPERLINK("http://www.twitter.com/NathanBLawrence/status/972542278471442432", "972542278471442432")</f>
        <v/>
      </c>
      <c r="B2510" s="2" t="n">
        <v>43169.776875</v>
      </c>
      <c r="C2510" t="n">
        <v>0</v>
      </c>
      <c r="D2510" t="n">
        <v>19</v>
      </c>
      <c r="E2510" t="s">
        <v>2512</v>
      </c>
      <c r="F2510" t="s"/>
      <c r="G2510" t="s"/>
      <c r="H2510" t="s"/>
      <c r="I2510" t="s"/>
      <c r="J2510" t="n">
        <v>-0.6808</v>
      </c>
      <c r="K2510" t="n">
        <v>0.211</v>
      </c>
      <c r="L2510" t="n">
        <v>0.789</v>
      </c>
      <c r="M2510" t="n">
        <v>0</v>
      </c>
    </row>
    <row r="2511" spans="1:13">
      <c r="A2511" s="1">
        <f>HYPERLINK("http://www.twitter.com/NathanBLawrence/status/972542212948004865", "972542212948004865")</f>
        <v/>
      </c>
      <c r="B2511" s="2" t="n">
        <v>43169.77670138889</v>
      </c>
      <c r="C2511" t="n">
        <v>0</v>
      </c>
      <c r="D2511" t="n">
        <v>62</v>
      </c>
      <c r="E2511" t="s">
        <v>2513</v>
      </c>
      <c r="F2511">
        <f>HYPERLINK("http://pbs.twimg.com/media/DX4PIRDU0AApBDp.jpg", "http://pbs.twimg.com/media/DX4PIRDU0AApBDp.jpg")</f>
        <v/>
      </c>
      <c r="G2511">
        <f>HYPERLINK("http://pbs.twimg.com/media/DX4PIRnVwAAQpUV.jpg", "http://pbs.twimg.com/media/DX4PIRnVwAAQpUV.jpg")</f>
        <v/>
      </c>
      <c r="H2511">
        <f>HYPERLINK("http://pbs.twimg.com/media/DX4PISYUQAEuUiE.jpg", "http://pbs.twimg.com/media/DX4PISYUQAEuUiE.jpg")</f>
        <v/>
      </c>
      <c r="I2511">
        <f>HYPERLINK("http://pbs.twimg.com/media/DX4PIT5VAAAJWoM.jpg", "http://pbs.twimg.com/media/DX4PIT5VAAAJWoM.jpg")</f>
        <v/>
      </c>
      <c r="J2511" t="n">
        <v>0.7003</v>
      </c>
      <c r="K2511" t="n">
        <v>0</v>
      </c>
      <c r="L2511" t="n">
        <v>0.799</v>
      </c>
      <c r="M2511" t="n">
        <v>0.201</v>
      </c>
    </row>
    <row r="2512" spans="1:13">
      <c r="A2512" s="1">
        <f>HYPERLINK("http://www.twitter.com/NathanBLawrence/status/972542118714642433", "972542118714642433")</f>
        <v/>
      </c>
      <c r="B2512" s="2" t="n">
        <v>43169.77643518519</v>
      </c>
      <c r="C2512" t="n">
        <v>0</v>
      </c>
      <c r="D2512" t="n">
        <v>136</v>
      </c>
      <c r="E2512" t="s">
        <v>2514</v>
      </c>
      <c r="F2512" t="s"/>
      <c r="G2512" t="s"/>
      <c r="H2512" t="s"/>
      <c r="I2512" t="s"/>
      <c r="J2512" t="n">
        <v>-0.1779</v>
      </c>
      <c r="K2512" t="n">
        <v>0.07199999999999999</v>
      </c>
      <c r="L2512" t="n">
        <v>0.928</v>
      </c>
      <c r="M2512" t="n">
        <v>0</v>
      </c>
    </row>
    <row r="2513" spans="1:13">
      <c r="A2513" s="1">
        <f>HYPERLINK("http://www.twitter.com/NathanBLawrence/status/972541706284556288", "972541706284556288")</f>
        <v/>
      </c>
      <c r="B2513" s="2" t="n">
        <v>43169.77530092592</v>
      </c>
      <c r="C2513" t="n">
        <v>0</v>
      </c>
      <c r="D2513" t="n">
        <v>3</v>
      </c>
      <c r="E2513" t="s">
        <v>2515</v>
      </c>
      <c r="F2513" t="s"/>
      <c r="G2513" t="s"/>
      <c r="H2513" t="s"/>
      <c r="I2513" t="s"/>
      <c r="J2513" t="n">
        <v>0</v>
      </c>
      <c r="K2513" t="n">
        <v>0</v>
      </c>
      <c r="L2513" t="n">
        <v>1</v>
      </c>
      <c r="M2513" t="n">
        <v>0</v>
      </c>
    </row>
    <row r="2514" spans="1:13">
      <c r="A2514" s="1">
        <f>HYPERLINK("http://www.twitter.com/NathanBLawrence/status/972541624315195392", "972541624315195392")</f>
        <v/>
      </c>
      <c r="B2514" s="2" t="n">
        <v>43169.77506944445</v>
      </c>
      <c r="C2514" t="n">
        <v>0</v>
      </c>
      <c r="D2514" t="n">
        <v>5</v>
      </c>
      <c r="E2514" t="s">
        <v>2516</v>
      </c>
      <c r="F2514" t="s"/>
      <c r="G2514" t="s"/>
      <c r="H2514" t="s"/>
      <c r="I2514" t="s"/>
      <c r="J2514" t="n">
        <v>0</v>
      </c>
      <c r="K2514" t="n">
        <v>0</v>
      </c>
      <c r="L2514" t="n">
        <v>1</v>
      </c>
      <c r="M2514" t="n">
        <v>0</v>
      </c>
    </row>
    <row r="2515" spans="1:13">
      <c r="A2515" s="1">
        <f>HYPERLINK("http://www.twitter.com/NathanBLawrence/status/972541383784493058", "972541383784493058")</f>
        <v/>
      </c>
      <c r="B2515" s="2" t="n">
        <v>43169.77440972222</v>
      </c>
      <c r="C2515" t="n">
        <v>0</v>
      </c>
      <c r="D2515" t="n">
        <v>6</v>
      </c>
      <c r="E2515" t="s">
        <v>2517</v>
      </c>
      <c r="F2515" t="s"/>
      <c r="G2515" t="s"/>
      <c r="H2515" t="s"/>
      <c r="I2515" t="s"/>
      <c r="J2515" t="n">
        <v>0.2168</v>
      </c>
      <c r="K2515" t="n">
        <v>0.099</v>
      </c>
      <c r="L2515" t="n">
        <v>0.764</v>
      </c>
      <c r="M2515" t="n">
        <v>0.137</v>
      </c>
    </row>
    <row r="2516" spans="1:13">
      <c r="A2516" s="1">
        <f>HYPERLINK("http://www.twitter.com/NathanBLawrence/status/972540972004446208", "972540972004446208")</f>
        <v/>
      </c>
      <c r="B2516" s="2" t="n">
        <v>43169.77327546296</v>
      </c>
      <c r="C2516" t="n">
        <v>0</v>
      </c>
      <c r="D2516" t="n">
        <v>0</v>
      </c>
      <c r="E2516" t="s">
        <v>2518</v>
      </c>
      <c r="F2516" t="s"/>
      <c r="G2516" t="s"/>
      <c r="H2516" t="s"/>
      <c r="I2516" t="s"/>
      <c r="J2516" t="n">
        <v>0.4003</v>
      </c>
      <c r="K2516" t="n">
        <v>0</v>
      </c>
      <c r="L2516" t="n">
        <v>0.828</v>
      </c>
      <c r="M2516" t="n">
        <v>0.172</v>
      </c>
    </row>
    <row r="2517" spans="1:13">
      <c r="A2517" s="1">
        <f>HYPERLINK("http://www.twitter.com/NathanBLawrence/status/972540280045035520", "972540280045035520")</f>
        <v/>
      </c>
      <c r="B2517" s="2" t="n">
        <v>43169.77136574074</v>
      </c>
      <c r="C2517" t="n">
        <v>2</v>
      </c>
      <c r="D2517" t="n">
        <v>0</v>
      </c>
      <c r="E2517" t="s">
        <v>2519</v>
      </c>
      <c r="F2517" t="s"/>
      <c r="G2517" t="s"/>
      <c r="H2517" t="s"/>
      <c r="I2517" t="s"/>
      <c r="J2517" t="n">
        <v>0.5574</v>
      </c>
      <c r="K2517" t="n">
        <v>0</v>
      </c>
      <c r="L2517" t="n">
        <v>0.739</v>
      </c>
      <c r="M2517" t="n">
        <v>0.261</v>
      </c>
    </row>
    <row r="2518" spans="1:13">
      <c r="A2518" s="1">
        <f>HYPERLINK("http://www.twitter.com/NathanBLawrence/status/972540146670297088", "972540146670297088")</f>
        <v/>
      </c>
      <c r="B2518" s="2" t="n">
        <v>43169.77099537037</v>
      </c>
      <c r="C2518" t="n">
        <v>0</v>
      </c>
      <c r="D2518" t="n">
        <v>2</v>
      </c>
      <c r="E2518" t="s">
        <v>2520</v>
      </c>
      <c r="F2518" t="s"/>
      <c r="G2518" t="s"/>
      <c r="H2518" t="s"/>
      <c r="I2518" t="s"/>
      <c r="J2518" t="n">
        <v>0</v>
      </c>
      <c r="K2518" t="n">
        <v>0</v>
      </c>
      <c r="L2518" t="n">
        <v>1</v>
      </c>
      <c r="M2518" t="n">
        <v>0</v>
      </c>
    </row>
    <row r="2519" spans="1:13">
      <c r="A2519" s="1">
        <f>HYPERLINK("http://www.twitter.com/NathanBLawrence/status/972540025094262785", "972540025094262785")</f>
        <v/>
      </c>
      <c r="B2519" s="2" t="n">
        <v>43169.77065972222</v>
      </c>
      <c r="C2519" t="n">
        <v>0</v>
      </c>
      <c r="D2519" t="n">
        <v>1</v>
      </c>
      <c r="E2519" t="s">
        <v>2521</v>
      </c>
      <c r="F2519" t="s"/>
      <c r="G2519" t="s"/>
      <c r="H2519" t="s"/>
      <c r="I2519" t="s"/>
      <c r="J2519" t="n">
        <v>0</v>
      </c>
      <c r="K2519" t="n">
        <v>0</v>
      </c>
      <c r="L2519" t="n">
        <v>1</v>
      </c>
      <c r="M2519" t="n">
        <v>0</v>
      </c>
    </row>
    <row r="2520" spans="1:13">
      <c r="A2520" s="1">
        <f>HYPERLINK("http://www.twitter.com/NathanBLawrence/status/972539922417618944", "972539922417618944")</f>
        <v/>
      </c>
      <c r="B2520" s="2" t="n">
        <v>43169.77038194444</v>
      </c>
      <c r="C2520" t="n">
        <v>2</v>
      </c>
      <c r="D2520" t="n">
        <v>0</v>
      </c>
      <c r="E2520" t="s">
        <v>2522</v>
      </c>
      <c r="F2520" t="s"/>
      <c r="G2520" t="s"/>
      <c r="H2520" t="s"/>
      <c r="I2520" t="s"/>
      <c r="J2520" t="n">
        <v>-0.781</v>
      </c>
      <c r="K2520" t="n">
        <v>0.272</v>
      </c>
      <c r="L2520" t="n">
        <v>0.728</v>
      </c>
      <c r="M2520" t="n">
        <v>0</v>
      </c>
    </row>
    <row r="2521" spans="1:13">
      <c r="A2521" s="1">
        <f>HYPERLINK("http://www.twitter.com/NathanBLawrence/status/972539370875052032", "972539370875052032")</f>
        <v/>
      </c>
      <c r="B2521" s="2" t="n">
        <v>43169.76885416666</v>
      </c>
      <c r="C2521" t="n">
        <v>0</v>
      </c>
      <c r="D2521" t="n">
        <v>12</v>
      </c>
      <c r="E2521" t="s">
        <v>2523</v>
      </c>
      <c r="F2521" t="s"/>
      <c r="G2521" t="s"/>
      <c r="H2521" t="s"/>
      <c r="I2521" t="s"/>
      <c r="J2521" t="n">
        <v>-0.4019</v>
      </c>
      <c r="K2521" t="n">
        <v>0.135</v>
      </c>
      <c r="L2521" t="n">
        <v>0.802</v>
      </c>
      <c r="M2521" t="n">
        <v>0.063</v>
      </c>
    </row>
    <row r="2522" spans="1:13">
      <c r="A2522" s="1">
        <f>HYPERLINK("http://www.twitter.com/NathanBLawrence/status/972539241728274432", "972539241728274432")</f>
        <v/>
      </c>
      <c r="B2522" s="2" t="n">
        <v>43169.76849537037</v>
      </c>
      <c r="C2522" t="n">
        <v>0</v>
      </c>
      <c r="D2522" t="n">
        <v>38</v>
      </c>
      <c r="E2522" t="s">
        <v>2524</v>
      </c>
      <c r="F2522">
        <f>HYPERLINK("http://pbs.twimg.com/media/DX4PBuUUQAAQ1_o.jpg", "http://pbs.twimg.com/media/DX4PBuUUQAAQ1_o.jpg")</f>
        <v/>
      </c>
      <c r="G2522">
        <f>HYPERLINK("http://pbs.twimg.com/media/DX4PBuZVQAAbmW8.jpg", "http://pbs.twimg.com/media/DX4PBuZVQAAbmW8.jpg")</f>
        <v/>
      </c>
      <c r="H2522">
        <f>HYPERLINK("http://pbs.twimg.com/media/DX4PBuYVQAAi1Kw.jpg", "http://pbs.twimg.com/media/DX4PBuYVQAAi1Kw.jpg")</f>
        <v/>
      </c>
      <c r="I2522" t="s"/>
      <c r="J2522" t="n">
        <v>-0.1139</v>
      </c>
      <c r="K2522" t="n">
        <v>0.1</v>
      </c>
      <c r="L2522" t="n">
        <v>0.9</v>
      </c>
      <c r="M2522" t="n">
        <v>0</v>
      </c>
    </row>
    <row r="2523" spans="1:13">
      <c r="A2523" s="1">
        <f>HYPERLINK("http://www.twitter.com/NathanBLawrence/status/972538538980970496", "972538538980970496")</f>
        <v/>
      </c>
      <c r="B2523" s="2" t="n">
        <v>43169.7665625</v>
      </c>
      <c r="C2523" t="n">
        <v>0</v>
      </c>
      <c r="D2523" t="n">
        <v>0</v>
      </c>
      <c r="E2523" t="s">
        <v>2525</v>
      </c>
      <c r="F2523" t="s"/>
      <c r="G2523" t="s"/>
      <c r="H2523" t="s"/>
      <c r="I2523" t="s"/>
      <c r="J2523" t="n">
        <v>0</v>
      </c>
      <c r="K2523" t="n">
        <v>0</v>
      </c>
      <c r="L2523" t="n">
        <v>1</v>
      </c>
      <c r="M2523" t="n">
        <v>0</v>
      </c>
    </row>
    <row r="2524" spans="1:13">
      <c r="A2524" s="1">
        <f>HYPERLINK("http://www.twitter.com/NathanBLawrence/status/972538359372541952", "972538359372541952")</f>
        <v/>
      </c>
      <c r="B2524" s="2" t="n">
        <v>43169.76606481482</v>
      </c>
      <c r="C2524" t="n">
        <v>0</v>
      </c>
      <c r="D2524" t="n">
        <v>2</v>
      </c>
      <c r="E2524" t="s">
        <v>2526</v>
      </c>
      <c r="F2524" t="s"/>
      <c r="G2524" t="s"/>
      <c r="H2524" t="s"/>
      <c r="I2524" t="s"/>
      <c r="J2524" t="n">
        <v>-0.3382</v>
      </c>
      <c r="K2524" t="n">
        <v>0.13</v>
      </c>
      <c r="L2524" t="n">
        <v>0.87</v>
      </c>
      <c r="M2524" t="n">
        <v>0</v>
      </c>
    </row>
    <row r="2525" spans="1:13">
      <c r="A2525" s="1">
        <f>HYPERLINK("http://www.twitter.com/NathanBLawrence/status/972538287608025095", "972538287608025095")</f>
        <v/>
      </c>
      <c r="B2525" s="2" t="n">
        <v>43169.76586805555</v>
      </c>
      <c r="C2525" t="n">
        <v>1</v>
      </c>
      <c r="D2525" t="n">
        <v>1</v>
      </c>
      <c r="E2525" t="s">
        <v>2527</v>
      </c>
      <c r="F2525" t="s"/>
      <c r="G2525" t="s"/>
      <c r="H2525" t="s"/>
      <c r="I2525" t="s"/>
      <c r="J2525" t="n">
        <v>0.4754</v>
      </c>
      <c r="K2525" t="n">
        <v>0</v>
      </c>
      <c r="L2525" t="n">
        <v>0.5639999999999999</v>
      </c>
      <c r="M2525" t="n">
        <v>0.436</v>
      </c>
    </row>
    <row r="2526" spans="1:13">
      <c r="A2526" s="1">
        <f>HYPERLINK("http://www.twitter.com/NathanBLawrence/status/972537993851494402", "972537993851494402")</f>
        <v/>
      </c>
      <c r="B2526" s="2" t="n">
        <v>43169.76505787037</v>
      </c>
      <c r="C2526" t="n">
        <v>0</v>
      </c>
      <c r="D2526" t="n">
        <v>2</v>
      </c>
      <c r="E2526" t="s">
        <v>2528</v>
      </c>
      <c r="F2526" t="s"/>
      <c r="G2526" t="s"/>
      <c r="H2526" t="s"/>
      <c r="I2526" t="s"/>
      <c r="J2526" t="n">
        <v>0.1322</v>
      </c>
      <c r="K2526" t="n">
        <v>0.114</v>
      </c>
      <c r="L2526" t="n">
        <v>0.715</v>
      </c>
      <c r="M2526" t="n">
        <v>0.171</v>
      </c>
    </row>
    <row r="2527" spans="1:13">
      <c r="A2527" s="1">
        <f>HYPERLINK("http://www.twitter.com/NathanBLawrence/status/972537948636958721", "972537948636958721")</f>
        <v/>
      </c>
      <c r="B2527" s="2" t="n">
        <v>43169.76493055555</v>
      </c>
      <c r="C2527" t="n">
        <v>0</v>
      </c>
      <c r="D2527" t="n">
        <v>6</v>
      </c>
      <c r="E2527" t="s">
        <v>2529</v>
      </c>
      <c r="F2527" t="s"/>
      <c r="G2527" t="s"/>
      <c r="H2527" t="s"/>
      <c r="I2527" t="s"/>
      <c r="J2527" t="n">
        <v>0</v>
      </c>
      <c r="K2527" t="n">
        <v>0</v>
      </c>
      <c r="L2527" t="n">
        <v>1</v>
      </c>
      <c r="M2527" t="n">
        <v>0</v>
      </c>
    </row>
    <row r="2528" spans="1:13">
      <c r="A2528" s="1">
        <f>HYPERLINK("http://www.twitter.com/NathanBLawrence/status/972537904705818625", "972537904705818625")</f>
        <v/>
      </c>
      <c r="B2528" s="2" t="n">
        <v>43169.76481481481</v>
      </c>
      <c r="C2528" t="n">
        <v>0</v>
      </c>
      <c r="D2528" t="n">
        <v>4</v>
      </c>
      <c r="E2528" t="s">
        <v>2530</v>
      </c>
      <c r="F2528" t="s"/>
      <c r="G2528" t="s"/>
      <c r="H2528" t="s"/>
      <c r="I2528" t="s"/>
      <c r="J2528" t="n">
        <v>-0.4164</v>
      </c>
      <c r="K2528" t="n">
        <v>0.207</v>
      </c>
      <c r="L2528" t="n">
        <v>0.7</v>
      </c>
      <c r="M2528" t="n">
        <v>0.093</v>
      </c>
    </row>
    <row r="2529" spans="1:13">
      <c r="A2529" s="1">
        <f>HYPERLINK("http://www.twitter.com/NathanBLawrence/status/972537880198381568", "972537880198381568")</f>
        <v/>
      </c>
      <c r="B2529" s="2" t="n">
        <v>43169.76474537037</v>
      </c>
      <c r="C2529" t="n">
        <v>0</v>
      </c>
      <c r="D2529" t="n">
        <v>5</v>
      </c>
      <c r="E2529" t="s">
        <v>2531</v>
      </c>
      <c r="F2529" t="s"/>
      <c r="G2529" t="s"/>
      <c r="H2529" t="s"/>
      <c r="I2529" t="s"/>
      <c r="J2529" t="n">
        <v>-0.2732</v>
      </c>
      <c r="K2529" t="n">
        <v>0.189</v>
      </c>
      <c r="L2529" t="n">
        <v>0.8110000000000001</v>
      </c>
      <c r="M2529" t="n">
        <v>0</v>
      </c>
    </row>
    <row r="2530" spans="1:13">
      <c r="A2530" s="1">
        <f>HYPERLINK("http://www.twitter.com/NathanBLawrence/status/972537857951895552", "972537857951895552")</f>
        <v/>
      </c>
      <c r="B2530" s="2" t="n">
        <v>43169.76467592592</v>
      </c>
      <c r="C2530" t="n">
        <v>0</v>
      </c>
      <c r="D2530" t="n">
        <v>8</v>
      </c>
      <c r="E2530" t="s">
        <v>2532</v>
      </c>
      <c r="F2530" t="s"/>
      <c r="G2530" t="s"/>
      <c r="H2530" t="s"/>
      <c r="I2530" t="s"/>
      <c r="J2530" t="n">
        <v>0.1779</v>
      </c>
      <c r="K2530" t="n">
        <v>0.08799999999999999</v>
      </c>
      <c r="L2530" t="n">
        <v>0.793</v>
      </c>
      <c r="M2530" t="n">
        <v>0.119</v>
      </c>
    </row>
    <row r="2531" spans="1:13">
      <c r="A2531" s="1">
        <f>HYPERLINK("http://www.twitter.com/NathanBLawrence/status/972537769980497920", "972537769980497920")</f>
        <v/>
      </c>
      <c r="B2531" s="2" t="n">
        <v>43169.76443287037</v>
      </c>
      <c r="C2531" t="n">
        <v>0</v>
      </c>
      <c r="D2531" t="n">
        <v>0</v>
      </c>
      <c r="E2531" t="s">
        <v>2533</v>
      </c>
      <c r="F2531" t="s"/>
      <c r="G2531" t="s"/>
      <c r="H2531" t="s"/>
      <c r="I2531" t="s"/>
      <c r="J2531" t="n">
        <v>0</v>
      </c>
      <c r="K2531" t="n">
        <v>0</v>
      </c>
      <c r="L2531" t="n">
        <v>1</v>
      </c>
      <c r="M2531" t="n">
        <v>0</v>
      </c>
    </row>
    <row r="2532" spans="1:13">
      <c r="A2532" s="1">
        <f>HYPERLINK("http://www.twitter.com/NathanBLawrence/status/972537741933195264", "972537741933195264")</f>
        <v/>
      </c>
      <c r="B2532" s="2" t="n">
        <v>43169.76436342593</v>
      </c>
      <c r="C2532" t="n">
        <v>0</v>
      </c>
      <c r="D2532" t="n">
        <v>4</v>
      </c>
      <c r="E2532" t="s">
        <v>2534</v>
      </c>
      <c r="F2532" t="s"/>
      <c r="G2532" t="s"/>
      <c r="H2532" t="s"/>
      <c r="I2532" t="s"/>
      <c r="J2532" t="n">
        <v>-0.4084</v>
      </c>
      <c r="K2532" t="n">
        <v>0.255</v>
      </c>
      <c r="L2532" t="n">
        <v>0.745</v>
      </c>
      <c r="M2532" t="n">
        <v>0</v>
      </c>
    </row>
    <row r="2533" spans="1:13">
      <c r="A2533" s="1">
        <f>HYPERLINK("http://www.twitter.com/NathanBLawrence/status/972537652196069378", "972537652196069378")</f>
        <v/>
      </c>
      <c r="B2533" s="2" t="n">
        <v>43169.7641087963</v>
      </c>
      <c r="C2533" t="n">
        <v>0</v>
      </c>
      <c r="D2533" t="n">
        <v>11</v>
      </c>
      <c r="E2533" t="s">
        <v>2535</v>
      </c>
      <c r="F2533" t="s"/>
      <c r="G2533" t="s"/>
      <c r="H2533" t="s"/>
      <c r="I2533" t="s"/>
      <c r="J2533" t="n">
        <v>-0.8016</v>
      </c>
      <c r="K2533" t="n">
        <v>0.325</v>
      </c>
      <c r="L2533" t="n">
        <v>0.675</v>
      </c>
      <c r="M2533" t="n">
        <v>0</v>
      </c>
    </row>
    <row r="2534" spans="1:13">
      <c r="A2534" s="1">
        <f>HYPERLINK("http://www.twitter.com/NathanBLawrence/status/972537606306222080", "972537606306222080")</f>
        <v/>
      </c>
      <c r="B2534" s="2" t="n">
        <v>43169.76398148148</v>
      </c>
      <c r="C2534" t="n">
        <v>0</v>
      </c>
      <c r="D2534" t="n">
        <v>7</v>
      </c>
      <c r="E2534" t="s">
        <v>2536</v>
      </c>
      <c r="F2534" t="s"/>
      <c r="G2534" t="s"/>
      <c r="H2534" t="s"/>
      <c r="I2534" t="s"/>
      <c r="J2534" t="n">
        <v>0.5266999999999999</v>
      </c>
      <c r="K2534" t="n">
        <v>0</v>
      </c>
      <c r="L2534" t="n">
        <v>0.861</v>
      </c>
      <c r="M2534" t="n">
        <v>0.139</v>
      </c>
    </row>
    <row r="2535" spans="1:13">
      <c r="A2535" s="1">
        <f>HYPERLINK("http://www.twitter.com/NathanBLawrence/status/972537437418385408", "972537437418385408")</f>
        <v/>
      </c>
      <c r="B2535" s="2" t="n">
        <v>43169.76351851852</v>
      </c>
      <c r="C2535" t="n">
        <v>2</v>
      </c>
      <c r="D2535" t="n">
        <v>0</v>
      </c>
      <c r="E2535" t="s">
        <v>2537</v>
      </c>
      <c r="F2535" t="s"/>
      <c r="G2535" t="s"/>
      <c r="H2535" t="s"/>
      <c r="I2535" t="s"/>
      <c r="J2535" t="n">
        <v>0</v>
      </c>
      <c r="K2535" t="n">
        <v>0</v>
      </c>
      <c r="L2535" t="n">
        <v>1</v>
      </c>
      <c r="M2535" t="n">
        <v>0</v>
      </c>
    </row>
    <row r="2536" spans="1:13">
      <c r="A2536" s="1">
        <f>HYPERLINK("http://www.twitter.com/NathanBLawrence/status/972536967861800960", "972536967861800960")</f>
        <v/>
      </c>
      <c r="B2536" s="2" t="n">
        <v>43169.76222222222</v>
      </c>
      <c r="C2536" t="n">
        <v>0</v>
      </c>
      <c r="D2536" t="n">
        <v>7</v>
      </c>
      <c r="E2536" t="s">
        <v>2538</v>
      </c>
      <c r="F2536">
        <f>HYPERLINK("http://pbs.twimg.com/media/DX4tZOEVMAAvHRZ.jpg", "http://pbs.twimg.com/media/DX4tZOEVMAAvHRZ.jpg")</f>
        <v/>
      </c>
      <c r="G2536">
        <f>HYPERLINK("http://pbs.twimg.com/media/DX4tZb2VoAAgsxl.jpg", "http://pbs.twimg.com/media/DX4tZb2VoAAgsxl.jpg")</f>
        <v/>
      </c>
      <c r="H2536">
        <f>HYPERLINK("http://pbs.twimg.com/media/DX4tZ2lVMAUtlBh.jpg", "http://pbs.twimg.com/media/DX4tZ2lVMAUtlBh.jpg")</f>
        <v/>
      </c>
      <c r="I2536" t="s"/>
      <c r="J2536" t="n">
        <v>0</v>
      </c>
      <c r="K2536" t="n">
        <v>0</v>
      </c>
      <c r="L2536" t="n">
        <v>1</v>
      </c>
      <c r="M2536" t="n">
        <v>0</v>
      </c>
    </row>
    <row r="2537" spans="1:13">
      <c r="A2537" s="1">
        <f>HYPERLINK("http://www.twitter.com/NathanBLawrence/status/972536822764048384", "972536822764048384")</f>
        <v/>
      </c>
      <c r="B2537" s="2" t="n">
        <v>43169.7618287037</v>
      </c>
      <c r="C2537" t="n">
        <v>0</v>
      </c>
      <c r="D2537" t="n">
        <v>6</v>
      </c>
      <c r="E2537" t="s">
        <v>2539</v>
      </c>
      <c r="F2537" t="s"/>
      <c r="G2537" t="s"/>
      <c r="H2537" t="s"/>
      <c r="I2537" t="s"/>
      <c r="J2537" t="n">
        <v>0.5423</v>
      </c>
      <c r="K2537" t="n">
        <v>0.106</v>
      </c>
      <c r="L2537" t="n">
        <v>0.638</v>
      </c>
      <c r="M2537" t="n">
        <v>0.255</v>
      </c>
    </row>
    <row r="2538" spans="1:13">
      <c r="A2538" s="1">
        <f>HYPERLINK("http://www.twitter.com/NathanBLawrence/status/972536712776835072", "972536712776835072")</f>
        <v/>
      </c>
      <c r="B2538" s="2" t="n">
        <v>43169.7615162037</v>
      </c>
      <c r="C2538" t="n">
        <v>0</v>
      </c>
      <c r="D2538" t="n">
        <v>7</v>
      </c>
      <c r="E2538" t="s">
        <v>2540</v>
      </c>
      <c r="F2538" t="s"/>
      <c r="G2538" t="s"/>
      <c r="H2538" t="s"/>
      <c r="I2538" t="s"/>
      <c r="J2538" t="n">
        <v>0</v>
      </c>
      <c r="K2538" t="n">
        <v>0</v>
      </c>
      <c r="L2538" t="n">
        <v>1</v>
      </c>
      <c r="M2538" t="n">
        <v>0</v>
      </c>
    </row>
    <row r="2539" spans="1:13">
      <c r="A2539" s="1">
        <f>HYPERLINK("http://www.twitter.com/NathanBLawrence/status/972536671261642753", "972536671261642753")</f>
        <v/>
      </c>
      <c r="B2539" s="2" t="n">
        <v>43169.76140046296</v>
      </c>
      <c r="C2539" t="n">
        <v>0</v>
      </c>
      <c r="D2539" t="n">
        <v>20</v>
      </c>
      <c r="E2539" t="s">
        <v>2541</v>
      </c>
      <c r="F2539" t="s"/>
      <c r="G2539" t="s"/>
      <c r="H2539" t="s"/>
      <c r="I2539" t="s"/>
      <c r="J2539" t="n">
        <v>-0.3818</v>
      </c>
      <c r="K2539" t="n">
        <v>0.13</v>
      </c>
      <c r="L2539" t="n">
        <v>0.8169999999999999</v>
      </c>
      <c r="M2539" t="n">
        <v>0.053</v>
      </c>
    </row>
    <row r="2540" spans="1:13">
      <c r="A2540" s="1">
        <f>HYPERLINK("http://www.twitter.com/NathanBLawrence/status/972536600201711616", "972536600201711616")</f>
        <v/>
      </c>
      <c r="B2540" s="2" t="n">
        <v>43169.76121527778</v>
      </c>
      <c r="C2540" t="n">
        <v>0</v>
      </c>
      <c r="D2540" t="n">
        <v>14</v>
      </c>
      <c r="E2540" t="s">
        <v>2542</v>
      </c>
      <c r="F2540" t="s"/>
      <c r="G2540" t="s"/>
      <c r="H2540" t="s"/>
      <c r="I2540" t="s"/>
      <c r="J2540" t="n">
        <v>0</v>
      </c>
      <c r="K2540" t="n">
        <v>0</v>
      </c>
      <c r="L2540" t="n">
        <v>1</v>
      </c>
      <c r="M2540" t="n">
        <v>0</v>
      </c>
    </row>
    <row r="2541" spans="1:13">
      <c r="A2541" s="1">
        <f>HYPERLINK("http://www.twitter.com/NathanBLawrence/status/972536448946753537", "972536448946753537")</f>
        <v/>
      </c>
      <c r="B2541" s="2" t="n">
        <v>43169.76078703703</v>
      </c>
      <c r="C2541" t="n">
        <v>0</v>
      </c>
      <c r="D2541" t="n">
        <v>1590</v>
      </c>
      <c r="E2541" t="s">
        <v>2543</v>
      </c>
      <c r="F2541" t="s"/>
      <c r="G2541" t="s"/>
      <c r="H2541" t="s"/>
      <c r="I2541" t="s"/>
      <c r="J2541" t="n">
        <v>0.3664</v>
      </c>
      <c r="K2541" t="n">
        <v>0.162</v>
      </c>
      <c r="L2541" t="n">
        <v>0.617</v>
      </c>
      <c r="M2541" t="n">
        <v>0.221</v>
      </c>
    </row>
    <row r="2542" spans="1:13">
      <c r="A2542" s="1">
        <f>HYPERLINK("http://www.twitter.com/NathanBLawrence/status/972503522406293504", "972503522406293504")</f>
        <v/>
      </c>
      <c r="B2542" s="2" t="n">
        <v>43169.66993055555</v>
      </c>
      <c r="C2542" t="n">
        <v>0</v>
      </c>
      <c r="D2542" t="n">
        <v>95</v>
      </c>
      <c r="E2542" t="s">
        <v>2544</v>
      </c>
      <c r="F2542" t="s"/>
      <c r="G2542" t="s"/>
      <c r="H2542" t="s"/>
      <c r="I2542" t="s"/>
      <c r="J2542" t="n">
        <v>0</v>
      </c>
      <c r="K2542" t="n">
        <v>0</v>
      </c>
      <c r="L2542" t="n">
        <v>1</v>
      </c>
      <c r="M2542" t="n">
        <v>0</v>
      </c>
    </row>
    <row r="2543" spans="1:13">
      <c r="A2543" s="1">
        <f>HYPERLINK("http://www.twitter.com/NathanBLawrence/status/972503386158399488", "972503386158399488")</f>
        <v/>
      </c>
      <c r="B2543" s="2" t="n">
        <v>43169.66956018518</v>
      </c>
      <c r="C2543" t="n">
        <v>0</v>
      </c>
      <c r="D2543" t="n">
        <v>1010</v>
      </c>
      <c r="E2543" t="s">
        <v>2545</v>
      </c>
      <c r="F2543" t="s"/>
      <c r="G2543" t="s"/>
      <c r="H2543" t="s"/>
      <c r="I2543" t="s"/>
      <c r="J2543" t="n">
        <v>-0.7717000000000001</v>
      </c>
      <c r="K2543" t="n">
        <v>0.288</v>
      </c>
      <c r="L2543" t="n">
        <v>0.712</v>
      </c>
      <c r="M2543" t="n">
        <v>0</v>
      </c>
    </row>
    <row r="2544" spans="1:13">
      <c r="A2544" s="1">
        <f>HYPERLINK("http://www.twitter.com/NathanBLawrence/status/972495175250513920", "972495175250513920")</f>
        <v/>
      </c>
      <c r="B2544" s="2" t="n">
        <v>43169.64689814814</v>
      </c>
      <c r="C2544" t="n">
        <v>0</v>
      </c>
      <c r="D2544" t="n">
        <v>1</v>
      </c>
      <c r="E2544" t="s">
        <v>2546</v>
      </c>
      <c r="F2544" t="s"/>
      <c r="G2544" t="s"/>
      <c r="H2544" t="s"/>
      <c r="I2544" t="s"/>
      <c r="J2544" t="n">
        <v>0</v>
      </c>
      <c r="K2544" t="n">
        <v>0</v>
      </c>
      <c r="L2544" t="n">
        <v>1</v>
      </c>
      <c r="M2544" t="n">
        <v>0</v>
      </c>
    </row>
    <row r="2545" spans="1:13">
      <c r="A2545" s="1">
        <f>HYPERLINK("http://www.twitter.com/NathanBLawrence/status/972495027711692806", "972495027711692806")</f>
        <v/>
      </c>
      <c r="B2545" s="2" t="n">
        <v>43169.64649305555</v>
      </c>
      <c r="C2545" t="n">
        <v>0</v>
      </c>
      <c r="D2545" t="n">
        <v>0</v>
      </c>
      <c r="E2545" t="s">
        <v>2547</v>
      </c>
      <c r="F2545" t="s"/>
      <c r="G2545" t="s"/>
      <c r="H2545" t="s"/>
      <c r="I2545" t="s"/>
      <c r="J2545" t="n">
        <v>-0.4215</v>
      </c>
      <c r="K2545" t="n">
        <v>0.176</v>
      </c>
      <c r="L2545" t="n">
        <v>0.6899999999999999</v>
      </c>
      <c r="M2545" t="n">
        <v>0.133</v>
      </c>
    </row>
    <row r="2546" spans="1:13">
      <c r="A2546" s="1">
        <f>HYPERLINK("http://www.twitter.com/NathanBLawrence/status/972493980083605504", "972493980083605504")</f>
        <v/>
      </c>
      <c r="B2546" s="2" t="n">
        <v>43169.64359953703</v>
      </c>
      <c r="C2546" t="n">
        <v>0</v>
      </c>
      <c r="D2546" t="n">
        <v>0</v>
      </c>
      <c r="E2546" t="s">
        <v>2548</v>
      </c>
      <c r="F2546" t="s"/>
      <c r="G2546" t="s"/>
      <c r="H2546" t="s"/>
      <c r="I2546" t="s"/>
      <c r="J2546" t="n">
        <v>0.7269</v>
      </c>
      <c r="K2546" t="n">
        <v>0</v>
      </c>
      <c r="L2546" t="n">
        <v>0.33</v>
      </c>
      <c r="M2546" t="n">
        <v>0.67</v>
      </c>
    </row>
    <row r="2547" spans="1:13">
      <c r="A2547" s="1">
        <f>HYPERLINK("http://www.twitter.com/NathanBLawrence/status/972493918578331648", "972493918578331648")</f>
        <v/>
      </c>
      <c r="B2547" s="2" t="n">
        <v>43169.64342592593</v>
      </c>
      <c r="C2547" t="n">
        <v>0</v>
      </c>
      <c r="D2547" t="n">
        <v>1</v>
      </c>
      <c r="E2547" t="s">
        <v>2549</v>
      </c>
      <c r="F2547" t="s"/>
      <c r="G2547" t="s"/>
      <c r="H2547" t="s"/>
      <c r="I2547" t="s"/>
      <c r="J2547" t="n">
        <v>-0.3612</v>
      </c>
      <c r="K2547" t="n">
        <v>0.128</v>
      </c>
      <c r="L2547" t="n">
        <v>0.872</v>
      </c>
      <c r="M2547" t="n">
        <v>0</v>
      </c>
    </row>
    <row r="2548" spans="1:13">
      <c r="A2548" s="1">
        <f>HYPERLINK("http://www.twitter.com/NathanBLawrence/status/972493383636783105", "972493383636783105")</f>
        <v/>
      </c>
      <c r="B2548" s="2" t="n">
        <v>43169.64195601852</v>
      </c>
      <c r="C2548" t="n">
        <v>0</v>
      </c>
      <c r="D2548" t="n">
        <v>1</v>
      </c>
      <c r="E2548" t="s">
        <v>2550</v>
      </c>
      <c r="F2548" t="s"/>
      <c r="G2548" t="s"/>
      <c r="H2548" t="s"/>
      <c r="I2548" t="s"/>
      <c r="J2548" t="n">
        <v>-0.5255</v>
      </c>
      <c r="K2548" t="n">
        <v>0.207</v>
      </c>
      <c r="L2548" t="n">
        <v>0.793</v>
      </c>
      <c r="M2548" t="n">
        <v>0</v>
      </c>
    </row>
    <row r="2549" spans="1:13">
      <c r="A2549" s="1">
        <f>HYPERLINK("http://www.twitter.com/NathanBLawrence/status/972493321774993408", "972493321774993408")</f>
        <v/>
      </c>
      <c r="B2549" s="2" t="n">
        <v>43169.64178240741</v>
      </c>
      <c r="C2549" t="n">
        <v>0</v>
      </c>
      <c r="D2549" t="n">
        <v>3</v>
      </c>
      <c r="E2549" t="s">
        <v>2551</v>
      </c>
      <c r="F2549" t="s"/>
      <c r="G2549" t="s"/>
      <c r="H2549" t="s"/>
      <c r="I2549" t="s"/>
      <c r="J2549" t="n">
        <v>0.4019</v>
      </c>
      <c r="K2549" t="n">
        <v>0</v>
      </c>
      <c r="L2549" t="n">
        <v>0.881</v>
      </c>
      <c r="M2549" t="n">
        <v>0.119</v>
      </c>
    </row>
    <row r="2550" spans="1:13">
      <c r="A2550" s="1">
        <f>HYPERLINK("http://www.twitter.com/NathanBLawrence/status/972493161628078081", "972493161628078081")</f>
        <v/>
      </c>
      <c r="B2550" s="2" t="n">
        <v>43169.64134259259</v>
      </c>
      <c r="C2550" t="n">
        <v>0</v>
      </c>
      <c r="D2550" t="n">
        <v>1</v>
      </c>
      <c r="E2550" t="s">
        <v>2552</v>
      </c>
      <c r="F2550" t="s"/>
      <c r="G2550" t="s"/>
      <c r="H2550" t="s"/>
      <c r="I2550" t="s"/>
      <c r="J2550" t="n">
        <v>0</v>
      </c>
      <c r="K2550" t="n">
        <v>0</v>
      </c>
      <c r="L2550" t="n">
        <v>1</v>
      </c>
      <c r="M2550" t="n">
        <v>0</v>
      </c>
    </row>
    <row r="2551" spans="1:13">
      <c r="A2551" s="1">
        <f>HYPERLINK("http://www.twitter.com/NathanBLawrence/status/972492014548905984", "972492014548905984")</f>
        <v/>
      </c>
      <c r="B2551" s="2" t="n">
        <v>43169.6381712963</v>
      </c>
      <c r="C2551" t="n">
        <v>0</v>
      </c>
      <c r="D2551" t="n">
        <v>1</v>
      </c>
      <c r="E2551" t="s">
        <v>2553</v>
      </c>
      <c r="F2551" t="s"/>
      <c r="G2551" t="s"/>
      <c r="H2551" t="s"/>
      <c r="I2551" t="s"/>
      <c r="J2551" t="n">
        <v>-0.3818</v>
      </c>
      <c r="K2551" t="n">
        <v>0.165</v>
      </c>
      <c r="L2551" t="n">
        <v>0.739</v>
      </c>
      <c r="M2551" t="n">
        <v>0.096</v>
      </c>
    </row>
    <row r="2552" spans="1:13">
      <c r="A2552" s="1">
        <f>HYPERLINK("http://www.twitter.com/NathanBLawrence/status/972491979610259456", "972491979610259456")</f>
        <v/>
      </c>
      <c r="B2552" s="2" t="n">
        <v>43169.63807870371</v>
      </c>
      <c r="C2552" t="n">
        <v>0</v>
      </c>
      <c r="D2552" t="n">
        <v>1</v>
      </c>
      <c r="E2552" t="s">
        <v>2554</v>
      </c>
      <c r="F2552" t="s"/>
      <c r="G2552" t="s"/>
      <c r="H2552" t="s"/>
      <c r="I2552" t="s"/>
      <c r="J2552" t="n">
        <v>0.4836</v>
      </c>
      <c r="K2552" t="n">
        <v>0.054</v>
      </c>
      <c r="L2552" t="n">
        <v>0.8100000000000001</v>
      </c>
      <c r="M2552" t="n">
        <v>0.136</v>
      </c>
    </row>
    <row r="2553" spans="1:13">
      <c r="A2553" s="1">
        <f>HYPERLINK("http://www.twitter.com/NathanBLawrence/status/972491907279605762", "972491907279605762")</f>
        <v/>
      </c>
      <c r="B2553" s="2" t="n">
        <v>43169.63788194444</v>
      </c>
      <c r="C2553" t="n">
        <v>0</v>
      </c>
      <c r="D2553" t="n">
        <v>1</v>
      </c>
      <c r="E2553" t="s">
        <v>2555</v>
      </c>
      <c r="F2553" t="s"/>
      <c r="G2553" t="s"/>
      <c r="H2553" t="s"/>
      <c r="I2553" t="s"/>
      <c r="J2553" t="n">
        <v>0.6124000000000001</v>
      </c>
      <c r="K2553" t="n">
        <v>0</v>
      </c>
      <c r="L2553" t="n">
        <v>0.8</v>
      </c>
      <c r="M2553" t="n">
        <v>0.2</v>
      </c>
    </row>
    <row r="2554" spans="1:13">
      <c r="A2554" s="1">
        <f>HYPERLINK("http://www.twitter.com/NathanBLawrence/status/972491861834240001", "972491861834240001")</f>
        <v/>
      </c>
      <c r="B2554" s="2" t="n">
        <v>43169.63775462963</v>
      </c>
      <c r="C2554" t="n">
        <v>0</v>
      </c>
      <c r="D2554" t="n">
        <v>1</v>
      </c>
      <c r="E2554" t="s">
        <v>2556</v>
      </c>
      <c r="F2554" t="s"/>
      <c r="G2554" t="s"/>
      <c r="H2554" t="s"/>
      <c r="I2554" t="s"/>
      <c r="J2554" t="n">
        <v>0.3182</v>
      </c>
      <c r="K2554" t="n">
        <v>0</v>
      </c>
      <c r="L2554" t="n">
        <v>0.887</v>
      </c>
      <c r="M2554" t="n">
        <v>0.113</v>
      </c>
    </row>
    <row r="2555" spans="1:13">
      <c r="A2555" s="1">
        <f>HYPERLINK("http://www.twitter.com/NathanBLawrence/status/972491784587743233", "972491784587743233")</f>
        <v/>
      </c>
      <c r="B2555" s="2" t="n">
        <v>43169.6375462963</v>
      </c>
      <c r="C2555" t="n">
        <v>0</v>
      </c>
      <c r="D2555" t="n">
        <v>1</v>
      </c>
      <c r="E2555" t="s">
        <v>2557</v>
      </c>
      <c r="F2555" t="s"/>
      <c r="G2555" t="s"/>
      <c r="H2555" t="s"/>
      <c r="I2555" t="s"/>
      <c r="J2555" t="n">
        <v>-0.1027</v>
      </c>
      <c r="K2555" t="n">
        <v>0.07199999999999999</v>
      </c>
      <c r="L2555" t="n">
        <v>0.928</v>
      </c>
      <c r="M2555" t="n">
        <v>0</v>
      </c>
    </row>
    <row r="2556" spans="1:13">
      <c r="A2556" s="1">
        <f>HYPERLINK("http://www.twitter.com/NathanBLawrence/status/972491646263873537", "972491646263873537")</f>
        <v/>
      </c>
      <c r="B2556" s="2" t="n">
        <v>43169.63716435185</v>
      </c>
      <c r="C2556" t="n">
        <v>0</v>
      </c>
      <c r="D2556" t="n">
        <v>1</v>
      </c>
      <c r="E2556" t="s">
        <v>2558</v>
      </c>
      <c r="F2556">
        <f>HYPERLINK("http://pbs.twimg.com/media/DXFgZJEXkAIpiXH.jpg", "http://pbs.twimg.com/media/DXFgZJEXkAIpiXH.jpg")</f>
        <v/>
      </c>
      <c r="G2556">
        <f>HYPERLINK("http://pbs.twimg.com/media/DXFgZJIWkAEdTR_.jpg", "http://pbs.twimg.com/media/DXFgZJIWkAEdTR_.jpg")</f>
        <v/>
      </c>
      <c r="H2556">
        <f>HYPERLINK("http://pbs.twimg.com/media/DXFgZJHWAAELGmD.jpg", "http://pbs.twimg.com/media/DXFgZJHWAAELGmD.jpg")</f>
        <v/>
      </c>
      <c r="I2556" t="s"/>
      <c r="J2556" t="n">
        <v>0.7351</v>
      </c>
      <c r="K2556" t="n">
        <v>0</v>
      </c>
      <c r="L2556" t="n">
        <v>0.754</v>
      </c>
      <c r="M2556" t="n">
        <v>0.246</v>
      </c>
    </row>
    <row r="2557" spans="1:13">
      <c r="A2557" s="1">
        <f>HYPERLINK("http://www.twitter.com/NathanBLawrence/status/972491466151989249", "972491466151989249")</f>
        <v/>
      </c>
      <c r="B2557" s="2" t="n">
        <v>43169.63666666667</v>
      </c>
      <c r="C2557" t="n">
        <v>0</v>
      </c>
      <c r="D2557" t="n">
        <v>2</v>
      </c>
      <c r="E2557" t="s">
        <v>2559</v>
      </c>
      <c r="F2557" t="s"/>
      <c r="G2557" t="s"/>
      <c r="H2557" t="s"/>
      <c r="I2557" t="s"/>
      <c r="J2557" t="n">
        <v>-0.4404</v>
      </c>
      <c r="K2557" t="n">
        <v>0.225</v>
      </c>
      <c r="L2557" t="n">
        <v>0.775</v>
      </c>
      <c r="M2557" t="n">
        <v>0</v>
      </c>
    </row>
    <row r="2558" spans="1:13">
      <c r="A2558" s="1">
        <f>HYPERLINK("http://www.twitter.com/NathanBLawrence/status/972491351605567489", "972491351605567489")</f>
        <v/>
      </c>
      <c r="B2558" s="2" t="n">
        <v>43169.6363425926</v>
      </c>
      <c r="C2558" t="n">
        <v>0</v>
      </c>
      <c r="D2558" t="n">
        <v>3</v>
      </c>
      <c r="E2558" t="s">
        <v>2560</v>
      </c>
      <c r="F2558" t="s"/>
      <c r="G2558" t="s"/>
      <c r="H2558" t="s"/>
      <c r="I2558" t="s"/>
      <c r="J2558" t="n">
        <v>-0.1943</v>
      </c>
      <c r="K2558" t="n">
        <v>0.165</v>
      </c>
      <c r="L2558" t="n">
        <v>0.706</v>
      </c>
      <c r="M2558" t="n">
        <v>0.129</v>
      </c>
    </row>
    <row r="2559" spans="1:13">
      <c r="A2559" s="1">
        <f>HYPERLINK("http://www.twitter.com/NathanBLawrence/status/972490403579645952", "972490403579645952")</f>
        <v/>
      </c>
      <c r="B2559" s="2" t="n">
        <v>43169.63372685185</v>
      </c>
      <c r="C2559" t="n">
        <v>0</v>
      </c>
      <c r="D2559" t="n">
        <v>3</v>
      </c>
      <c r="E2559" t="s">
        <v>2561</v>
      </c>
      <c r="F2559" t="s"/>
      <c r="G2559" t="s"/>
      <c r="H2559" t="s"/>
      <c r="I2559" t="s"/>
      <c r="J2559" t="n">
        <v>0</v>
      </c>
      <c r="K2559" t="n">
        <v>0</v>
      </c>
      <c r="L2559" t="n">
        <v>1</v>
      </c>
      <c r="M2559" t="n">
        <v>0</v>
      </c>
    </row>
    <row r="2560" spans="1:13">
      <c r="A2560" s="1">
        <f>HYPERLINK("http://www.twitter.com/NathanBLawrence/status/972490307110612993", "972490307110612993")</f>
        <v/>
      </c>
      <c r="B2560" s="2" t="n">
        <v>43169.63346064815</v>
      </c>
      <c r="C2560" t="n">
        <v>0</v>
      </c>
      <c r="D2560" t="n">
        <v>3</v>
      </c>
      <c r="E2560" t="s">
        <v>2562</v>
      </c>
      <c r="F2560" t="s"/>
      <c r="G2560" t="s"/>
      <c r="H2560" t="s"/>
      <c r="I2560" t="s"/>
      <c r="J2560" t="n">
        <v>-0.25</v>
      </c>
      <c r="K2560" t="n">
        <v>0.14</v>
      </c>
      <c r="L2560" t="n">
        <v>0.763</v>
      </c>
      <c r="M2560" t="n">
        <v>0.097</v>
      </c>
    </row>
    <row r="2561" spans="1:13">
      <c r="A2561" s="1">
        <f>HYPERLINK("http://www.twitter.com/NathanBLawrence/status/972489808886067200", "972489808886067200")</f>
        <v/>
      </c>
      <c r="B2561" s="2" t="n">
        <v>43169.63209490741</v>
      </c>
      <c r="C2561" t="n">
        <v>0</v>
      </c>
      <c r="D2561" t="n">
        <v>0</v>
      </c>
      <c r="E2561" t="s">
        <v>2563</v>
      </c>
      <c r="F2561" t="s"/>
      <c r="G2561" t="s"/>
      <c r="H2561" t="s"/>
      <c r="I2561" t="s"/>
      <c r="J2561" t="n">
        <v>-0.7964</v>
      </c>
      <c r="K2561" t="n">
        <v>0.294</v>
      </c>
      <c r="L2561" t="n">
        <v>0.582</v>
      </c>
      <c r="M2561" t="n">
        <v>0.125</v>
      </c>
    </row>
    <row r="2562" spans="1:13">
      <c r="A2562" s="1">
        <f>HYPERLINK("http://www.twitter.com/NathanBLawrence/status/972488446215380993", "972488446215380993")</f>
        <v/>
      </c>
      <c r="B2562" s="2" t="n">
        <v>43169.62833333333</v>
      </c>
      <c r="C2562" t="n">
        <v>0</v>
      </c>
      <c r="D2562" t="n">
        <v>0</v>
      </c>
      <c r="E2562" t="s">
        <v>2564</v>
      </c>
      <c r="F2562" t="s"/>
      <c r="G2562" t="s"/>
      <c r="H2562" t="s"/>
      <c r="I2562" t="s"/>
      <c r="J2562" t="n">
        <v>0</v>
      </c>
      <c r="K2562" t="n">
        <v>0</v>
      </c>
      <c r="L2562" t="n">
        <v>1</v>
      </c>
      <c r="M2562" t="n">
        <v>0</v>
      </c>
    </row>
    <row r="2563" spans="1:13">
      <c r="A2563" s="1">
        <f>HYPERLINK("http://www.twitter.com/NathanBLawrence/status/972483428942860290", "972483428942860290")</f>
        <v/>
      </c>
      <c r="B2563" s="2" t="n">
        <v>43169.61447916667</v>
      </c>
      <c r="C2563" t="n">
        <v>1</v>
      </c>
      <c r="D2563" t="n">
        <v>0</v>
      </c>
      <c r="E2563" t="s">
        <v>2565</v>
      </c>
      <c r="F2563" t="s"/>
      <c r="G2563" t="s"/>
      <c r="H2563" t="s"/>
      <c r="I2563" t="s"/>
      <c r="J2563" t="n">
        <v>0.1027</v>
      </c>
      <c r="K2563" t="n">
        <v>0.128</v>
      </c>
      <c r="L2563" t="n">
        <v>0.726</v>
      </c>
      <c r="M2563" t="n">
        <v>0.145</v>
      </c>
    </row>
    <row r="2564" spans="1:13">
      <c r="A2564" s="1">
        <f>HYPERLINK("http://www.twitter.com/NathanBLawrence/status/972483001488683008", "972483001488683008")</f>
        <v/>
      </c>
      <c r="B2564" s="2" t="n">
        <v>43169.61331018519</v>
      </c>
      <c r="C2564" t="n">
        <v>0</v>
      </c>
      <c r="D2564" t="n">
        <v>10</v>
      </c>
      <c r="E2564" t="s">
        <v>2566</v>
      </c>
      <c r="F2564">
        <f>HYPERLINK("http://pbs.twimg.com/media/DX4K-h5VwAAMqMq.jpg", "http://pbs.twimg.com/media/DX4K-h5VwAAMqMq.jpg")</f>
        <v/>
      </c>
      <c r="G2564" t="s"/>
      <c r="H2564" t="s"/>
      <c r="I2564" t="s"/>
      <c r="J2564" t="n">
        <v>0</v>
      </c>
      <c r="K2564" t="n">
        <v>0</v>
      </c>
      <c r="L2564" t="n">
        <v>1</v>
      </c>
      <c r="M2564" t="n">
        <v>0</v>
      </c>
    </row>
    <row r="2565" spans="1:13">
      <c r="A2565" s="1">
        <f>HYPERLINK("http://www.twitter.com/NathanBLawrence/status/972482232953786368", "972482232953786368")</f>
        <v/>
      </c>
      <c r="B2565" s="2" t="n">
        <v>43169.61118055556</v>
      </c>
      <c r="C2565" t="n">
        <v>0</v>
      </c>
      <c r="D2565" t="n">
        <v>8</v>
      </c>
      <c r="E2565" t="s">
        <v>2567</v>
      </c>
      <c r="F2565">
        <f>HYPERLINK("http://pbs.twimg.com/media/DXn02rUU0AAuI1h.jpg", "http://pbs.twimg.com/media/DXn02rUU0AAuI1h.jpg")</f>
        <v/>
      </c>
      <c r="G2565">
        <f>HYPERLINK("http://pbs.twimg.com/media/DXn03B7VoAAzp-K.jpg", "http://pbs.twimg.com/media/DXn03B7VoAAzp-K.jpg")</f>
        <v/>
      </c>
      <c r="H2565" t="s"/>
      <c r="I2565" t="s"/>
      <c r="J2565" t="n">
        <v>-0.3612</v>
      </c>
      <c r="K2565" t="n">
        <v>0.102</v>
      </c>
      <c r="L2565" t="n">
        <v>0.898</v>
      </c>
      <c r="M2565" t="n">
        <v>0</v>
      </c>
    </row>
    <row r="2566" spans="1:13">
      <c r="A2566" s="1">
        <f>HYPERLINK("http://www.twitter.com/NathanBLawrence/status/972481963419406336", "972481963419406336")</f>
        <v/>
      </c>
      <c r="B2566" s="2" t="n">
        <v>43169.61043981482</v>
      </c>
      <c r="C2566" t="n">
        <v>1</v>
      </c>
      <c r="D2566" t="n">
        <v>1</v>
      </c>
      <c r="E2566" t="s">
        <v>2568</v>
      </c>
      <c r="F2566" t="s"/>
      <c r="G2566" t="s"/>
      <c r="H2566" t="s"/>
      <c r="I2566" t="s"/>
      <c r="J2566" t="n">
        <v>0.8122</v>
      </c>
      <c r="K2566" t="n">
        <v>0</v>
      </c>
      <c r="L2566" t="n">
        <v>0.549</v>
      </c>
      <c r="M2566" t="n">
        <v>0.451</v>
      </c>
    </row>
    <row r="2567" spans="1:13">
      <c r="A2567" s="1">
        <f>HYPERLINK("http://www.twitter.com/NathanBLawrence/status/972481270017069056", "972481270017069056")</f>
        <v/>
      </c>
      <c r="B2567" s="2" t="n">
        <v>43169.60853009259</v>
      </c>
      <c r="C2567" t="n">
        <v>0</v>
      </c>
      <c r="D2567" t="n">
        <v>0</v>
      </c>
      <c r="E2567" t="s">
        <v>2569</v>
      </c>
      <c r="F2567" t="s"/>
      <c r="G2567" t="s"/>
      <c r="H2567" t="s"/>
      <c r="I2567" t="s"/>
      <c r="J2567" t="n">
        <v>-0.296</v>
      </c>
      <c r="K2567" t="n">
        <v>0.167</v>
      </c>
      <c r="L2567" t="n">
        <v>0.833</v>
      </c>
      <c r="M2567" t="n">
        <v>0</v>
      </c>
    </row>
    <row r="2568" spans="1:13">
      <c r="A2568" s="1">
        <f>HYPERLINK("http://www.twitter.com/NathanBLawrence/status/972480944035827712", "972480944035827712")</f>
        <v/>
      </c>
      <c r="B2568" s="2" t="n">
        <v>43169.60762731481</v>
      </c>
      <c r="C2568" t="n">
        <v>0</v>
      </c>
      <c r="D2568" t="n">
        <v>0</v>
      </c>
      <c r="E2568" t="s">
        <v>2570</v>
      </c>
      <c r="F2568" t="s"/>
      <c r="G2568" t="s"/>
      <c r="H2568" t="s"/>
      <c r="I2568" t="s"/>
      <c r="J2568" t="n">
        <v>-0.2732</v>
      </c>
      <c r="K2568" t="n">
        <v>0.07000000000000001</v>
      </c>
      <c r="L2568" t="n">
        <v>0.93</v>
      </c>
      <c r="M2568" t="n">
        <v>0</v>
      </c>
    </row>
    <row r="2569" spans="1:13">
      <c r="A2569" s="1">
        <f>HYPERLINK("http://www.twitter.com/NathanBLawrence/status/972479238673661952", "972479238673661952")</f>
        <v/>
      </c>
      <c r="B2569" s="2" t="n">
        <v>43169.60291666666</v>
      </c>
      <c r="C2569" t="n">
        <v>0</v>
      </c>
      <c r="D2569" t="n">
        <v>6</v>
      </c>
      <c r="E2569" t="s">
        <v>2571</v>
      </c>
      <c r="F2569" t="s"/>
      <c r="G2569" t="s"/>
      <c r="H2569" t="s"/>
      <c r="I2569" t="s"/>
      <c r="J2569" t="n">
        <v>0</v>
      </c>
      <c r="K2569" t="n">
        <v>0</v>
      </c>
      <c r="L2569" t="n">
        <v>1</v>
      </c>
      <c r="M2569" t="n">
        <v>0</v>
      </c>
    </row>
    <row r="2570" spans="1:13">
      <c r="A2570" s="1">
        <f>HYPERLINK("http://www.twitter.com/NathanBLawrence/status/972479139050590208", "972479139050590208")</f>
        <v/>
      </c>
      <c r="B2570" s="2" t="n">
        <v>43169.60265046296</v>
      </c>
      <c r="C2570" t="n">
        <v>1</v>
      </c>
      <c r="D2570" t="n">
        <v>0</v>
      </c>
      <c r="E2570" t="s">
        <v>2572</v>
      </c>
      <c r="F2570" t="s"/>
      <c r="G2570" t="s"/>
      <c r="H2570" t="s"/>
      <c r="I2570" t="s"/>
      <c r="J2570" t="n">
        <v>-0.296</v>
      </c>
      <c r="K2570" t="n">
        <v>0.136</v>
      </c>
      <c r="L2570" t="n">
        <v>0.864</v>
      </c>
      <c r="M2570" t="n">
        <v>0</v>
      </c>
    </row>
    <row r="2571" spans="1:13">
      <c r="A2571" s="1">
        <f>HYPERLINK("http://www.twitter.com/NathanBLawrence/status/972473147713839105", "972473147713839105")</f>
        <v/>
      </c>
      <c r="B2571" s="2" t="n">
        <v>43169.58611111111</v>
      </c>
      <c r="C2571" t="n">
        <v>0</v>
      </c>
      <c r="D2571" t="n">
        <v>0</v>
      </c>
      <c r="E2571" t="s">
        <v>2573</v>
      </c>
      <c r="F2571" t="s"/>
      <c r="G2571" t="s"/>
      <c r="H2571" t="s"/>
      <c r="I2571" t="s"/>
      <c r="J2571" t="n">
        <v>-0.8122</v>
      </c>
      <c r="K2571" t="n">
        <v>0.275</v>
      </c>
      <c r="L2571" t="n">
        <v>0.598</v>
      </c>
      <c r="M2571" t="n">
        <v>0.128</v>
      </c>
    </row>
    <row r="2572" spans="1:13">
      <c r="A2572" s="1">
        <f>HYPERLINK("http://www.twitter.com/NathanBLawrence/status/972472267501338625", "972472267501338625")</f>
        <v/>
      </c>
      <c r="B2572" s="2" t="n">
        <v>43169.58368055556</v>
      </c>
      <c r="C2572" t="n">
        <v>0</v>
      </c>
      <c r="D2572" t="n">
        <v>1</v>
      </c>
      <c r="E2572" t="s">
        <v>2574</v>
      </c>
      <c r="F2572" t="s"/>
      <c r="G2572" t="s"/>
      <c r="H2572" t="s"/>
      <c r="I2572" t="s"/>
      <c r="J2572" t="n">
        <v>-0.7579</v>
      </c>
      <c r="K2572" t="n">
        <v>0.236</v>
      </c>
      <c r="L2572" t="n">
        <v>0.764</v>
      </c>
      <c r="M2572" t="n">
        <v>0</v>
      </c>
    </row>
    <row r="2573" spans="1:13">
      <c r="A2573" s="1">
        <f>HYPERLINK("http://www.twitter.com/NathanBLawrence/status/972472183921545216", "972472183921545216")</f>
        <v/>
      </c>
      <c r="B2573" s="2" t="n">
        <v>43169.58344907407</v>
      </c>
      <c r="C2573" t="n">
        <v>0</v>
      </c>
      <c r="D2573" t="n">
        <v>2</v>
      </c>
      <c r="E2573" t="s">
        <v>2575</v>
      </c>
      <c r="F2573" t="s"/>
      <c r="G2573" t="s"/>
      <c r="H2573" t="s"/>
      <c r="I2573" t="s"/>
      <c r="J2573" t="n">
        <v>-0.7096</v>
      </c>
      <c r="K2573" t="n">
        <v>0.247</v>
      </c>
      <c r="L2573" t="n">
        <v>0.753</v>
      </c>
      <c r="M2573" t="n">
        <v>0</v>
      </c>
    </row>
    <row r="2574" spans="1:13">
      <c r="A2574" s="1">
        <f>HYPERLINK("http://www.twitter.com/NathanBLawrence/status/972472029873147904", "972472029873147904")</f>
        <v/>
      </c>
      <c r="B2574" s="2" t="n">
        <v>43169.5830324074</v>
      </c>
      <c r="C2574" t="n">
        <v>0</v>
      </c>
      <c r="D2574" t="n">
        <v>0</v>
      </c>
      <c r="E2574" t="s">
        <v>2576</v>
      </c>
      <c r="F2574" t="s"/>
      <c r="G2574" t="s"/>
      <c r="H2574" t="s"/>
      <c r="I2574" t="s"/>
      <c r="J2574" t="n">
        <v>-0.3818</v>
      </c>
      <c r="K2574" t="n">
        <v>0.08500000000000001</v>
      </c>
      <c r="L2574" t="n">
        <v>0.915</v>
      </c>
      <c r="M2574" t="n">
        <v>0</v>
      </c>
    </row>
    <row r="2575" spans="1:13">
      <c r="A2575" s="1">
        <f>HYPERLINK("http://www.twitter.com/NathanBLawrence/status/972470839483527169", "972470839483527169")</f>
        <v/>
      </c>
      <c r="B2575" s="2" t="n">
        <v>43169.57974537037</v>
      </c>
      <c r="C2575" t="n">
        <v>0</v>
      </c>
      <c r="D2575" t="n">
        <v>2</v>
      </c>
      <c r="E2575" t="s">
        <v>2577</v>
      </c>
      <c r="F2575" t="s"/>
      <c r="G2575" t="s"/>
      <c r="H2575" t="s"/>
      <c r="I2575" t="s"/>
      <c r="J2575" t="n">
        <v>-0.6597</v>
      </c>
      <c r="K2575" t="n">
        <v>0.184</v>
      </c>
      <c r="L2575" t="n">
        <v>0.8159999999999999</v>
      </c>
      <c r="M2575" t="n">
        <v>0</v>
      </c>
    </row>
    <row r="2576" spans="1:13">
      <c r="A2576" s="1">
        <f>HYPERLINK("http://www.twitter.com/NathanBLawrence/status/972470761557495808", "972470761557495808")</f>
        <v/>
      </c>
      <c r="B2576" s="2" t="n">
        <v>43169.57952546296</v>
      </c>
      <c r="C2576" t="n">
        <v>0</v>
      </c>
      <c r="D2576" t="n">
        <v>0</v>
      </c>
      <c r="E2576" t="s">
        <v>2578</v>
      </c>
      <c r="F2576" t="s"/>
      <c r="G2576" t="s"/>
      <c r="H2576" t="s"/>
      <c r="I2576" t="s"/>
      <c r="J2576" t="n">
        <v>0.25</v>
      </c>
      <c r="K2576" t="n">
        <v>0</v>
      </c>
      <c r="L2576" t="n">
        <v>0.889</v>
      </c>
      <c r="M2576" t="n">
        <v>0.111</v>
      </c>
    </row>
    <row r="2577" spans="1:13">
      <c r="A2577" s="1">
        <f>HYPERLINK("http://www.twitter.com/NathanBLawrence/status/972469485058879489", "972469485058879489")</f>
        <v/>
      </c>
      <c r="B2577" s="2" t="n">
        <v>43169.57600694444</v>
      </c>
      <c r="C2577" t="n">
        <v>0</v>
      </c>
      <c r="D2577" t="n">
        <v>1</v>
      </c>
      <c r="E2577" t="s">
        <v>2579</v>
      </c>
      <c r="F2577" t="s"/>
      <c r="G2577" t="s"/>
      <c r="H2577" t="s"/>
      <c r="I2577" t="s"/>
      <c r="J2577" t="n">
        <v>0.6322</v>
      </c>
      <c r="K2577" t="n">
        <v>0</v>
      </c>
      <c r="L2577" t="n">
        <v>0.8100000000000001</v>
      </c>
      <c r="M2577" t="n">
        <v>0.19</v>
      </c>
    </row>
    <row r="2578" spans="1:13">
      <c r="A2578" s="1">
        <f>HYPERLINK("http://www.twitter.com/NathanBLawrence/status/972465053080477696", "972465053080477696")</f>
        <v/>
      </c>
      <c r="B2578" s="2" t="n">
        <v>43169.56377314815</v>
      </c>
      <c r="C2578" t="n">
        <v>0</v>
      </c>
      <c r="D2578" t="n">
        <v>0</v>
      </c>
      <c r="E2578" t="s">
        <v>2580</v>
      </c>
      <c r="F2578" t="s"/>
      <c r="G2578" t="s"/>
      <c r="H2578" t="s"/>
      <c r="I2578" t="s"/>
      <c r="J2578" t="n">
        <v>0</v>
      </c>
      <c r="K2578" t="n">
        <v>0</v>
      </c>
      <c r="L2578" t="n">
        <v>1</v>
      </c>
      <c r="M2578" t="n">
        <v>0</v>
      </c>
    </row>
    <row r="2579" spans="1:13">
      <c r="A2579" s="1">
        <f>HYPERLINK("http://www.twitter.com/NathanBLawrence/status/972464532093394944", "972464532093394944")</f>
        <v/>
      </c>
      <c r="B2579" s="2" t="n">
        <v>43169.56233796296</v>
      </c>
      <c r="C2579" t="n">
        <v>0</v>
      </c>
      <c r="D2579" t="n">
        <v>2</v>
      </c>
      <c r="E2579" t="s">
        <v>2581</v>
      </c>
      <c r="F2579" t="s"/>
      <c r="G2579" t="s"/>
      <c r="H2579" t="s"/>
      <c r="I2579" t="s"/>
      <c r="J2579" t="n">
        <v>0</v>
      </c>
      <c r="K2579" t="n">
        <v>0</v>
      </c>
      <c r="L2579" t="n">
        <v>1</v>
      </c>
      <c r="M2579" t="n">
        <v>0</v>
      </c>
    </row>
    <row r="2580" spans="1:13">
      <c r="A2580" s="1">
        <f>HYPERLINK("http://www.twitter.com/NathanBLawrence/status/972464472244793344", "972464472244793344")</f>
        <v/>
      </c>
      <c r="B2580" s="2" t="n">
        <v>43169.56217592592</v>
      </c>
      <c r="C2580" t="n">
        <v>0</v>
      </c>
      <c r="D2580" t="n">
        <v>3</v>
      </c>
      <c r="E2580" t="s">
        <v>2582</v>
      </c>
      <c r="F2580" t="s"/>
      <c r="G2580" t="s"/>
      <c r="H2580" t="s"/>
      <c r="I2580" t="s"/>
      <c r="J2580" t="n">
        <v>0.4019</v>
      </c>
      <c r="K2580" t="n">
        <v>0</v>
      </c>
      <c r="L2580" t="n">
        <v>0.886</v>
      </c>
      <c r="M2580" t="n">
        <v>0.114</v>
      </c>
    </row>
    <row r="2581" spans="1:13">
      <c r="A2581" s="1">
        <f>HYPERLINK("http://www.twitter.com/NathanBLawrence/status/972463159004028928", "972463159004028928")</f>
        <v/>
      </c>
      <c r="B2581" s="2" t="n">
        <v>43169.55855324074</v>
      </c>
      <c r="C2581" t="n">
        <v>0</v>
      </c>
      <c r="D2581" t="n">
        <v>0</v>
      </c>
      <c r="E2581" t="s">
        <v>2583</v>
      </c>
      <c r="F2581" t="s"/>
      <c r="G2581" t="s"/>
      <c r="H2581" t="s"/>
      <c r="I2581" t="s"/>
      <c r="J2581" t="n">
        <v>-0.8183</v>
      </c>
      <c r="K2581" t="n">
        <v>0.202</v>
      </c>
      <c r="L2581" t="n">
        <v>0.744</v>
      </c>
      <c r="M2581" t="n">
        <v>0.054</v>
      </c>
    </row>
    <row r="2582" spans="1:13">
      <c r="A2582" s="1">
        <f>HYPERLINK("http://www.twitter.com/NathanBLawrence/status/972461912565932032", "972461912565932032")</f>
        <v/>
      </c>
      <c r="B2582" s="2" t="n">
        <v>43169.55511574074</v>
      </c>
      <c r="C2582" t="n">
        <v>0</v>
      </c>
      <c r="D2582" t="n">
        <v>2</v>
      </c>
      <c r="E2582" t="s">
        <v>2584</v>
      </c>
      <c r="F2582" t="s"/>
      <c r="G2582" t="s"/>
      <c r="H2582" t="s"/>
      <c r="I2582" t="s"/>
      <c r="J2582" t="n">
        <v>-0.8525</v>
      </c>
      <c r="K2582" t="n">
        <v>0.325</v>
      </c>
      <c r="L2582" t="n">
        <v>0.6</v>
      </c>
      <c r="M2582" t="n">
        <v>0.075</v>
      </c>
    </row>
    <row r="2583" spans="1:13">
      <c r="A2583" s="1">
        <f>HYPERLINK("http://www.twitter.com/NathanBLawrence/status/972461890529124352", "972461890529124352")</f>
        <v/>
      </c>
      <c r="B2583" s="2" t="n">
        <v>43169.55504629629</v>
      </c>
      <c r="C2583" t="n">
        <v>0</v>
      </c>
      <c r="D2583" t="n">
        <v>3</v>
      </c>
      <c r="E2583" t="s">
        <v>2585</v>
      </c>
      <c r="F2583" t="s"/>
      <c r="G2583" t="s"/>
      <c r="H2583" t="s"/>
      <c r="I2583" t="s"/>
      <c r="J2583" t="n">
        <v>-0.4588</v>
      </c>
      <c r="K2583" t="n">
        <v>0.125</v>
      </c>
      <c r="L2583" t="n">
        <v>0.875</v>
      </c>
      <c r="M2583" t="n">
        <v>0</v>
      </c>
    </row>
    <row r="2584" spans="1:13">
      <c r="A2584" s="1">
        <f>HYPERLINK("http://www.twitter.com/NathanBLawrence/status/972461791686152192", "972461791686152192")</f>
        <v/>
      </c>
      <c r="B2584" s="2" t="n">
        <v>43169.55478009259</v>
      </c>
      <c r="C2584" t="n">
        <v>0</v>
      </c>
      <c r="D2584" t="n">
        <v>1</v>
      </c>
      <c r="E2584" t="s">
        <v>2586</v>
      </c>
      <c r="F2584" t="s"/>
      <c r="G2584" t="s"/>
      <c r="H2584" t="s"/>
      <c r="I2584" t="s"/>
      <c r="J2584" t="n">
        <v>-0.3818</v>
      </c>
      <c r="K2584" t="n">
        <v>0.106</v>
      </c>
      <c r="L2584" t="n">
        <v>0.894</v>
      </c>
      <c r="M2584" t="n">
        <v>0</v>
      </c>
    </row>
    <row r="2585" spans="1:13">
      <c r="A2585" s="1">
        <f>HYPERLINK("http://www.twitter.com/NathanBLawrence/status/972461667316633601", "972461667316633601")</f>
        <v/>
      </c>
      <c r="B2585" s="2" t="n">
        <v>43169.55443287037</v>
      </c>
      <c r="C2585" t="n">
        <v>0</v>
      </c>
      <c r="D2585" t="n">
        <v>3</v>
      </c>
      <c r="E2585" t="s">
        <v>2587</v>
      </c>
      <c r="F2585" t="s"/>
      <c r="G2585" t="s"/>
      <c r="H2585" t="s"/>
      <c r="I2585" t="s"/>
      <c r="J2585" t="n">
        <v>0.296</v>
      </c>
      <c r="K2585" t="n">
        <v>0.056</v>
      </c>
      <c r="L2585" t="n">
        <v>0.84</v>
      </c>
      <c r="M2585" t="n">
        <v>0.104</v>
      </c>
    </row>
    <row r="2586" spans="1:13">
      <c r="A2586" s="1">
        <f>HYPERLINK("http://www.twitter.com/NathanBLawrence/status/972461597871558656", "972461597871558656")</f>
        <v/>
      </c>
      <c r="B2586" s="2" t="n">
        <v>43169.55424768518</v>
      </c>
      <c r="C2586" t="n">
        <v>0</v>
      </c>
      <c r="D2586" t="n">
        <v>2</v>
      </c>
      <c r="E2586" t="s">
        <v>2588</v>
      </c>
      <c r="F2586" t="s"/>
      <c r="G2586" t="s"/>
      <c r="H2586" t="s"/>
      <c r="I2586" t="s"/>
      <c r="J2586" t="n">
        <v>0</v>
      </c>
      <c r="K2586" t="n">
        <v>0</v>
      </c>
      <c r="L2586" t="n">
        <v>1</v>
      </c>
      <c r="M2586" t="n">
        <v>0</v>
      </c>
    </row>
    <row r="2587" spans="1:13">
      <c r="A2587" s="1">
        <f>HYPERLINK("http://www.twitter.com/NathanBLawrence/status/972461532306165760", "972461532306165760")</f>
        <v/>
      </c>
      <c r="B2587" s="2" t="n">
        <v>43169.5540625</v>
      </c>
      <c r="C2587" t="n">
        <v>0</v>
      </c>
      <c r="D2587" t="n">
        <v>2</v>
      </c>
      <c r="E2587" t="s">
        <v>2589</v>
      </c>
      <c r="F2587" t="s"/>
      <c r="G2587" t="s"/>
      <c r="H2587" t="s"/>
      <c r="I2587" t="s"/>
      <c r="J2587" t="n">
        <v>0</v>
      </c>
      <c r="K2587" t="n">
        <v>0</v>
      </c>
      <c r="L2587" t="n">
        <v>1</v>
      </c>
      <c r="M2587" t="n">
        <v>0</v>
      </c>
    </row>
    <row r="2588" spans="1:13">
      <c r="A2588" s="1">
        <f>HYPERLINK("http://www.twitter.com/NathanBLawrence/status/972461474399518721", "972461474399518721")</f>
        <v/>
      </c>
      <c r="B2588" s="2" t="n">
        <v>43169.55390046296</v>
      </c>
      <c r="C2588" t="n">
        <v>0</v>
      </c>
      <c r="D2588" t="n">
        <v>2</v>
      </c>
      <c r="E2588" t="s">
        <v>2590</v>
      </c>
      <c r="F2588" t="s"/>
      <c r="G2588" t="s"/>
      <c r="H2588" t="s"/>
      <c r="I2588" t="s"/>
      <c r="J2588" t="n">
        <v>-0.25</v>
      </c>
      <c r="K2588" t="n">
        <v>0.13</v>
      </c>
      <c r="L2588" t="n">
        <v>0.87</v>
      </c>
      <c r="M2588" t="n">
        <v>0</v>
      </c>
    </row>
    <row r="2589" spans="1:13">
      <c r="A2589" s="1">
        <f>HYPERLINK("http://www.twitter.com/NathanBLawrence/status/972461386382049280", "972461386382049280")</f>
        <v/>
      </c>
      <c r="B2589" s="2" t="n">
        <v>43169.55365740741</v>
      </c>
      <c r="C2589" t="n">
        <v>0</v>
      </c>
      <c r="D2589" t="n">
        <v>13</v>
      </c>
      <c r="E2589" t="s">
        <v>2591</v>
      </c>
      <c r="F2589">
        <f>HYPERLINK("http://pbs.twimg.com/media/DXJbAIAUQAA7ztV.jpg", "http://pbs.twimg.com/media/DXJbAIAUQAA7ztV.jpg")</f>
        <v/>
      </c>
      <c r="G2589" t="s"/>
      <c r="H2589" t="s"/>
      <c r="I2589" t="s"/>
      <c r="J2589" t="n">
        <v>-0.4404</v>
      </c>
      <c r="K2589" t="n">
        <v>0.127</v>
      </c>
      <c r="L2589" t="n">
        <v>0.873</v>
      </c>
      <c r="M2589" t="n">
        <v>0</v>
      </c>
    </row>
    <row r="2590" spans="1:13">
      <c r="A2590" s="1">
        <f>HYPERLINK("http://www.twitter.com/NathanBLawrence/status/972458423383150594", "972458423383150594")</f>
        <v/>
      </c>
      <c r="B2590" s="2" t="n">
        <v>43169.54548611111</v>
      </c>
      <c r="C2590" t="n">
        <v>0</v>
      </c>
      <c r="D2590" t="n">
        <v>1</v>
      </c>
      <c r="E2590" t="s">
        <v>2592</v>
      </c>
      <c r="F2590" t="s"/>
      <c r="G2590" t="s"/>
      <c r="H2590" t="s"/>
      <c r="I2590" t="s"/>
      <c r="J2590" t="n">
        <v>0</v>
      </c>
      <c r="K2590" t="n">
        <v>0</v>
      </c>
      <c r="L2590" t="n">
        <v>1</v>
      </c>
      <c r="M2590" t="n">
        <v>0</v>
      </c>
    </row>
    <row r="2591" spans="1:13">
      <c r="A2591" s="1">
        <f>HYPERLINK("http://www.twitter.com/NathanBLawrence/status/972458340956688386", "972458340956688386")</f>
        <v/>
      </c>
      <c r="B2591" s="2" t="n">
        <v>43169.54525462963</v>
      </c>
      <c r="C2591" t="n">
        <v>0</v>
      </c>
      <c r="D2591" t="n">
        <v>3</v>
      </c>
      <c r="E2591" t="s">
        <v>2593</v>
      </c>
      <c r="F2591" t="s"/>
      <c r="G2591" t="s"/>
      <c r="H2591" t="s"/>
      <c r="I2591" t="s"/>
      <c r="J2591" t="n">
        <v>0</v>
      </c>
      <c r="K2591" t="n">
        <v>0</v>
      </c>
      <c r="L2591" t="n">
        <v>1</v>
      </c>
      <c r="M2591" t="n">
        <v>0</v>
      </c>
    </row>
    <row r="2592" spans="1:13">
      <c r="A2592" s="1">
        <f>HYPERLINK("http://www.twitter.com/NathanBLawrence/status/972458193266896896", "972458193266896896")</f>
        <v/>
      </c>
      <c r="B2592" s="2" t="n">
        <v>43169.54484953704</v>
      </c>
      <c r="C2592" t="n">
        <v>0</v>
      </c>
      <c r="D2592" t="n">
        <v>2</v>
      </c>
      <c r="E2592" t="s">
        <v>2594</v>
      </c>
      <c r="F2592" t="s"/>
      <c r="G2592" t="s"/>
      <c r="H2592" t="s"/>
      <c r="I2592" t="s"/>
      <c r="J2592" t="n">
        <v>0.4404</v>
      </c>
      <c r="K2592" t="n">
        <v>0</v>
      </c>
      <c r="L2592" t="n">
        <v>0.861</v>
      </c>
      <c r="M2592" t="n">
        <v>0.139</v>
      </c>
    </row>
    <row r="2593" spans="1:13">
      <c r="A2593" s="1">
        <f>HYPERLINK("http://www.twitter.com/NathanBLawrence/status/972458085867577344", "972458085867577344")</f>
        <v/>
      </c>
      <c r="B2593" s="2" t="n">
        <v>43169.54454861111</v>
      </c>
      <c r="C2593" t="n">
        <v>0</v>
      </c>
      <c r="D2593" t="n">
        <v>1</v>
      </c>
      <c r="E2593" t="s">
        <v>2595</v>
      </c>
      <c r="F2593" t="s"/>
      <c r="G2593" t="s"/>
      <c r="H2593" t="s"/>
      <c r="I2593" t="s"/>
      <c r="J2593" t="n">
        <v>-0.4753</v>
      </c>
      <c r="K2593" t="n">
        <v>0.184</v>
      </c>
      <c r="L2593" t="n">
        <v>0.742</v>
      </c>
      <c r="M2593" t="n">
        <v>0.074</v>
      </c>
    </row>
    <row r="2594" spans="1:13">
      <c r="A2594" s="1">
        <f>HYPERLINK("http://www.twitter.com/NathanBLawrence/status/972457967818768384", "972457967818768384")</f>
        <v/>
      </c>
      <c r="B2594" s="2" t="n">
        <v>43169.54422453704</v>
      </c>
      <c r="C2594" t="n">
        <v>0</v>
      </c>
      <c r="D2594" t="n">
        <v>1</v>
      </c>
      <c r="E2594" t="s">
        <v>2596</v>
      </c>
      <c r="F2594" t="s"/>
      <c r="G2594" t="s"/>
      <c r="H2594" t="s"/>
      <c r="I2594" t="s"/>
      <c r="J2594" t="n">
        <v>0</v>
      </c>
      <c r="K2594" t="n">
        <v>0</v>
      </c>
      <c r="L2594" t="n">
        <v>1</v>
      </c>
      <c r="M2594" t="n">
        <v>0</v>
      </c>
    </row>
    <row r="2595" spans="1:13">
      <c r="A2595" s="1">
        <f>HYPERLINK("http://www.twitter.com/NathanBLawrence/status/972457685638631424", "972457685638631424")</f>
        <v/>
      </c>
      <c r="B2595" s="2" t="n">
        <v>43169.54344907407</v>
      </c>
      <c r="C2595" t="n">
        <v>0</v>
      </c>
      <c r="D2595" t="n">
        <v>3</v>
      </c>
      <c r="E2595" t="s">
        <v>2597</v>
      </c>
      <c r="F2595" t="s"/>
      <c r="G2595" t="s"/>
      <c r="H2595" t="s"/>
      <c r="I2595" t="s"/>
      <c r="J2595" t="n">
        <v>-0.5994</v>
      </c>
      <c r="K2595" t="n">
        <v>0.293</v>
      </c>
      <c r="L2595" t="n">
        <v>0.634</v>
      </c>
      <c r="M2595" t="n">
        <v>0.073</v>
      </c>
    </row>
    <row r="2596" spans="1:13">
      <c r="A2596" s="1">
        <f>HYPERLINK("http://www.twitter.com/NathanBLawrence/status/972457408562892802", "972457408562892802")</f>
        <v/>
      </c>
      <c r="B2596" s="2" t="n">
        <v>43169.54268518519</v>
      </c>
      <c r="C2596" t="n">
        <v>0</v>
      </c>
      <c r="D2596" t="n">
        <v>0</v>
      </c>
      <c r="E2596" t="s">
        <v>2598</v>
      </c>
      <c r="F2596" t="s"/>
      <c r="G2596" t="s"/>
      <c r="H2596" t="s"/>
      <c r="I2596" t="s"/>
      <c r="J2596" t="n">
        <v>0.5893</v>
      </c>
      <c r="K2596" t="n">
        <v>0.094</v>
      </c>
      <c r="L2596" t="n">
        <v>0.697</v>
      </c>
      <c r="M2596" t="n">
        <v>0.21</v>
      </c>
    </row>
    <row r="2597" spans="1:13">
      <c r="A2597" s="1">
        <f>HYPERLINK("http://www.twitter.com/NathanBLawrence/status/972456550953574402", "972456550953574402")</f>
        <v/>
      </c>
      <c r="B2597" s="2" t="n">
        <v>43169.5403125</v>
      </c>
      <c r="C2597" t="n">
        <v>0</v>
      </c>
      <c r="D2597" t="n">
        <v>2</v>
      </c>
      <c r="E2597" t="s">
        <v>2599</v>
      </c>
      <c r="F2597" t="s"/>
      <c r="G2597" t="s"/>
      <c r="H2597" t="s"/>
      <c r="I2597" t="s"/>
      <c r="J2597" t="n">
        <v>-0.0772</v>
      </c>
      <c r="K2597" t="n">
        <v>0.131</v>
      </c>
      <c r="L2597" t="n">
        <v>0.798</v>
      </c>
      <c r="M2597" t="n">
        <v>0.07000000000000001</v>
      </c>
    </row>
    <row r="2598" spans="1:13">
      <c r="A2598" s="1">
        <f>HYPERLINK("http://www.twitter.com/NathanBLawrence/status/972456417935417350", "972456417935417350")</f>
        <v/>
      </c>
      <c r="B2598" s="2" t="n">
        <v>43169.5399537037</v>
      </c>
      <c r="C2598" t="n">
        <v>0</v>
      </c>
      <c r="D2598" t="n">
        <v>0</v>
      </c>
      <c r="E2598" t="s">
        <v>2600</v>
      </c>
      <c r="F2598" t="s"/>
      <c r="G2598" t="s"/>
      <c r="H2598" t="s"/>
      <c r="I2598" t="s"/>
      <c r="J2598" t="n">
        <v>0</v>
      </c>
      <c r="K2598" t="n">
        <v>0</v>
      </c>
      <c r="L2598" t="n">
        <v>1</v>
      </c>
      <c r="M2598" t="n">
        <v>0</v>
      </c>
    </row>
    <row r="2599" spans="1:13">
      <c r="A2599" s="1">
        <f>HYPERLINK("http://www.twitter.com/NathanBLawrence/status/972456043614801920", "972456043614801920")</f>
        <v/>
      </c>
      <c r="B2599" s="2" t="n">
        <v>43169.53891203704</v>
      </c>
      <c r="C2599" t="n">
        <v>0</v>
      </c>
      <c r="D2599" t="n">
        <v>3</v>
      </c>
      <c r="E2599" t="s">
        <v>2601</v>
      </c>
      <c r="F2599">
        <f>HYPERLINK("http://pbs.twimg.com/media/DXJc2dVU0AACHYr.jpg", "http://pbs.twimg.com/media/DXJc2dVU0AACHYr.jpg")</f>
        <v/>
      </c>
      <c r="G2599" t="s"/>
      <c r="H2599" t="s"/>
      <c r="I2599" t="s"/>
      <c r="J2599" t="n">
        <v>-0.6486</v>
      </c>
      <c r="K2599" t="n">
        <v>0.209</v>
      </c>
      <c r="L2599" t="n">
        <v>0.791</v>
      </c>
      <c r="M2599" t="n">
        <v>0</v>
      </c>
    </row>
    <row r="2600" spans="1:13">
      <c r="A2600" s="1">
        <f>HYPERLINK("http://www.twitter.com/NathanBLawrence/status/972455825628450817", "972455825628450817")</f>
        <v/>
      </c>
      <c r="B2600" s="2" t="n">
        <v>43169.53831018518</v>
      </c>
      <c r="C2600" t="n">
        <v>0</v>
      </c>
      <c r="D2600" t="n">
        <v>0</v>
      </c>
      <c r="E2600" t="s">
        <v>2602</v>
      </c>
      <c r="F2600" t="s"/>
      <c r="G2600" t="s"/>
      <c r="H2600" t="s"/>
      <c r="I2600" t="s"/>
      <c r="J2600" t="n">
        <v>-0.4019</v>
      </c>
      <c r="K2600" t="n">
        <v>0.138</v>
      </c>
      <c r="L2600" t="n">
        <v>0.796</v>
      </c>
      <c r="M2600" t="n">
        <v>0.066</v>
      </c>
    </row>
    <row r="2601" spans="1:13">
      <c r="A2601" s="1">
        <f>HYPERLINK("http://www.twitter.com/NathanBLawrence/status/972455139880656896", "972455139880656896")</f>
        <v/>
      </c>
      <c r="B2601" s="2" t="n">
        <v>43169.53642361111</v>
      </c>
      <c r="C2601" t="n">
        <v>0</v>
      </c>
      <c r="D2601" t="n">
        <v>0</v>
      </c>
      <c r="E2601" t="s">
        <v>2603</v>
      </c>
      <c r="F2601" t="s"/>
      <c r="G2601" t="s"/>
      <c r="H2601" t="s"/>
      <c r="I2601" t="s"/>
      <c r="J2601" t="n">
        <v>0.4939</v>
      </c>
      <c r="K2601" t="n">
        <v>0</v>
      </c>
      <c r="L2601" t="n">
        <v>0.789</v>
      </c>
      <c r="M2601" t="n">
        <v>0.211</v>
      </c>
    </row>
    <row r="2602" spans="1:13">
      <c r="A2602" s="1">
        <f>HYPERLINK("http://www.twitter.com/NathanBLawrence/status/972454576220762112", "972454576220762112")</f>
        <v/>
      </c>
      <c r="B2602" s="2" t="n">
        <v>43169.53486111111</v>
      </c>
      <c r="C2602" t="n">
        <v>0</v>
      </c>
      <c r="D2602" t="n">
        <v>1</v>
      </c>
      <c r="E2602" t="s">
        <v>2604</v>
      </c>
      <c r="F2602">
        <f>HYPERLINK("http://pbs.twimg.com/media/DXJe1IwVwAAeOZE.jpg", "http://pbs.twimg.com/media/DXJe1IwVwAAeOZE.jpg")</f>
        <v/>
      </c>
      <c r="G2602" t="s"/>
      <c r="H2602" t="s"/>
      <c r="I2602" t="s"/>
      <c r="J2602" t="n">
        <v>0</v>
      </c>
      <c r="K2602" t="n">
        <v>0</v>
      </c>
      <c r="L2602" t="n">
        <v>1</v>
      </c>
      <c r="M2602" t="n">
        <v>0</v>
      </c>
    </row>
    <row r="2603" spans="1:13">
      <c r="A2603" s="1">
        <f>HYPERLINK("http://www.twitter.com/NathanBLawrence/status/972454494696034304", "972454494696034304")</f>
        <v/>
      </c>
      <c r="B2603" s="2" t="n">
        <v>43169.5346412037</v>
      </c>
      <c r="C2603" t="n">
        <v>0</v>
      </c>
      <c r="D2603" t="n">
        <v>1</v>
      </c>
      <c r="E2603" t="s">
        <v>2605</v>
      </c>
      <c r="F2603" t="s"/>
      <c r="G2603" t="s"/>
      <c r="H2603" t="s"/>
      <c r="I2603" t="s"/>
      <c r="J2603" t="n">
        <v>-0.7161999999999999</v>
      </c>
      <c r="K2603" t="n">
        <v>0.199</v>
      </c>
      <c r="L2603" t="n">
        <v>0.801</v>
      </c>
      <c r="M2603" t="n">
        <v>0</v>
      </c>
    </row>
    <row r="2604" spans="1:13">
      <c r="A2604" s="1">
        <f>HYPERLINK("http://www.twitter.com/NathanBLawrence/status/972454265070505984", "972454265070505984")</f>
        <v/>
      </c>
      <c r="B2604" s="2" t="n">
        <v>43169.53400462963</v>
      </c>
      <c r="C2604" t="n">
        <v>1</v>
      </c>
      <c r="D2604" t="n">
        <v>1</v>
      </c>
      <c r="E2604" t="s">
        <v>2606</v>
      </c>
      <c r="F2604" t="s"/>
      <c r="G2604" t="s"/>
      <c r="H2604" t="s"/>
      <c r="I2604" t="s"/>
      <c r="J2604" t="n">
        <v>-0.8363</v>
      </c>
      <c r="K2604" t="n">
        <v>0.302</v>
      </c>
      <c r="L2604" t="n">
        <v>0.544</v>
      </c>
      <c r="M2604" t="n">
        <v>0.154</v>
      </c>
    </row>
    <row r="2605" spans="1:13">
      <c r="A2605" s="1">
        <f>HYPERLINK("http://www.twitter.com/NathanBLawrence/status/972451654221082624", "972451654221082624")</f>
        <v/>
      </c>
      <c r="B2605" s="2" t="n">
        <v>43169.52680555556</v>
      </c>
      <c r="C2605" t="n">
        <v>0</v>
      </c>
      <c r="D2605" t="n">
        <v>3</v>
      </c>
      <c r="E2605" t="s">
        <v>2607</v>
      </c>
      <c r="F2605" t="s"/>
      <c r="G2605" t="s"/>
      <c r="H2605" t="s"/>
      <c r="I2605" t="s"/>
      <c r="J2605" t="n">
        <v>0.3919</v>
      </c>
      <c r="K2605" t="n">
        <v>0</v>
      </c>
      <c r="L2605" t="n">
        <v>0.858</v>
      </c>
      <c r="M2605" t="n">
        <v>0.142</v>
      </c>
    </row>
    <row r="2606" spans="1:13">
      <c r="A2606" s="1">
        <f>HYPERLINK("http://www.twitter.com/NathanBLawrence/status/972451609346273281", "972451609346273281")</f>
        <v/>
      </c>
      <c r="B2606" s="2" t="n">
        <v>43169.52667824074</v>
      </c>
      <c r="C2606" t="n">
        <v>0</v>
      </c>
      <c r="D2606" t="n">
        <v>1</v>
      </c>
      <c r="E2606" t="s">
        <v>2608</v>
      </c>
      <c r="F2606" t="s"/>
      <c r="G2606" t="s"/>
      <c r="H2606" t="s"/>
      <c r="I2606" t="s"/>
      <c r="J2606" t="n">
        <v>0</v>
      </c>
      <c r="K2606" t="n">
        <v>0.097</v>
      </c>
      <c r="L2606" t="n">
        <v>0.805</v>
      </c>
      <c r="M2606" t="n">
        <v>0.097</v>
      </c>
    </row>
    <row r="2607" spans="1:13">
      <c r="A2607" s="1">
        <f>HYPERLINK("http://www.twitter.com/NathanBLawrence/status/972451547375423488", "972451547375423488")</f>
        <v/>
      </c>
      <c r="B2607" s="2" t="n">
        <v>43169.52650462963</v>
      </c>
      <c r="C2607" t="n">
        <v>0</v>
      </c>
      <c r="D2607" t="n">
        <v>0</v>
      </c>
      <c r="E2607" t="s">
        <v>2609</v>
      </c>
      <c r="F2607" t="s"/>
      <c r="G2607" t="s"/>
      <c r="H2607" t="s"/>
      <c r="I2607" t="s"/>
      <c r="J2607" t="n">
        <v>0.4404</v>
      </c>
      <c r="K2607" t="n">
        <v>0</v>
      </c>
      <c r="L2607" t="n">
        <v>0.838</v>
      </c>
      <c r="M2607" t="n">
        <v>0.162</v>
      </c>
    </row>
    <row r="2608" spans="1:13">
      <c r="A2608" s="1">
        <f>HYPERLINK("http://www.twitter.com/NathanBLawrence/status/972451097318129664", "972451097318129664")</f>
        <v/>
      </c>
      <c r="B2608" s="2" t="n">
        <v>43169.5252662037</v>
      </c>
      <c r="C2608" t="n">
        <v>0</v>
      </c>
      <c r="D2608" t="n">
        <v>2</v>
      </c>
      <c r="E2608" t="s">
        <v>2610</v>
      </c>
      <c r="F2608" t="s"/>
      <c r="G2608" t="s"/>
      <c r="H2608" t="s"/>
      <c r="I2608" t="s"/>
      <c r="J2608" t="n">
        <v>-0.296</v>
      </c>
      <c r="K2608" t="n">
        <v>0.165</v>
      </c>
      <c r="L2608" t="n">
        <v>0.769</v>
      </c>
      <c r="M2608" t="n">
        <v>0.066</v>
      </c>
    </row>
    <row r="2609" spans="1:13">
      <c r="A2609" s="1">
        <f>HYPERLINK("http://www.twitter.com/NathanBLawrence/status/972450866178510849", "972450866178510849")</f>
        <v/>
      </c>
      <c r="B2609" s="2" t="n">
        <v>43169.52462962963</v>
      </c>
      <c r="C2609" t="n">
        <v>0</v>
      </c>
      <c r="D2609" t="n">
        <v>4</v>
      </c>
      <c r="E2609" t="s">
        <v>2611</v>
      </c>
      <c r="F2609">
        <f>HYPERLINK("http://pbs.twimg.com/media/DXj8-SyU0AAglZx.jpg", "http://pbs.twimg.com/media/DXj8-SyU0AAglZx.jpg")</f>
        <v/>
      </c>
      <c r="G2609" t="s"/>
      <c r="H2609" t="s"/>
      <c r="I2609" t="s"/>
      <c r="J2609" t="n">
        <v>0.4019</v>
      </c>
      <c r="K2609" t="n">
        <v>0</v>
      </c>
      <c r="L2609" t="n">
        <v>0.886</v>
      </c>
      <c r="M2609" t="n">
        <v>0.114</v>
      </c>
    </row>
    <row r="2610" spans="1:13">
      <c r="A2610" s="1">
        <f>HYPERLINK("http://www.twitter.com/NathanBLawrence/status/972450687119437826", "972450687119437826")</f>
        <v/>
      </c>
      <c r="B2610" s="2" t="n">
        <v>43169.52413194445</v>
      </c>
      <c r="C2610" t="n">
        <v>0</v>
      </c>
      <c r="D2610" t="n">
        <v>4</v>
      </c>
      <c r="E2610" t="s">
        <v>2612</v>
      </c>
      <c r="F2610" t="s"/>
      <c r="G2610" t="s"/>
      <c r="H2610" t="s"/>
      <c r="I2610" t="s"/>
      <c r="J2610" t="n">
        <v>0</v>
      </c>
      <c r="K2610" t="n">
        <v>0</v>
      </c>
      <c r="L2610" t="n">
        <v>1</v>
      </c>
      <c r="M2610" t="n">
        <v>0</v>
      </c>
    </row>
    <row r="2611" spans="1:13">
      <c r="A2611" s="1">
        <f>HYPERLINK("http://www.twitter.com/NathanBLawrence/status/972450317580324864", "972450317580324864")</f>
        <v/>
      </c>
      <c r="B2611" s="2" t="n">
        <v>43169.52311342592</v>
      </c>
      <c r="C2611" t="n">
        <v>0</v>
      </c>
      <c r="D2611" t="n">
        <v>1</v>
      </c>
      <c r="E2611" t="s">
        <v>2613</v>
      </c>
      <c r="F2611" t="s"/>
      <c r="G2611" t="s"/>
      <c r="H2611" t="s"/>
      <c r="I2611" t="s"/>
      <c r="J2611" t="n">
        <v>-0.09429999999999999</v>
      </c>
      <c r="K2611" t="n">
        <v>0.121</v>
      </c>
      <c r="L2611" t="n">
        <v>0.771</v>
      </c>
      <c r="M2611" t="n">
        <v>0.108</v>
      </c>
    </row>
    <row r="2612" spans="1:13">
      <c r="A2612" s="1">
        <f>HYPERLINK("http://www.twitter.com/NathanBLawrence/status/972450249359884288", "972450249359884288")</f>
        <v/>
      </c>
      <c r="B2612" s="2" t="n">
        <v>43169.52292824074</v>
      </c>
      <c r="C2612" t="n">
        <v>0</v>
      </c>
      <c r="D2612" t="n">
        <v>5</v>
      </c>
      <c r="E2612" t="s">
        <v>2614</v>
      </c>
      <c r="F2612" t="s"/>
      <c r="G2612" t="s"/>
      <c r="H2612" t="s"/>
      <c r="I2612" t="s"/>
      <c r="J2612" t="n">
        <v>0</v>
      </c>
      <c r="K2612" t="n">
        <v>0</v>
      </c>
      <c r="L2612" t="n">
        <v>1</v>
      </c>
      <c r="M2612" t="n">
        <v>0</v>
      </c>
    </row>
    <row r="2613" spans="1:13">
      <c r="A2613" s="1">
        <f>HYPERLINK("http://www.twitter.com/NathanBLawrence/status/972449980765097985", "972449980765097985")</f>
        <v/>
      </c>
      <c r="B2613" s="2" t="n">
        <v>43169.5221875</v>
      </c>
      <c r="C2613" t="n">
        <v>0</v>
      </c>
      <c r="D2613" t="n">
        <v>4</v>
      </c>
      <c r="E2613" t="s">
        <v>2615</v>
      </c>
      <c r="F2613">
        <f>HYPERLINK("http://pbs.twimg.com/media/DX7LVOzU0AAGitI.jpg", "http://pbs.twimg.com/media/DX7LVOzU0AAGitI.jpg")</f>
        <v/>
      </c>
      <c r="G2613">
        <f>HYPERLINK("http://pbs.twimg.com/media/DX7LV1-VMAADccw.jpg", "http://pbs.twimg.com/media/DX7LV1-VMAADccw.jpg")</f>
        <v/>
      </c>
      <c r="H2613" t="s"/>
      <c r="I2613" t="s"/>
      <c r="J2613" t="n">
        <v>-0.9118000000000001</v>
      </c>
      <c r="K2613" t="n">
        <v>0.356</v>
      </c>
      <c r="L2613" t="n">
        <v>0.644</v>
      </c>
      <c r="M2613" t="n">
        <v>0</v>
      </c>
    </row>
    <row r="2614" spans="1:13">
      <c r="A2614" s="1">
        <f>HYPERLINK("http://www.twitter.com/NathanBLawrence/status/972447412169183233", "972447412169183233")</f>
        <v/>
      </c>
      <c r="B2614" s="2" t="n">
        <v>43169.51509259259</v>
      </c>
      <c r="C2614" t="n">
        <v>0</v>
      </c>
      <c r="D2614" t="n">
        <v>1</v>
      </c>
      <c r="E2614" t="s">
        <v>2616</v>
      </c>
      <c r="F2614" t="s"/>
      <c r="G2614" t="s"/>
      <c r="H2614" t="s"/>
      <c r="I2614" t="s"/>
      <c r="J2614" t="n">
        <v>0</v>
      </c>
      <c r="K2614" t="n">
        <v>0</v>
      </c>
      <c r="L2614" t="n">
        <v>1</v>
      </c>
      <c r="M2614" t="n">
        <v>0</v>
      </c>
    </row>
    <row r="2615" spans="1:13">
      <c r="A2615" s="1">
        <f>HYPERLINK("http://www.twitter.com/NathanBLawrence/status/972447275833274368", "972447275833274368")</f>
        <v/>
      </c>
      <c r="B2615" s="2" t="n">
        <v>43169.51472222222</v>
      </c>
      <c r="C2615" t="n">
        <v>0</v>
      </c>
      <c r="D2615" t="n">
        <v>1</v>
      </c>
      <c r="E2615" t="s">
        <v>2617</v>
      </c>
      <c r="F2615">
        <f>HYPERLINK("http://pbs.twimg.com/media/DXlHb46V4AAsmqU.jpg", "http://pbs.twimg.com/media/DXlHb46V4AAsmqU.jpg")</f>
        <v/>
      </c>
      <c r="G2615" t="s"/>
      <c r="H2615" t="s"/>
      <c r="I2615" t="s"/>
      <c r="J2615" t="n">
        <v>-0.5994</v>
      </c>
      <c r="K2615" t="n">
        <v>0.163</v>
      </c>
      <c r="L2615" t="n">
        <v>0.837</v>
      </c>
      <c r="M2615" t="n">
        <v>0</v>
      </c>
    </row>
    <row r="2616" spans="1:13">
      <c r="A2616" s="1">
        <f>HYPERLINK("http://www.twitter.com/NathanBLawrence/status/972447180412858368", "972447180412858368")</f>
        <v/>
      </c>
      <c r="B2616" s="2" t="n">
        <v>43169.51445601852</v>
      </c>
      <c r="C2616" t="n">
        <v>0</v>
      </c>
      <c r="D2616" t="n">
        <v>1</v>
      </c>
      <c r="E2616" t="s">
        <v>2618</v>
      </c>
      <c r="F2616" t="s"/>
      <c r="G2616" t="s"/>
      <c r="H2616" t="s"/>
      <c r="I2616" t="s"/>
      <c r="J2616" t="n">
        <v>0</v>
      </c>
      <c r="K2616" t="n">
        <v>0</v>
      </c>
      <c r="L2616" t="n">
        <v>1</v>
      </c>
      <c r="M2616" t="n">
        <v>0</v>
      </c>
    </row>
    <row r="2617" spans="1:13">
      <c r="A2617" s="1">
        <f>HYPERLINK("http://www.twitter.com/NathanBLawrence/status/972447151283425280", "972447151283425280")</f>
        <v/>
      </c>
      <c r="B2617" s="2" t="n">
        <v>43169.514375</v>
      </c>
      <c r="C2617" t="n">
        <v>0</v>
      </c>
      <c r="D2617" t="n">
        <v>1</v>
      </c>
      <c r="E2617" t="s">
        <v>2619</v>
      </c>
      <c r="F2617" t="s"/>
      <c r="G2617" t="s"/>
      <c r="H2617" t="s"/>
      <c r="I2617" t="s"/>
      <c r="J2617" t="n">
        <v>-0.2003</v>
      </c>
      <c r="K2617" t="n">
        <v>0.136</v>
      </c>
      <c r="L2617" t="n">
        <v>0.76</v>
      </c>
      <c r="M2617" t="n">
        <v>0.104</v>
      </c>
    </row>
    <row r="2618" spans="1:13">
      <c r="A2618" s="1">
        <f>HYPERLINK("http://www.twitter.com/NathanBLawrence/status/972447102738620422", "972447102738620422")</f>
        <v/>
      </c>
      <c r="B2618" s="2" t="n">
        <v>43169.51424768518</v>
      </c>
      <c r="C2618" t="n">
        <v>0</v>
      </c>
      <c r="D2618" t="n">
        <v>1</v>
      </c>
      <c r="E2618" t="s">
        <v>2620</v>
      </c>
      <c r="F2618" t="s"/>
      <c r="G2618" t="s"/>
      <c r="H2618" t="s"/>
      <c r="I2618" t="s"/>
      <c r="J2618" t="n">
        <v>0</v>
      </c>
      <c r="K2618" t="n">
        <v>0</v>
      </c>
      <c r="L2618" t="n">
        <v>1</v>
      </c>
      <c r="M2618" t="n">
        <v>0</v>
      </c>
    </row>
    <row r="2619" spans="1:13">
      <c r="A2619" s="1">
        <f>HYPERLINK("http://www.twitter.com/NathanBLawrence/status/972447031296974848", "972447031296974848")</f>
        <v/>
      </c>
      <c r="B2619" s="2" t="n">
        <v>43169.51405092593</v>
      </c>
      <c r="C2619" t="n">
        <v>0</v>
      </c>
      <c r="D2619" t="n">
        <v>2</v>
      </c>
      <c r="E2619" t="s">
        <v>2621</v>
      </c>
      <c r="F2619" t="s"/>
      <c r="G2619" t="s"/>
      <c r="H2619" t="s"/>
      <c r="I2619" t="s"/>
      <c r="J2619" t="n">
        <v>0.1779</v>
      </c>
      <c r="K2619" t="n">
        <v>0.095</v>
      </c>
      <c r="L2619" t="n">
        <v>0.779</v>
      </c>
      <c r="M2619" t="n">
        <v>0.126</v>
      </c>
    </row>
    <row r="2620" spans="1:13">
      <c r="A2620" s="1">
        <f>HYPERLINK("http://www.twitter.com/NathanBLawrence/status/972446623266758657", "972446623266758657")</f>
        <v/>
      </c>
      <c r="B2620" s="2" t="n">
        <v>43169.51291666667</v>
      </c>
      <c r="C2620" t="n">
        <v>0</v>
      </c>
      <c r="D2620" t="n">
        <v>2</v>
      </c>
      <c r="E2620" t="s">
        <v>2622</v>
      </c>
      <c r="F2620" t="s"/>
      <c r="G2620" t="s"/>
      <c r="H2620" t="s"/>
      <c r="I2620" t="s"/>
      <c r="J2620" t="n">
        <v>0.1331</v>
      </c>
      <c r="K2620" t="n">
        <v>0.107</v>
      </c>
      <c r="L2620" t="n">
        <v>0.768</v>
      </c>
      <c r="M2620" t="n">
        <v>0.125</v>
      </c>
    </row>
    <row r="2621" spans="1:13">
      <c r="A2621" s="1">
        <f>HYPERLINK("http://www.twitter.com/NathanBLawrence/status/972286135207714816", "972286135207714816")</f>
        <v/>
      </c>
      <c r="B2621" s="2" t="n">
        <v>43169.07005787037</v>
      </c>
      <c r="C2621" t="n">
        <v>1</v>
      </c>
      <c r="D2621" t="n">
        <v>0</v>
      </c>
      <c r="E2621" t="s">
        <v>2623</v>
      </c>
      <c r="F2621" t="s"/>
      <c r="G2621" t="s"/>
      <c r="H2621" t="s"/>
      <c r="I2621" t="s"/>
      <c r="J2621" t="n">
        <v>-0.5413</v>
      </c>
      <c r="K2621" t="n">
        <v>0.181</v>
      </c>
      <c r="L2621" t="n">
        <v>0.737</v>
      </c>
      <c r="M2621" t="n">
        <v>0.082</v>
      </c>
    </row>
    <row r="2622" spans="1:13">
      <c r="A2622" s="1">
        <f>HYPERLINK("http://www.twitter.com/NathanBLawrence/status/972285589268717568", "972285589268717568")</f>
        <v/>
      </c>
      <c r="B2622" s="2" t="n">
        <v>43169.06855324074</v>
      </c>
      <c r="C2622" t="n">
        <v>0</v>
      </c>
      <c r="D2622" t="n">
        <v>1</v>
      </c>
      <c r="E2622" t="s">
        <v>2624</v>
      </c>
      <c r="F2622" t="s"/>
      <c r="G2622" t="s"/>
      <c r="H2622" t="s"/>
      <c r="I2622" t="s"/>
      <c r="J2622" t="n">
        <v>0</v>
      </c>
      <c r="K2622" t="n">
        <v>0</v>
      </c>
      <c r="L2622" t="n">
        <v>1</v>
      </c>
      <c r="M2622" t="n">
        <v>0</v>
      </c>
    </row>
    <row r="2623" spans="1:13">
      <c r="A2623" s="1">
        <f>HYPERLINK("http://www.twitter.com/NathanBLawrence/status/972285545354276875", "972285545354276875")</f>
        <v/>
      </c>
      <c r="B2623" s="2" t="n">
        <v>43169.06842592593</v>
      </c>
      <c r="C2623" t="n">
        <v>0</v>
      </c>
      <c r="D2623" t="n">
        <v>1</v>
      </c>
      <c r="E2623" t="s">
        <v>2625</v>
      </c>
      <c r="F2623" t="s"/>
      <c r="G2623" t="s"/>
      <c r="H2623" t="s"/>
      <c r="I2623" t="s"/>
      <c r="J2623" t="n">
        <v>-0.128</v>
      </c>
      <c r="K2623" t="n">
        <v>0.132</v>
      </c>
      <c r="L2623" t="n">
        <v>0.755</v>
      </c>
      <c r="M2623" t="n">
        <v>0.113</v>
      </c>
    </row>
    <row r="2624" spans="1:13">
      <c r="A2624" s="1">
        <f>HYPERLINK("http://www.twitter.com/NathanBLawrence/status/972284981098708992", "972284981098708992")</f>
        <v/>
      </c>
      <c r="B2624" s="2" t="n">
        <v>43169.066875</v>
      </c>
      <c r="C2624" t="n">
        <v>0</v>
      </c>
      <c r="D2624" t="n">
        <v>5</v>
      </c>
      <c r="E2624" t="s">
        <v>2626</v>
      </c>
      <c r="F2624" t="s"/>
      <c r="G2624" t="s"/>
      <c r="H2624" t="s"/>
      <c r="I2624" t="s"/>
      <c r="J2624" t="n">
        <v>0.6249</v>
      </c>
      <c r="K2624" t="n">
        <v>0</v>
      </c>
      <c r="L2624" t="n">
        <v>0.773</v>
      </c>
      <c r="M2624" t="n">
        <v>0.227</v>
      </c>
    </row>
    <row r="2625" spans="1:13">
      <c r="A2625" s="1">
        <f>HYPERLINK("http://www.twitter.com/NathanBLawrence/status/971809902497796101", "971809902497796101")</f>
        <v/>
      </c>
      <c r="B2625" s="2" t="n">
        <v>43167.75590277778</v>
      </c>
      <c r="C2625" t="n">
        <v>1</v>
      </c>
      <c r="D2625" t="n">
        <v>0</v>
      </c>
      <c r="E2625" t="s">
        <v>2627</v>
      </c>
      <c r="F2625" t="s"/>
      <c r="G2625" t="s"/>
      <c r="H2625" t="s"/>
      <c r="I2625" t="s"/>
      <c r="J2625" t="n">
        <v>0.4404</v>
      </c>
      <c r="K2625" t="n">
        <v>0.181</v>
      </c>
      <c r="L2625" t="n">
        <v>0.468</v>
      </c>
      <c r="M2625" t="n">
        <v>0.351</v>
      </c>
    </row>
    <row r="2626" spans="1:13">
      <c r="A2626" s="1">
        <f>HYPERLINK("http://www.twitter.com/NathanBLawrence/status/971466221626494977", "971466221626494977")</f>
        <v/>
      </c>
      <c r="B2626" s="2" t="n">
        <v>43166.80752314815</v>
      </c>
      <c r="C2626" t="n">
        <v>1</v>
      </c>
      <c r="D2626" t="n">
        <v>0</v>
      </c>
      <c r="E2626" t="s">
        <v>2628</v>
      </c>
      <c r="F2626" t="s"/>
      <c r="G2626" t="s"/>
      <c r="H2626" t="s"/>
      <c r="I2626" t="s"/>
      <c r="J2626" t="n">
        <v>0.7902</v>
      </c>
      <c r="K2626" t="n">
        <v>0</v>
      </c>
      <c r="L2626" t="n">
        <v>0.619</v>
      </c>
      <c r="M2626" t="n">
        <v>0.381</v>
      </c>
    </row>
    <row r="2627" spans="1:13">
      <c r="A2627" s="1">
        <f>HYPERLINK("http://www.twitter.com/NathanBLawrence/status/971465940763398144", "971465940763398144")</f>
        <v/>
      </c>
      <c r="B2627" s="2" t="n">
        <v>43166.80674768519</v>
      </c>
      <c r="C2627" t="n">
        <v>0</v>
      </c>
      <c r="D2627" t="n">
        <v>1</v>
      </c>
      <c r="E2627" t="s">
        <v>2629</v>
      </c>
      <c r="F2627" t="s"/>
      <c r="G2627" t="s"/>
      <c r="H2627" t="s"/>
      <c r="I2627" t="s"/>
      <c r="J2627" t="n">
        <v>-0.5023</v>
      </c>
      <c r="K2627" t="n">
        <v>0.119</v>
      </c>
      <c r="L2627" t="n">
        <v>0.881</v>
      </c>
      <c r="M2627" t="n">
        <v>0</v>
      </c>
    </row>
    <row r="2628" spans="1:13">
      <c r="A2628" s="1">
        <f>HYPERLINK("http://www.twitter.com/NathanBLawrence/status/971465799629262848", "971465799629262848")</f>
        <v/>
      </c>
      <c r="B2628" s="2" t="n">
        <v>43166.80636574074</v>
      </c>
      <c r="C2628" t="n">
        <v>0</v>
      </c>
      <c r="D2628" t="n">
        <v>0</v>
      </c>
      <c r="E2628" t="s">
        <v>2630</v>
      </c>
      <c r="F2628" t="s"/>
      <c r="G2628" t="s"/>
      <c r="H2628" t="s"/>
      <c r="I2628" t="s"/>
      <c r="J2628" t="n">
        <v>0.2235</v>
      </c>
      <c r="K2628" t="n">
        <v>0</v>
      </c>
      <c r="L2628" t="n">
        <v>0.9320000000000001</v>
      </c>
      <c r="M2628" t="n">
        <v>0.068</v>
      </c>
    </row>
    <row r="2629" spans="1:13">
      <c r="A2629" s="1">
        <f>HYPERLINK("http://www.twitter.com/NathanBLawrence/status/971465407348531202", "971465407348531202")</f>
        <v/>
      </c>
      <c r="B2629" s="2" t="n">
        <v>43166.80527777778</v>
      </c>
      <c r="C2629" t="n">
        <v>0</v>
      </c>
      <c r="D2629" t="n">
        <v>1</v>
      </c>
      <c r="E2629" t="s">
        <v>2631</v>
      </c>
      <c r="F2629" t="s"/>
      <c r="G2629" t="s"/>
      <c r="H2629" t="s"/>
      <c r="I2629" t="s"/>
      <c r="J2629" t="n">
        <v>-0.6655</v>
      </c>
      <c r="K2629" t="n">
        <v>0.278</v>
      </c>
      <c r="L2629" t="n">
        <v>0.5669999999999999</v>
      </c>
      <c r="M2629" t="n">
        <v>0.155</v>
      </c>
    </row>
    <row r="2630" spans="1:13">
      <c r="A2630" s="1">
        <f>HYPERLINK("http://www.twitter.com/NathanBLawrence/status/971465186447065088", "971465186447065088")</f>
        <v/>
      </c>
      <c r="B2630" s="2" t="n">
        <v>43166.80467592592</v>
      </c>
      <c r="C2630" t="n">
        <v>1</v>
      </c>
      <c r="D2630" t="n">
        <v>0</v>
      </c>
      <c r="E2630" t="s">
        <v>2632</v>
      </c>
      <c r="F2630" t="s"/>
      <c r="G2630" t="s"/>
      <c r="H2630" t="s"/>
      <c r="I2630" t="s"/>
      <c r="J2630" t="n">
        <v>-0.7184</v>
      </c>
      <c r="K2630" t="n">
        <v>0.154</v>
      </c>
      <c r="L2630" t="n">
        <v>0.846</v>
      </c>
      <c r="M2630" t="n">
        <v>0</v>
      </c>
    </row>
    <row r="2631" spans="1:13">
      <c r="A2631" s="1">
        <f>HYPERLINK("http://www.twitter.com/NathanBLawrence/status/971464549747625987", "971464549747625987")</f>
        <v/>
      </c>
      <c r="B2631" s="2" t="n">
        <v>43166.80291666667</v>
      </c>
      <c r="C2631" t="n">
        <v>1</v>
      </c>
      <c r="D2631" t="n">
        <v>0</v>
      </c>
      <c r="E2631" t="s">
        <v>2633</v>
      </c>
      <c r="F2631" t="s"/>
      <c r="G2631" t="s"/>
      <c r="H2631" t="s"/>
      <c r="I2631" t="s"/>
      <c r="J2631" t="n">
        <v>0.3102</v>
      </c>
      <c r="K2631" t="n">
        <v>0</v>
      </c>
      <c r="L2631" t="n">
        <v>0.914</v>
      </c>
      <c r="M2631" t="n">
        <v>0.08599999999999999</v>
      </c>
    </row>
    <row r="2632" spans="1:13">
      <c r="A2632" s="1">
        <f>HYPERLINK("http://www.twitter.com/NathanBLawrence/status/971464136432476160", "971464136432476160")</f>
        <v/>
      </c>
      <c r="B2632" s="2" t="n">
        <v>43166.80177083334</v>
      </c>
      <c r="C2632" t="n">
        <v>0</v>
      </c>
      <c r="D2632" t="n">
        <v>1</v>
      </c>
      <c r="E2632" t="s">
        <v>2634</v>
      </c>
      <c r="F2632" t="s"/>
      <c r="G2632" t="s"/>
      <c r="H2632" t="s"/>
      <c r="I2632" t="s"/>
      <c r="J2632" t="n">
        <v>-0.8419</v>
      </c>
      <c r="K2632" t="n">
        <v>0.333</v>
      </c>
      <c r="L2632" t="n">
        <v>0.579</v>
      </c>
      <c r="M2632" t="n">
        <v>0.08799999999999999</v>
      </c>
    </row>
    <row r="2633" spans="1:13">
      <c r="A2633" s="1">
        <f>HYPERLINK("http://www.twitter.com/NathanBLawrence/status/971464097698066433", "971464097698066433")</f>
        <v/>
      </c>
      <c r="B2633" s="2" t="n">
        <v>43166.80166666667</v>
      </c>
      <c r="C2633" t="n">
        <v>0</v>
      </c>
      <c r="D2633" t="n">
        <v>0</v>
      </c>
      <c r="E2633" t="s">
        <v>2635</v>
      </c>
      <c r="F2633" t="s"/>
      <c r="G2633" t="s"/>
      <c r="H2633" t="s"/>
      <c r="I2633" t="s"/>
      <c r="J2633" t="n">
        <v>0.0772</v>
      </c>
      <c r="K2633" t="n">
        <v>0</v>
      </c>
      <c r="L2633" t="n">
        <v>0.925</v>
      </c>
      <c r="M2633" t="n">
        <v>0.075</v>
      </c>
    </row>
    <row r="2634" spans="1:13">
      <c r="A2634" s="1">
        <f>HYPERLINK("http://www.twitter.com/NathanBLawrence/status/971463604565430272", "971463604565430272")</f>
        <v/>
      </c>
      <c r="B2634" s="2" t="n">
        <v>43166.80030092593</v>
      </c>
      <c r="C2634" t="n">
        <v>0</v>
      </c>
      <c r="D2634" t="n">
        <v>0</v>
      </c>
      <c r="E2634" t="s">
        <v>2636</v>
      </c>
      <c r="F2634" t="s"/>
      <c r="G2634" t="s"/>
      <c r="H2634" t="s"/>
      <c r="I2634" t="s"/>
      <c r="J2634" t="n">
        <v>0.5696</v>
      </c>
      <c r="K2634" t="n">
        <v>0</v>
      </c>
      <c r="L2634" t="n">
        <v>0.914</v>
      </c>
      <c r="M2634" t="n">
        <v>0.08599999999999999</v>
      </c>
    </row>
    <row r="2635" spans="1:13">
      <c r="A2635" s="1">
        <f>HYPERLINK("http://www.twitter.com/NathanBLawrence/status/971462491422232577", "971462491422232577")</f>
        <v/>
      </c>
      <c r="B2635" s="2" t="n">
        <v>43166.79723379629</v>
      </c>
      <c r="C2635" t="n">
        <v>0</v>
      </c>
      <c r="D2635" t="n">
        <v>1</v>
      </c>
      <c r="E2635" t="s">
        <v>2637</v>
      </c>
      <c r="F2635" t="s"/>
      <c r="G2635" t="s"/>
      <c r="H2635" t="s"/>
      <c r="I2635" t="s"/>
      <c r="J2635" t="n">
        <v>-0.4003</v>
      </c>
      <c r="K2635" t="n">
        <v>0.119</v>
      </c>
      <c r="L2635" t="n">
        <v>0.881</v>
      </c>
      <c r="M2635" t="n">
        <v>0</v>
      </c>
    </row>
    <row r="2636" spans="1:13">
      <c r="A2636" s="1">
        <f>HYPERLINK("http://www.twitter.com/NathanBLawrence/status/971462403497095168", "971462403497095168")</f>
        <v/>
      </c>
      <c r="B2636" s="2" t="n">
        <v>43166.79699074074</v>
      </c>
      <c r="C2636" t="n">
        <v>0</v>
      </c>
      <c r="D2636" t="n">
        <v>0</v>
      </c>
      <c r="E2636" t="s">
        <v>2638</v>
      </c>
      <c r="F2636" t="s"/>
      <c r="G2636" t="s"/>
      <c r="H2636" t="s"/>
      <c r="I2636" t="s"/>
      <c r="J2636" t="n">
        <v>0.2144</v>
      </c>
      <c r="K2636" t="n">
        <v>0</v>
      </c>
      <c r="L2636" t="n">
        <v>0.919</v>
      </c>
      <c r="M2636" t="n">
        <v>0.081</v>
      </c>
    </row>
    <row r="2637" spans="1:13">
      <c r="A2637" s="1">
        <f>HYPERLINK("http://www.twitter.com/NathanBLawrence/status/971461821357019136", "971461821357019136")</f>
        <v/>
      </c>
      <c r="B2637" s="2" t="n">
        <v>43166.79538194444</v>
      </c>
      <c r="C2637" t="n">
        <v>0</v>
      </c>
      <c r="D2637" t="n">
        <v>0</v>
      </c>
      <c r="E2637" t="s">
        <v>2639</v>
      </c>
      <c r="F2637" t="s"/>
      <c r="G2637" t="s"/>
      <c r="H2637" t="s"/>
      <c r="I2637" t="s"/>
      <c r="J2637" t="n">
        <v>0.5251</v>
      </c>
      <c r="K2637" t="n">
        <v>0</v>
      </c>
      <c r="L2637" t="n">
        <v>0.866</v>
      </c>
      <c r="M2637" t="n">
        <v>0.134</v>
      </c>
    </row>
    <row r="2638" spans="1:13">
      <c r="A2638" s="1">
        <f>HYPERLINK("http://www.twitter.com/NathanBLawrence/status/971461410508230663", "971461410508230663")</f>
        <v/>
      </c>
      <c r="B2638" s="2" t="n">
        <v>43166.79424768518</v>
      </c>
      <c r="C2638" t="n">
        <v>0</v>
      </c>
      <c r="D2638" t="n">
        <v>3</v>
      </c>
      <c r="E2638" t="s">
        <v>2640</v>
      </c>
      <c r="F2638" t="s"/>
      <c r="G2638" t="s"/>
      <c r="H2638" t="s"/>
      <c r="I2638" t="s"/>
      <c r="J2638" t="n">
        <v>0.6249</v>
      </c>
      <c r="K2638" t="n">
        <v>0</v>
      </c>
      <c r="L2638" t="n">
        <v>0.758</v>
      </c>
      <c r="M2638" t="n">
        <v>0.242</v>
      </c>
    </row>
    <row r="2639" spans="1:13">
      <c r="A2639" s="1">
        <f>HYPERLINK("http://www.twitter.com/NathanBLawrence/status/971459927704252416", "971459927704252416")</f>
        <v/>
      </c>
      <c r="B2639" s="2" t="n">
        <v>43166.79016203704</v>
      </c>
      <c r="C2639" t="n">
        <v>0</v>
      </c>
      <c r="D2639" t="n">
        <v>0</v>
      </c>
      <c r="E2639" t="s">
        <v>2641</v>
      </c>
      <c r="F2639" t="s"/>
      <c r="G2639" t="s"/>
      <c r="H2639" t="s"/>
      <c r="I2639" t="s"/>
      <c r="J2639" t="n">
        <v>0.802</v>
      </c>
      <c r="K2639" t="n">
        <v>0.074</v>
      </c>
      <c r="L2639" t="n">
        <v>0.641</v>
      </c>
      <c r="M2639" t="n">
        <v>0.285</v>
      </c>
    </row>
    <row r="2640" spans="1:13">
      <c r="A2640" s="1">
        <f>HYPERLINK("http://www.twitter.com/NathanBLawrence/status/971458240134418432", "971458240134418432")</f>
        <v/>
      </c>
      <c r="B2640" s="2" t="n">
        <v>43166.78549768519</v>
      </c>
      <c r="C2640" t="n">
        <v>0</v>
      </c>
      <c r="D2640" t="n">
        <v>1</v>
      </c>
      <c r="E2640" t="s">
        <v>2642</v>
      </c>
      <c r="F2640" t="s"/>
      <c r="G2640" t="s"/>
      <c r="H2640" t="s"/>
      <c r="I2640" t="s"/>
      <c r="J2640" t="n">
        <v>0.3612</v>
      </c>
      <c r="K2640" t="n">
        <v>0</v>
      </c>
      <c r="L2640" t="n">
        <v>0.884</v>
      </c>
      <c r="M2640" t="n">
        <v>0.116</v>
      </c>
    </row>
    <row r="2641" spans="1:13">
      <c r="A2641" s="1">
        <f>HYPERLINK("http://www.twitter.com/NathanBLawrence/status/971458226943340544", "971458226943340544")</f>
        <v/>
      </c>
      <c r="B2641" s="2" t="n">
        <v>43166.78546296297</v>
      </c>
      <c r="C2641" t="n">
        <v>1</v>
      </c>
      <c r="D2641" t="n">
        <v>0</v>
      </c>
      <c r="E2641" t="s">
        <v>2643</v>
      </c>
      <c r="F2641" t="s"/>
      <c r="G2641" t="s"/>
      <c r="H2641" t="s"/>
      <c r="I2641" t="s"/>
      <c r="J2641" t="n">
        <v>0.3612</v>
      </c>
      <c r="K2641" t="n">
        <v>0</v>
      </c>
      <c r="L2641" t="n">
        <v>0.8149999999999999</v>
      </c>
      <c r="M2641" t="n">
        <v>0.185</v>
      </c>
    </row>
    <row r="2642" spans="1:13">
      <c r="A2642" s="1">
        <f>HYPERLINK("http://www.twitter.com/NathanBLawrence/status/971454733234864128", "971454733234864128")</f>
        <v/>
      </c>
      <c r="B2642" s="2" t="n">
        <v>43166.77582175926</v>
      </c>
      <c r="C2642" t="n">
        <v>0</v>
      </c>
      <c r="D2642" t="n">
        <v>0</v>
      </c>
      <c r="E2642" t="s">
        <v>2644</v>
      </c>
      <c r="F2642" t="s"/>
      <c r="G2642" t="s"/>
      <c r="H2642" t="s"/>
      <c r="I2642" t="s"/>
      <c r="J2642" t="n">
        <v>0.4767</v>
      </c>
      <c r="K2642" t="n">
        <v>0</v>
      </c>
      <c r="L2642" t="n">
        <v>0.846</v>
      </c>
      <c r="M2642" t="n">
        <v>0.154</v>
      </c>
    </row>
    <row r="2643" spans="1:13">
      <c r="A2643" s="1">
        <f>HYPERLINK("http://www.twitter.com/NathanBLawrence/status/971452480340025345", "971452480340025345")</f>
        <v/>
      </c>
      <c r="B2643" s="2" t="n">
        <v>43166.76960648148</v>
      </c>
      <c r="C2643" t="n">
        <v>1</v>
      </c>
      <c r="D2643" t="n">
        <v>0</v>
      </c>
      <c r="E2643" t="s">
        <v>2645</v>
      </c>
      <c r="F2643" t="s"/>
      <c r="G2643" t="s"/>
      <c r="H2643" t="s"/>
      <c r="I2643" t="s"/>
      <c r="J2643" t="n">
        <v>-0.7003</v>
      </c>
      <c r="K2643" t="n">
        <v>0.364</v>
      </c>
      <c r="L2643" t="n">
        <v>0.492</v>
      </c>
      <c r="M2643" t="n">
        <v>0.144</v>
      </c>
    </row>
    <row r="2644" spans="1:13">
      <c r="A2644" s="1">
        <f>HYPERLINK("http://www.twitter.com/NathanBLawrence/status/971436122017599495", "971436122017599495")</f>
        <v/>
      </c>
      <c r="B2644" s="2" t="n">
        <v>43166.72446759259</v>
      </c>
      <c r="C2644" t="n">
        <v>0</v>
      </c>
      <c r="D2644" t="n">
        <v>55</v>
      </c>
      <c r="E2644" t="s">
        <v>2646</v>
      </c>
      <c r="F2644" t="s"/>
      <c r="G2644" t="s"/>
      <c r="H2644" t="s"/>
      <c r="I2644" t="s"/>
      <c r="J2644" t="n">
        <v>0.4003</v>
      </c>
      <c r="K2644" t="n">
        <v>0</v>
      </c>
      <c r="L2644" t="n">
        <v>0.839</v>
      </c>
      <c r="M2644" t="n">
        <v>0.161</v>
      </c>
    </row>
    <row r="2645" spans="1:13">
      <c r="A2645" s="1">
        <f>HYPERLINK("http://www.twitter.com/NathanBLawrence/status/971436007483695104", "971436007483695104")</f>
        <v/>
      </c>
      <c r="B2645" s="2" t="n">
        <v>43166.72415509259</v>
      </c>
      <c r="C2645" t="n">
        <v>3</v>
      </c>
      <c r="D2645" t="n">
        <v>0</v>
      </c>
      <c r="E2645" t="s">
        <v>2647</v>
      </c>
      <c r="F2645" t="s"/>
      <c r="G2645" t="s"/>
      <c r="H2645" t="s"/>
      <c r="I2645" t="s"/>
      <c r="J2645" t="n">
        <v>0</v>
      </c>
      <c r="K2645" t="n">
        <v>0</v>
      </c>
      <c r="L2645" t="n">
        <v>1</v>
      </c>
      <c r="M2645" t="n">
        <v>0</v>
      </c>
    </row>
    <row r="2646" spans="1:13">
      <c r="A2646" s="1">
        <f>HYPERLINK("http://www.twitter.com/NathanBLawrence/status/971203991878225920", "971203991878225920")</f>
        <v/>
      </c>
      <c r="B2646" s="2" t="n">
        <v>43166.08391203704</v>
      </c>
      <c r="C2646" t="n">
        <v>1</v>
      </c>
      <c r="D2646" t="n">
        <v>0</v>
      </c>
      <c r="E2646" t="s">
        <v>2648</v>
      </c>
      <c r="F2646" t="s"/>
      <c r="G2646" t="s"/>
      <c r="H2646" t="s"/>
      <c r="I2646" t="s"/>
      <c r="J2646" t="n">
        <v>0.8319</v>
      </c>
      <c r="K2646" t="n">
        <v>0</v>
      </c>
      <c r="L2646" t="n">
        <v>0.705</v>
      </c>
      <c r="M2646" t="n">
        <v>0.295</v>
      </c>
    </row>
    <row r="2647" spans="1:13">
      <c r="A2647" s="1">
        <f>HYPERLINK("http://www.twitter.com/NathanBLawrence/status/971202667556032512", "971202667556032512")</f>
        <v/>
      </c>
      <c r="B2647" s="2" t="n">
        <v>43166.08025462963</v>
      </c>
      <c r="C2647" t="n">
        <v>1</v>
      </c>
      <c r="D2647" t="n">
        <v>0</v>
      </c>
      <c r="E2647" t="s">
        <v>2649</v>
      </c>
      <c r="F2647" t="s"/>
      <c r="G2647" t="s"/>
      <c r="H2647" t="s"/>
      <c r="I2647" t="s"/>
      <c r="J2647" t="n">
        <v>0</v>
      </c>
      <c r="K2647" t="n">
        <v>0</v>
      </c>
      <c r="L2647" t="n">
        <v>1</v>
      </c>
      <c r="M2647" t="n">
        <v>0</v>
      </c>
    </row>
    <row r="2648" spans="1:13">
      <c r="A2648" s="1">
        <f>HYPERLINK("http://www.twitter.com/NathanBLawrence/status/971202609607577600", "971202609607577600")</f>
        <v/>
      </c>
      <c r="B2648" s="2" t="n">
        <v>43166.08009259259</v>
      </c>
      <c r="C2648" t="n">
        <v>1</v>
      </c>
      <c r="D2648" t="n">
        <v>0</v>
      </c>
      <c r="E2648" t="s">
        <v>2650</v>
      </c>
      <c r="F2648" t="s"/>
      <c r="G2648" t="s"/>
      <c r="H2648" t="s"/>
      <c r="I2648" t="s"/>
      <c r="J2648" t="n">
        <v>0.4184</v>
      </c>
      <c r="K2648" t="n">
        <v>0</v>
      </c>
      <c r="L2648" t="n">
        <v>0.519</v>
      </c>
      <c r="M2648" t="n">
        <v>0.481</v>
      </c>
    </row>
    <row r="2649" spans="1:13">
      <c r="A2649" s="1">
        <f>HYPERLINK("http://www.twitter.com/NathanBLawrence/status/971202578989158408", "971202578989158408")</f>
        <v/>
      </c>
      <c r="B2649" s="2" t="n">
        <v>43166.08001157407</v>
      </c>
      <c r="C2649" t="n">
        <v>0</v>
      </c>
      <c r="D2649" t="n">
        <v>1</v>
      </c>
      <c r="E2649" t="s">
        <v>2651</v>
      </c>
      <c r="F2649" t="s"/>
      <c r="G2649" t="s"/>
      <c r="H2649" t="s"/>
      <c r="I2649" t="s"/>
      <c r="J2649" t="n">
        <v>0</v>
      </c>
      <c r="K2649" t="n">
        <v>0</v>
      </c>
      <c r="L2649" t="n">
        <v>1</v>
      </c>
      <c r="M2649" t="n">
        <v>0</v>
      </c>
    </row>
    <row r="2650" spans="1:13">
      <c r="A2650" s="1">
        <f>HYPERLINK("http://www.twitter.com/NathanBLawrence/status/971202533220913158", "971202533220913158")</f>
        <v/>
      </c>
      <c r="B2650" s="2" t="n">
        <v>43166.07988425926</v>
      </c>
      <c r="C2650" t="n">
        <v>0</v>
      </c>
      <c r="D2650" t="n">
        <v>0</v>
      </c>
      <c r="E2650" t="s">
        <v>2652</v>
      </c>
      <c r="F2650" t="s"/>
      <c r="G2650" t="s"/>
      <c r="H2650" t="s"/>
      <c r="I2650" t="s"/>
      <c r="J2650" t="n">
        <v>-0.5423</v>
      </c>
      <c r="K2650" t="n">
        <v>0.259</v>
      </c>
      <c r="L2650" t="n">
        <v>0.741</v>
      </c>
      <c r="M2650" t="n">
        <v>0</v>
      </c>
    </row>
    <row r="2651" spans="1:13">
      <c r="A2651" s="1">
        <f>HYPERLINK("http://www.twitter.com/NathanBLawrence/status/971202282493808645", "971202282493808645")</f>
        <v/>
      </c>
      <c r="B2651" s="2" t="n">
        <v>43166.07918981482</v>
      </c>
      <c r="C2651" t="n">
        <v>0</v>
      </c>
      <c r="D2651" t="n">
        <v>1</v>
      </c>
      <c r="E2651" t="s">
        <v>2653</v>
      </c>
      <c r="F2651" t="s"/>
      <c r="G2651" t="s"/>
      <c r="H2651" t="s"/>
      <c r="I2651" t="s"/>
      <c r="J2651" t="n">
        <v>0.5499000000000001</v>
      </c>
      <c r="K2651" t="n">
        <v>0</v>
      </c>
      <c r="L2651" t="n">
        <v>0.861</v>
      </c>
      <c r="M2651" t="n">
        <v>0.139</v>
      </c>
    </row>
    <row r="2652" spans="1:13">
      <c r="A2652" s="1">
        <f>HYPERLINK("http://www.twitter.com/NathanBLawrence/status/971202234716475392", "971202234716475392")</f>
        <v/>
      </c>
      <c r="B2652" s="2" t="n">
        <v>43166.0790625</v>
      </c>
      <c r="C2652" t="n">
        <v>1</v>
      </c>
      <c r="D2652" t="n">
        <v>0</v>
      </c>
      <c r="E2652" t="s">
        <v>2654</v>
      </c>
      <c r="F2652" t="s"/>
      <c r="G2652" t="s"/>
      <c r="H2652" t="s"/>
      <c r="I2652" t="s"/>
      <c r="J2652" t="n">
        <v>0.4215</v>
      </c>
      <c r="K2652" t="n">
        <v>0</v>
      </c>
      <c r="L2652" t="n">
        <v>0.797</v>
      </c>
      <c r="M2652" t="n">
        <v>0.203</v>
      </c>
    </row>
    <row r="2653" spans="1:13">
      <c r="A2653" s="1">
        <f>HYPERLINK("http://www.twitter.com/NathanBLawrence/status/971202068433293312", "971202068433293312")</f>
        <v/>
      </c>
      <c r="B2653" s="2" t="n">
        <v>43166.07859953704</v>
      </c>
      <c r="C2653" t="n">
        <v>0</v>
      </c>
      <c r="D2653" t="n">
        <v>4</v>
      </c>
      <c r="E2653" t="s">
        <v>2655</v>
      </c>
      <c r="F2653" t="s"/>
      <c r="G2653" t="s"/>
      <c r="H2653" t="s"/>
      <c r="I2653" t="s"/>
      <c r="J2653" t="n">
        <v>0</v>
      </c>
      <c r="K2653" t="n">
        <v>0</v>
      </c>
      <c r="L2653" t="n">
        <v>1</v>
      </c>
      <c r="M2653" t="n">
        <v>0</v>
      </c>
    </row>
    <row r="2654" spans="1:13">
      <c r="A2654" s="1">
        <f>HYPERLINK("http://www.twitter.com/NathanBLawrence/status/971201988930260992", "971201988930260992")</f>
        <v/>
      </c>
      <c r="B2654" s="2" t="n">
        <v>43166.07837962963</v>
      </c>
      <c r="C2654" t="n">
        <v>1</v>
      </c>
      <c r="D2654" t="n">
        <v>0</v>
      </c>
      <c r="E2654" t="s">
        <v>2656</v>
      </c>
      <c r="F2654" t="s"/>
      <c r="G2654" t="s"/>
      <c r="H2654" t="s"/>
      <c r="I2654" t="s"/>
      <c r="J2654" t="n">
        <v>0</v>
      </c>
      <c r="K2654" t="n">
        <v>0</v>
      </c>
      <c r="L2654" t="n">
        <v>1</v>
      </c>
      <c r="M2654" t="n">
        <v>0</v>
      </c>
    </row>
    <row r="2655" spans="1:13">
      <c r="A2655" s="1">
        <f>HYPERLINK("http://www.twitter.com/NathanBLawrence/status/971201924463824896", "971201924463824896")</f>
        <v/>
      </c>
      <c r="B2655" s="2" t="n">
        <v>43166.07820601852</v>
      </c>
      <c r="C2655" t="n">
        <v>0</v>
      </c>
      <c r="D2655" t="n">
        <v>1</v>
      </c>
      <c r="E2655" t="s">
        <v>2657</v>
      </c>
      <c r="F2655" t="s"/>
      <c r="G2655" t="s"/>
      <c r="H2655" t="s"/>
      <c r="I2655" t="s"/>
      <c r="J2655" t="n">
        <v>-0.4939</v>
      </c>
      <c r="K2655" t="n">
        <v>0.309</v>
      </c>
      <c r="L2655" t="n">
        <v>0.5620000000000001</v>
      </c>
      <c r="M2655" t="n">
        <v>0.129</v>
      </c>
    </row>
    <row r="2656" spans="1:13">
      <c r="A2656" s="1">
        <f>HYPERLINK("http://www.twitter.com/NathanBLawrence/status/971201378864582656", "971201378864582656")</f>
        <v/>
      </c>
      <c r="B2656" s="2" t="n">
        <v>43166.07670138889</v>
      </c>
      <c r="C2656" t="n">
        <v>0</v>
      </c>
      <c r="D2656" t="n">
        <v>2</v>
      </c>
      <c r="E2656" t="s">
        <v>2658</v>
      </c>
      <c r="F2656" t="s"/>
      <c r="G2656" t="s"/>
      <c r="H2656" t="s"/>
      <c r="I2656" t="s"/>
      <c r="J2656" t="n">
        <v>-0.4005</v>
      </c>
      <c r="K2656" t="n">
        <v>0.272</v>
      </c>
      <c r="L2656" t="n">
        <v>0.582</v>
      </c>
      <c r="M2656" t="n">
        <v>0.146</v>
      </c>
    </row>
    <row r="2657" spans="1:13">
      <c r="A2657" s="1">
        <f>HYPERLINK("http://www.twitter.com/NathanBLawrence/status/971201176891949056", "971201176891949056")</f>
        <v/>
      </c>
      <c r="B2657" s="2" t="n">
        <v>43166.07614583334</v>
      </c>
      <c r="C2657" t="n">
        <v>0</v>
      </c>
      <c r="D2657" t="n">
        <v>1</v>
      </c>
      <c r="E2657" t="s">
        <v>2659</v>
      </c>
      <c r="F2657" t="s"/>
      <c r="G2657" t="s"/>
      <c r="H2657" t="s"/>
      <c r="I2657" t="s"/>
      <c r="J2657" t="n">
        <v>0.2585</v>
      </c>
      <c r="K2657" t="n">
        <v>0</v>
      </c>
      <c r="L2657" t="n">
        <v>0.922</v>
      </c>
      <c r="M2657" t="n">
        <v>0.078</v>
      </c>
    </row>
    <row r="2658" spans="1:13">
      <c r="A2658" s="1">
        <f>HYPERLINK("http://www.twitter.com/NathanBLawrence/status/971201086810927104", "971201086810927104")</f>
        <v/>
      </c>
      <c r="B2658" s="2" t="n">
        <v>43166.07589120371</v>
      </c>
      <c r="C2658" t="n">
        <v>0</v>
      </c>
      <c r="D2658" t="n">
        <v>0</v>
      </c>
      <c r="E2658" t="s">
        <v>2660</v>
      </c>
      <c r="F2658" t="s"/>
      <c r="G2658" t="s"/>
      <c r="H2658" t="s"/>
      <c r="I2658" t="s"/>
      <c r="J2658" t="n">
        <v>0.3182</v>
      </c>
      <c r="K2658" t="n">
        <v>0</v>
      </c>
      <c r="L2658" t="n">
        <v>0.827</v>
      </c>
      <c r="M2658" t="n">
        <v>0.173</v>
      </c>
    </row>
    <row r="2659" spans="1:13">
      <c r="A2659" s="1">
        <f>HYPERLINK("http://www.twitter.com/NathanBLawrence/status/971200098075054080", "971200098075054080")</f>
        <v/>
      </c>
      <c r="B2659" s="2" t="n">
        <v>43166.0731712963</v>
      </c>
      <c r="C2659" t="n">
        <v>0</v>
      </c>
      <c r="D2659" t="n">
        <v>0</v>
      </c>
      <c r="E2659" t="s">
        <v>2661</v>
      </c>
      <c r="F2659" t="s"/>
      <c r="G2659" t="s"/>
      <c r="H2659" t="s"/>
      <c r="I2659" t="s"/>
      <c r="J2659" t="n">
        <v>0.7269</v>
      </c>
      <c r="K2659" t="n">
        <v>0</v>
      </c>
      <c r="L2659" t="n">
        <v>0.496</v>
      </c>
      <c r="M2659" t="n">
        <v>0.504</v>
      </c>
    </row>
    <row r="2660" spans="1:13">
      <c r="A2660" s="1">
        <f>HYPERLINK("http://www.twitter.com/NathanBLawrence/status/971198957845188608", "971198957845188608")</f>
        <v/>
      </c>
      <c r="B2660" s="2" t="n">
        <v>43166.07002314815</v>
      </c>
      <c r="C2660" t="n">
        <v>11</v>
      </c>
      <c r="D2660" t="n">
        <v>1</v>
      </c>
      <c r="E2660" t="s">
        <v>2662</v>
      </c>
      <c r="F2660" t="s"/>
      <c r="G2660" t="s"/>
      <c r="H2660" t="s"/>
      <c r="I2660" t="s"/>
      <c r="J2660" t="n">
        <v>0.7096</v>
      </c>
      <c r="K2660" t="n">
        <v>0.106</v>
      </c>
      <c r="L2660" t="n">
        <v>0.573</v>
      </c>
      <c r="M2660" t="n">
        <v>0.322</v>
      </c>
    </row>
    <row r="2661" spans="1:13">
      <c r="A2661" s="1">
        <f>HYPERLINK("http://www.twitter.com/NathanBLawrence/status/971196074135302145", "971196074135302145")</f>
        <v/>
      </c>
      <c r="B2661" s="2" t="n">
        <v>43166.06206018518</v>
      </c>
      <c r="C2661" t="n">
        <v>0</v>
      </c>
      <c r="D2661" t="n">
        <v>0</v>
      </c>
      <c r="E2661" t="s">
        <v>2663</v>
      </c>
      <c r="F2661" t="s"/>
      <c r="G2661" t="s"/>
      <c r="H2661" t="s"/>
      <c r="I2661" t="s"/>
      <c r="J2661" t="n">
        <v>0</v>
      </c>
      <c r="K2661" t="n">
        <v>0</v>
      </c>
      <c r="L2661" t="n">
        <v>1</v>
      </c>
      <c r="M2661" t="n">
        <v>0</v>
      </c>
    </row>
    <row r="2662" spans="1:13">
      <c r="A2662" s="1">
        <f>HYPERLINK("http://www.twitter.com/NathanBLawrence/status/971195918216257536", "971195918216257536")</f>
        <v/>
      </c>
      <c r="B2662" s="2" t="n">
        <v>43166.06163194445</v>
      </c>
      <c r="C2662" t="n">
        <v>0</v>
      </c>
      <c r="D2662" t="n">
        <v>0</v>
      </c>
      <c r="E2662" t="s">
        <v>2664</v>
      </c>
      <c r="F2662" t="s"/>
      <c r="G2662" t="s"/>
      <c r="H2662" t="s"/>
      <c r="I2662" t="s"/>
      <c r="J2662" t="n">
        <v>0.6705</v>
      </c>
      <c r="K2662" t="n">
        <v>0.054</v>
      </c>
      <c r="L2662" t="n">
        <v>0.782</v>
      </c>
      <c r="M2662" t="n">
        <v>0.164</v>
      </c>
    </row>
    <row r="2663" spans="1:13">
      <c r="A2663" s="1">
        <f>HYPERLINK("http://www.twitter.com/NathanBLawrence/status/971193546001797120", "971193546001797120")</f>
        <v/>
      </c>
      <c r="B2663" s="2" t="n">
        <v>43166.05508101852</v>
      </c>
      <c r="C2663" t="n">
        <v>0</v>
      </c>
      <c r="D2663" t="n">
        <v>0</v>
      </c>
      <c r="E2663" t="s">
        <v>2665</v>
      </c>
      <c r="F2663" t="s"/>
      <c r="G2663" t="s"/>
      <c r="H2663" t="s"/>
      <c r="I2663" t="s"/>
      <c r="J2663" t="n">
        <v>0</v>
      </c>
      <c r="K2663" t="n">
        <v>0</v>
      </c>
      <c r="L2663" t="n">
        <v>1</v>
      </c>
      <c r="M2663" t="n">
        <v>0</v>
      </c>
    </row>
    <row r="2664" spans="1:13">
      <c r="A2664" s="1">
        <f>HYPERLINK("http://www.twitter.com/NathanBLawrence/status/971193352451485698", "971193352451485698")</f>
        <v/>
      </c>
      <c r="B2664" s="2" t="n">
        <v>43166.05454861111</v>
      </c>
      <c r="C2664" t="n">
        <v>0</v>
      </c>
      <c r="D2664" t="n">
        <v>0</v>
      </c>
      <c r="E2664" t="s">
        <v>2666</v>
      </c>
      <c r="F2664" t="s"/>
      <c r="G2664" t="s"/>
      <c r="H2664" t="s"/>
      <c r="I2664" t="s"/>
      <c r="J2664" t="n">
        <v>-0.4215</v>
      </c>
      <c r="K2664" t="n">
        <v>0.483</v>
      </c>
      <c r="L2664" t="n">
        <v>0.517</v>
      </c>
      <c r="M2664" t="n">
        <v>0</v>
      </c>
    </row>
    <row r="2665" spans="1:13">
      <c r="A2665" s="1">
        <f>HYPERLINK("http://www.twitter.com/NathanBLawrence/status/971193153712771072", "971193153712771072")</f>
        <v/>
      </c>
      <c r="B2665" s="2" t="n">
        <v>43166.05400462963</v>
      </c>
      <c r="C2665" t="n">
        <v>0</v>
      </c>
      <c r="D2665" t="n">
        <v>1</v>
      </c>
      <c r="E2665" t="s">
        <v>2667</v>
      </c>
      <c r="F2665" t="s"/>
      <c r="G2665" t="s"/>
      <c r="H2665" t="s"/>
      <c r="I2665" t="s"/>
      <c r="J2665" t="n">
        <v>-0.1531</v>
      </c>
      <c r="K2665" t="n">
        <v>0.091</v>
      </c>
      <c r="L2665" t="n">
        <v>0.909</v>
      </c>
      <c r="M2665" t="n">
        <v>0</v>
      </c>
    </row>
    <row r="2666" spans="1:13">
      <c r="A2666" s="1">
        <f>HYPERLINK("http://www.twitter.com/NathanBLawrence/status/971193126235852801", "971193126235852801")</f>
        <v/>
      </c>
      <c r="B2666" s="2" t="n">
        <v>43166.05392361111</v>
      </c>
      <c r="C2666" t="n">
        <v>0</v>
      </c>
      <c r="D2666" t="n">
        <v>0</v>
      </c>
      <c r="E2666" t="s">
        <v>2668</v>
      </c>
      <c r="F2666" t="s"/>
      <c r="G2666" t="s"/>
      <c r="H2666" t="s"/>
      <c r="I2666" t="s"/>
      <c r="J2666" t="n">
        <v>-0.5859</v>
      </c>
      <c r="K2666" t="n">
        <v>0.487</v>
      </c>
      <c r="L2666" t="n">
        <v>0.513</v>
      </c>
      <c r="M2666" t="n">
        <v>0</v>
      </c>
    </row>
    <row r="2667" spans="1:13">
      <c r="A2667" s="1">
        <f>HYPERLINK("http://www.twitter.com/NathanBLawrence/status/971186175565271041", "971186175565271041")</f>
        <v/>
      </c>
      <c r="B2667" s="2" t="n">
        <v>43166.03474537037</v>
      </c>
      <c r="C2667" t="n">
        <v>0</v>
      </c>
      <c r="D2667" t="n">
        <v>0</v>
      </c>
      <c r="E2667" t="s">
        <v>2669</v>
      </c>
      <c r="F2667" t="s"/>
      <c r="G2667" t="s"/>
      <c r="H2667" t="s"/>
      <c r="I2667" t="s"/>
      <c r="J2667" t="n">
        <v>0</v>
      </c>
      <c r="K2667" t="n">
        <v>0</v>
      </c>
      <c r="L2667" t="n">
        <v>1</v>
      </c>
      <c r="M2667" t="n">
        <v>0</v>
      </c>
    </row>
    <row r="2668" spans="1:13">
      <c r="A2668" s="1">
        <f>HYPERLINK("http://www.twitter.com/NathanBLawrence/status/971185796677029888", "971185796677029888")</f>
        <v/>
      </c>
      <c r="B2668" s="2" t="n">
        <v>43166.0337037037</v>
      </c>
      <c r="C2668" t="n">
        <v>1</v>
      </c>
      <c r="D2668" t="n">
        <v>0</v>
      </c>
      <c r="E2668" t="s">
        <v>2670</v>
      </c>
      <c r="F2668" t="s"/>
      <c r="G2668" t="s"/>
      <c r="H2668" t="s"/>
      <c r="I2668" t="s"/>
      <c r="J2668" t="n">
        <v>-0.4588</v>
      </c>
      <c r="K2668" t="n">
        <v>0.333</v>
      </c>
      <c r="L2668" t="n">
        <v>0.667</v>
      </c>
      <c r="M2668" t="n">
        <v>0</v>
      </c>
    </row>
    <row r="2669" spans="1:13">
      <c r="A2669" s="1">
        <f>HYPERLINK("http://www.twitter.com/NathanBLawrence/status/971185365666140162", "971185365666140162")</f>
        <v/>
      </c>
      <c r="B2669" s="2" t="n">
        <v>43166.03251157407</v>
      </c>
      <c r="C2669" t="n">
        <v>0</v>
      </c>
      <c r="D2669" t="n">
        <v>10</v>
      </c>
      <c r="E2669" t="s">
        <v>2671</v>
      </c>
      <c r="F2669">
        <f>HYPERLINK("http://pbs.twimg.com/media/DWl9UqRU8AAMsIL.jpg", "http://pbs.twimg.com/media/DWl9UqRU8AAMsIL.jpg")</f>
        <v/>
      </c>
      <c r="G2669">
        <f>HYPERLINK("http://pbs.twimg.com/media/DWl9VI6VMAAWM1O.jpg", "http://pbs.twimg.com/media/DWl9VI6VMAAWM1O.jpg")</f>
        <v/>
      </c>
      <c r="H2669" t="s"/>
      <c r="I2669" t="s"/>
      <c r="J2669" t="n">
        <v>0.6597</v>
      </c>
      <c r="K2669" t="n">
        <v>0</v>
      </c>
      <c r="L2669" t="n">
        <v>0.787</v>
      </c>
      <c r="M2669" t="n">
        <v>0.213</v>
      </c>
    </row>
    <row r="2670" spans="1:13">
      <c r="A2670" s="1">
        <f>HYPERLINK("http://www.twitter.com/NathanBLawrence/status/971185304114794497", "971185304114794497")</f>
        <v/>
      </c>
      <c r="B2670" s="2" t="n">
        <v>43166.03233796296</v>
      </c>
      <c r="C2670" t="n">
        <v>0</v>
      </c>
      <c r="D2670" t="n">
        <v>3</v>
      </c>
      <c r="E2670" t="s">
        <v>2672</v>
      </c>
      <c r="F2670">
        <f>HYPERLINK("https://video.twimg.com/ext_tw_video/966750102403493889/pu/vid/640x360/VrbNXclB5uW_Kvcs.mp4", "https://video.twimg.com/ext_tw_video/966750102403493889/pu/vid/640x360/VrbNXclB5uW_Kvcs.mp4")</f>
        <v/>
      </c>
      <c r="G2670" t="s"/>
      <c r="H2670" t="s"/>
      <c r="I2670" t="s"/>
      <c r="J2670" t="n">
        <v>-0.4767</v>
      </c>
      <c r="K2670" t="n">
        <v>0.124</v>
      </c>
      <c r="L2670" t="n">
        <v>0.876</v>
      </c>
      <c r="M2670" t="n">
        <v>0</v>
      </c>
    </row>
    <row r="2671" spans="1:13">
      <c r="A2671" s="1">
        <f>HYPERLINK("http://www.twitter.com/NathanBLawrence/status/971185203518627840", "971185203518627840")</f>
        <v/>
      </c>
      <c r="B2671" s="2" t="n">
        <v>43166.03206018519</v>
      </c>
      <c r="C2671" t="n">
        <v>2</v>
      </c>
      <c r="D2671" t="n">
        <v>0</v>
      </c>
      <c r="E2671" t="s">
        <v>2673</v>
      </c>
      <c r="F2671" t="s"/>
      <c r="G2671" t="s"/>
      <c r="H2671" t="s"/>
      <c r="I2671" t="s"/>
      <c r="J2671" t="n">
        <v>-0.2023</v>
      </c>
      <c r="K2671" t="n">
        <v>0.067</v>
      </c>
      <c r="L2671" t="n">
        <v>0.9330000000000001</v>
      </c>
      <c r="M2671" t="n">
        <v>0</v>
      </c>
    </row>
    <row r="2672" spans="1:13">
      <c r="A2672" s="1">
        <f>HYPERLINK("http://www.twitter.com/NathanBLawrence/status/971184326107959296", "971184326107959296")</f>
        <v/>
      </c>
      <c r="B2672" s="2" t="n">
        <v>43166.02964120371</v>
      </c>
      <c r="C2672" t="n">
        <v>0</v>
      </c>
      <c r="D2672" t="n">
        <v>0</v>
      </c>
      <c r="E2672" t="s">
        <v>2674</v>
      </c>
      <c r="F2672" t="s"/>
      <c r="G2672" t="s"/>
      <c r="H2672" t="s"/>
      <c r="I2672" t="s"/>
      <c r="J2672" t="n">
        <v>0.4019</v>
      </c>
      <c r="K2672" t="n">
        <v>0</v>
      </c>
      <c r="L2672" t="n">
        <v>0.426</v>
      </c>
      <c r="M2672" t="n">
        <v>0.574</v>
      </c>
    </row>
    <row r="2673" spans="1:13">
      <c r="A2673" s="1">
        <f>HYPERLINK("http://www.twitter.com/NathanBLawrence/status/971183809109610496", "971183809109610496")</f>
        <v/>
      </c>
      <c r="B2673" s="2" t="n">
        <v>43166.02821759259</v>
      </c>
      <c r="C2673" t="n">
        <v>0</v>
      </c>
      <c r="D2673" t="n">
        <v>0</v>
      </c>
      <c r="E2673" t="s">
        <v>2675</v>
      </c>
      <c r="F2673" t="s"/>
      <c r="G2673" t="s"/>
      <c r="H2673" t="s"/>
      <c r="I2673" t="s"/>
      <c r="J2673" t="n">
        <v>0.5719</v>
      </c>
      <c r="K2673" t="n">
        <v>0</v>
      </c>
      <c r="L2673" t="n">
        <v>0.764</v>
      </c>
      <c r="M2673" t="n">
        <v>0.236</v>
      </c>
    </row>
    <row r="2674" spans="1:13">
      <c r="A2674" s="1">
        <f>HYPERLINK("http://www.twitter.com/NathanBLawrence/status/971183399753912320", "971183399753912320")</f>
        <v/>
      </c>
      <c r="B2674" s="2" t="n">
        <v>43166.02708333333</v>
      </c>
      <c r="C2674" t="n">
        <v>0</v>
      </c>
      <c r="D2674" t="n">
        <v>0</v>
      </c>
      <c r="E2674" t="s">
        <v>2676</v>
      </c>
      <c r="F2674" t="s"/>
      <c r="G2674" t="s"/>
      <c r="H2674" t="s"/>
      <c r="I2674" t="s"/>
      <c r="J2674" t="n">
        <v>0.3182</v>
      </c>
      <c r="K2674" t="n">
        <v>0.138</v>
      </c>
      <c r="L2674" t="n">
        <v>0.575</v>
      </c>
      <c r="M2674" t="n">
        <v>0.287</v>
      </c>
    </row>
    <row r="2675" spans="1:13">
      <c r="A2675" s="1">
        <f>HYPERLINK("http://www.twitter.com/NathanBLawrence/status/971182690404913153", "971182690404913153")</f>
        <v/>
      </c>
      <c r="B2675" s="2" t="n">
        <v>43166.02512731482</v>
      </c>
      <c r="C2675" t="n">
        <v>1</v>
      </c>
      <c r="D2675" t="n">
        <v>0</v>
      </c>
      <c r="E2675" t="s">
        <v>2677</v>
      </c>
      <c r="F2675" t="s"/>
      <c r="G2675" t="s"/>
      <c r="H2675" t="s"/>
      <c r="I2675" t="s"/>
      <c r="J2675" t="n">
        <v>0</v>
      </c>
      <c r="K2675" t="n">
        <v>0</v>
      </c>
      <c r="L2675" t="n">
        <v>1</v>
      </c>
      <c r="M2675" t="n">
        <v>0</v>
      </c>
    </row>
    <row r="2676" spans="1:13">
      <c r="A2676" s="1">
        <f>HYPERLINK("http://www.twitter.com/NathanBLawrence/status/971182058314911744", "971182058314911744")</f>
        <v/>
      </c>
      <c r="B2676" s="2" t="n">
        <v>43166.0233912037</v>
      </c>
      <c r="C2676" t="n">
        <v>0</v>
      </c>
      <c r="D2676" t="n">
        <v>1</v>
      </c>
      <c r="E2676" t="s">
        <v>2678</v>
      </c>
      <c r="F2676" t="s"/>
      <c r="G2676" t="s"/>
      <c r="H2676" t="s"/>
      <c r="I2676" t="s"/>
      <c r="J2676" t="n">
        <v>0.7003</v>
      </c>
      <c r="K2676" t="n">
        <v>0</v>
      </c>
      <c r="L2676" t="n">
        <v>0.463</v>
      </c>
      <c r="M2676" t="n">
        <v>0.537</v>
      </c>
    </row>
    <row r="2677" spans="1:13">
      <c r="A2677" s="1">
        <f>HYPERLINK("http://www.twitter.com/NathanBLawrence/status/971182002098593792", "971182002098593792")</f>
        <v/>
      </c>
      <c r="B2677" s="2" t="n">
        <v>43166.02322916667</v>
      </c>
      <c r="C2677" t="n">
        <v>0</v>
      </c>
      <c r="D2677" t="n">
        <v>0</v>
      </c>
      <c r="E2677" t="s">
        <v>2679</v>
      </c>
      <c r="F2677" t="s"/>
      <c r="G2677" t="s"/>
      <c r="H2677" t="s"/>
      <c r="I2677" t="s"/>
      <c r="J2677" t="n">
        <v>0.5719</v>
      </c>
      <c r="K2677" t="n">
        <v>0</v>
      </c>
      <c r="L2677" t="n">
        <v>0.575</v>
      </c>
      <c r="M2677" t="n">
        <v>0.425</v>
      </c>
    </row>
    <row r="2678" spans="1:13">
      <c r="A2678" s="1">
        <f>HYPERLINK("http://www.twitter.com/NathanBLawrence/status/971180777475108865", "971180777475108865")</f>
        <v/>
      </c>
      <c r="B2678" s="2" t="n">
        <v>43166.01984953704</v>
      </c>
      <c r="C2678" t="n">
        <v>0</v>
      </c>
      <c r="D2678" t="n">
        <v>0</v>
      </c>
      <c r="E2678" t="s">
        <v>2680</v>
      </c>
      <c r="F2678" t="s"/>
      <c r="G2678" t="s"/>
      <c r="H2678" t="s"/>
      <c r="I2678" t="s"/>
      <c r="J2678" t="n">
        <v>0.34</v>
      </c>
      <c r="K2678" t="n">
        <v>0</v>
      </c>
      <c r="L2678" t="n">
        <v>0.625</v>
      </c>
      <c r="M2678" t="n">
        <v>0.375</v>
      </c>
    </row>
    <row r="2679" spans="1:13">
      <c r="A2679" s="1">
        <f>HYPERLINK("http://www.twitter.com/NathanBLawrence/status/971180508360134657", "971180508360134657")</f>
        <v/>
      </c>
      <c r="B2679" s="2" t="n">
        <v>43166.0191087963</v>
      </c>
      <c r="C2679" t="n">
        <v>2</v>
      </c>
      <c r="D2679" t="n">
        <v>0</v>
      </c>
      <c r="E2679" t="s">
        <v>2681</v>
      </c>
      <c r="F2679" t="s"/>
      <c r="G2679" t="s"/>
      <c r="H2679" t="s"/>
      <c r="I2679" t="s"/>
      <c r="J2679" t="n">
        <v>0.4588</v>
      </c>
      <c r="K2679" t="n">
        <v>0</v>
      </c>
      <c r="L2679" t="n">
        <v>0.6919999999999999</v>
      </c>
      <c r="M2679" t="n">
        <v>0.308</v>
      </c>
    </row>
    <row r="2680" spans="1:13">
      <c r="A2680" s="1">
        <f>HYPERLINK("http://www.twitter.com/NathanBLawrence/status/971179119043121152", "971179119043121152")</f>
        <v/>
      </c>
      <c r="B2680" s="2" t="n">
        <v>43166.01527777778</v>
      </c>
      <c r="C2680" t="n">
        <v>0</v>
      </c>
      <c r="D2680" t="n">
        <v>1</v>
      </c>
      <c r="E2680" t="s">
        <v>2682</v>
      </c>
      <c r="F2680" t="s"/>
      <c r="G2680" t="s"/>
      <c r="H2680" t="s"/>
      <c r="I2680" t="s"/>
      <c r="J2680" t="n">
        <v>-0.5423</v>
      </c>
      <c r="K2680" t="n">
        <v>0.231</v>
      </c>
      <c r="L2680" t="n">
        <v>0.646</v>
      </c>
      <c r="M2680" t="n">
        <v>0.123</v>
      </c>
    </row>
    <row r="2681" spans="1:13">
      <c r="A2681" s="1">
        <f>HYPERLINK("http://www.twitter.com/NathanBLawrence/status/971179054446596096", "971179054446596096")</f>
        <v/>
      </c>
      <c r="B2681" s="2" t="n">
        <v>43166.01509259259</v>
      </c>
      <c r="C2681" t="n">
        <v>2</v>
      </c>
      <c r="D2681" t="n">
        <v>0</v>
      </c>
      <c r="E2681" t="s">
        <v>2683</v>
      </c>
      <c r="F2681" t="s"/>
      <c r="G2681" t="s"/>
      <c r="H2681" t="s"/>
      <c r="I2681" t="s"/>
      <c r="J2681" t="n">
        <v>0</v>
      </c>
      <c r="K2681" t="n">
        <v>0</v>
      </c>
      <c r="L2681" t="n">
        <v>1</v>
      </c>
      <c r="M2681" t="n">
        <v>0</v>
      </c>
    </row>
    <row r="2682" spans="1:13">
      <c r="A2682" s="1">
        <f>HYPERLINK("http://www.twitter.com/NathanBLawrence/status/971178880609513472", "971178880609513472")</f>
        <v/>
      </c>
      <c r="B2682" s="2" t="n">
        <v>43166.01461805555</v>
      </c>
      <c r="C2682" t="n">
        <v>0</v>
      </c>
      <c r="D2682" t="n">
        <v>0</v>
      </c>
      <c r="E2682" t="s">
        <v>2684</v>
      </c>
      <c r="F2682" t="s"/>
      <c r="G2682" t="s"/>
      <c r="H2682" t="s"/>
      <c r="I2682" t="s"/>
      <c r="J2682" t="n">
        <v>0.2815</v>
      </c>
      <c r="K2682" t="n">
        <v>0.155</v>
      </c>
      <c r="L2682" t="n">
        <v>0.603</v>
      </c>
      <c r="M2682" t="n">
        <v>0.241</v>
      </c>
    </row>
    <row r="2683" spans="1:13">
      <c r="A2683" s="1">
        <f>HYPERLINK("http://www.twitter.com/NathanBLawrence/status/971178148439187456", "971178148439187456")</f>
        <v/>
      </c>
      <c r="B2683" s="2" t="n">
        <v>43166.01259259259</v>
      </c>
      <c r="C2683" t="n">
        <v>0</v>
      </c>
      <c r="D2683" t="n">
        <v>1</v>
      </c>
      <c r="E2683" t="s">
        <v>2685</v>
      </c>
      <c r="F2683" t="s"/>
      <c r="G2683" t="s"/>
      <c r="H2683" t="s"/>
      <c r="I2683" t="s"/>
      <c r="J2683" t="n">
        <v>0</v>
      </c>
      <c r="K2683" t="n">
        <v>0</v>
      </c>
      <c r="L2683" t="n">
        <v>1</v>
      </c>
      <c r="M2683" t="n">
        <v>0</v>
      </c>
    </row>
    <row r="2684" spans="1:13">
      <c r="A2684" s="1">
        <f>HYPERLINK("http://www.twitter.com/NathanBLawrence/status/971177840581533701", "971177840581533701")</f>
        <v/>
      </c>
      <c r="B2684" s="2" t="n">
        <v>43166.01174768519</v>
      </c>
      <c r="C2684" t="n">
        <v>0</v>
      </c>
      <c r="D2684" t="n">
        <v>0</v>
      </c>
      <c r="E2684" t="s">
        <v>2686</v>
      </c>
      <c r="F2684" t="s"/>
      <c r="G2684" t="s"/>
      <c r="H2684" t="s"/>
      <c r="I2684" t="s"/>
      <c r="J2684" t="n">
        <v>0</v>
      </c>
      <c r="K2684" t="n">
        <v>0</v>
      </c>
      <c r="L2684" t="n">
        <v>1</v>
      </c>
      <c r="M2684" t="n">
        <v>0</v>
      </c>
    </row>
    <row r="2685" spans="1:13">
      <c r="A2685" s="1">
        <f>HYPERLINK("http://www.twitter.com/NathanBLawrence/status/971177665339297792", "971177665339297792")</f>
        <v/>
      </c>
      <c r="B2685" s="2" t="n">
        <v>43166.01126157407</v>
      </c>
      <c r="C2685" t="n">
        <v>0</v>
      </c>
      <c r="D2685" t="n">
        <v>3</v>
      </c>
      <c r="E2685" t="s">
        <v>2687</v>
      </c>
      <c r="F2685" t="s"/>
      <c r="G2685" t="s"/>
      <c r="H2685" t="s"/>
      <c r="I2685" t="s"/>
      <c r="J2685" t="n">
        <v>0.8481</v>
      </c>
      <c r="K2685" t="n">
        <v>0.045</v>
      </c>
      <c r="L2685" t="n">
        <v>0.602</v>
      </c>
      <c r="M2685" t="n">
        <v>0.353</v>
      </c>
    </row>
    <row r="2686" spans="1:13">
      <c r="A2686" s="1">
        <f>HYPERLINK("http://www.twitter.com/NathanBLawrence/status/971177159141330945", "971177159141330945")</f>
        <v/>
      </c>
      <c r="B2686" s="2" t="n">
        <v>43166.00986111111</v>
      </c>
      <c r="C2686" t="n">
        <v>0</v>
      </c>
      <c r="D2686" t="n">
        <v>1</v>
      </c>
      <c r="E2686" t="s">
        <v>2688</v>
      </c>
      <c r="F2686" t="s"/>
      <c r="G2686" t="s"/>
      <c r="H2686" t="s"/>
      <c r="I2686" t="s"/>
      <c r="J2686" t="n">
        <v>-0.0665</v>
      </c>
      <c r="K2686" t="n">
        <v>0.146</v>
      </c>
      <c r="L2686" t="n">
        <v>0.761</v>
      </c>
      <c r="M2686" t="n">
        <v>0.093</v>
      </c>
    </row>
    <row r="2687" spans="1:13">
      <c r="A2687" s="1">
        <f>HYPERLINK("http://www.twitter.com/NathanBLawrence/status/971177031311548416", "971177031311548416")</f>
        <v/>
      </c>
      <c r="B2687" s="2" t="n">
        <v>43166.00951388889</v>
      </c>
      <c r="C2687" t="n">
        <v>0</v>
      </c>
      <c r="D2687" t="n">
        <v>0</v>
      </c>
      <c r="E2687" t="s">
        <v>2689</v>
      </c>
      <c r="F2687" t="s"/>
      <c r="G2687" t="s"/>
      <c r="H2687" t="s"/>
      <c r="I2687" t="s"/>
      <c r="J2687" t="n">
        <v>-0.4976</v>
      </c>
      <c r="K2687" t="n">
        <v>0.297</v>
      </c>
      <c r="L2687" t="n">
        <v>0.703</v>
      </c>
      <c r="M2687" t="n">
        <v>0</v>
      </c>
    </row>
    <row r="2688" spans="1:13">
      <c r="A2688" s="1">
        <f>HYPERLINK("http://www.twitter.com/NathanBLawrence/status/971176435753865217", "971176435753865217")</f>
        <v/>
      </c>
      <c r="B2688" s="2" t="n">
        <v>43166.00787037037</v>
      </c>
      <c r="C2688" t="n">
        <v>1</v>
      </c>
      <c r="D2688" t="n">
        <v>0</v>
      </c>
      <c r="E2688" t="s">
        <v>2690</v>
      </c>
      <c r="F2688" t="s"/>
      <c r="G2688" t="s"/>
      <c r="H2688" t="s"/>
      <c r="I2688" t="s"/>
      <c r="J2688" t="n">
        <v>-0.5836</v>
      </c>
      <c r="K2688" t="n">
        <v>0.486</v>
      </c>
      <c r="L2688" t="n">
        <v>0.514</v>
      </c>
      <c r="M2688" t="n">
        <v>0</v>
      </c>
    </row>
    <row r="2689" spans="1:13">
      <c r="A2689" s="1">
        <f>HYPERLINK("http://www.twitter.com/NathanBLawrence/status/971176337238052864", "971176337238052864")</f>
        <v/>
      </c>
      <c r="B2689" s="2" t="n">
        <v>43166.00760416667</v>
      </c>
      <c r="C2689" t="n">
        <v>1</v>
      </c>
      <c r="D2689" t="n">
        <v>0</v>
      </c>
      <c r="E2689" t="s">
        <v>2691</v>
      </c>
      <c r="F2689" t="s"/>
      <c r="G2689" t="s"/>
      <c r="H2689" t="s"/>
      <c r="I2689" t="s"/>
      <c r="J2689" t="n">
        <v>-0.2263</v>
      </c>
      <c r="K2689" t="n">
        <v>0.322</v>
      </c>
      <c r="L2689" t="n">
        <v>0.678</v>
      </c>
      <c r="M2689" t="n">
        <v>0</v>
      </c>
    </row>
    <row r="2690" spans="1:13">
      <c r="A2690" s="1">
        <f>HYPERLINK("http://www.twitter.com/NathanBLawrence/status/971175096143491072", "971175096143491072")</f>
        <v/>
      </c>
      <c r="B2690" s="2" t="n">
        <v>43166.00417824074</v>
      </c>
      <c r="C2690" t="n">
        <v>0</v>
      </c>
      <c r="D2690" t="n">
        <v>5</v>
      </c>
      <c r="E2690" t="s">
        <v>2692</v>
      </c>
      <c r="F2690" t="s"/>
      <c r="G2690" t="s"/>
      <c r="H2690" t="s"/>
      <c r="I2690" t="s"/>
      <c r="J2690" t="n">
        <v>0.7969000000000001</v>
      </c>
      <c r="K2690" t="n">
        <v>0</v>
      </c>
      <c r="L2690" t="n">
        <v>0.738</v>
      </c>
      <c r="M2690" t="n">
        <v>0.262</v>
      </c>
    </row>
    <row r="2691" spans="1:13">
      <c r="A2691" s="1">
        <f>HYPERLINK("http://www.twitter.com/NathanBLawrence/status/971174948281741312", "971174948281741312")</f>
        <v/>
      </c>
      <c r="B2691" s="2" t="n">
        <v>43166.00376157407</v>
      </c>
      <c r="C2691" t="n">
        <v>2</v>
      </c>
      <c r="D2691" t="n">
        <v>0</v>
      </c>
      <c r="E2691" t="s">
        <v>2693</v>
      </c>
      <c r="F2691" t="s"/>
      <c r="G2691" t="s"/>
      <c r="H2691" t="s"/>
      <c r="I2691" t="s"/>
      <c r="J2691" t="n">
        <v>-0.8074</v>
      </c>
      <c r="K2691" t="n">
        <v>0.399</v>
      </c>
      <c r="L2691" t="n">
        <v>0.601</v>
      </c>
      <c r="M2691" t="n">
        <v>0</v>
      </c>
    </row>
    <row r="2692" spans="1:13">
      <c r="A2692" s="1">
        <f>HYPERLINK("http://www.twitter.com/NathanBLawrence/status/971172446702317571", "971172446702317571")</f>
        <v/>
      </c>
      <c r="B2692" s="2" t="n">
        <v>43165.99686342593</v>
      </c>
      <c r="C2692" t="n">
        <v>0</v>
      </c>
      <c r="D2692" t="n">
        <v>53</v>
      </c>
      <c r="E2692" t="s">
        <v>2694</v>
      </c>
      <c r="F2692">
        <f>HYPERLINK("http://pbs.twimg.com/media/DXn3er0UQAEjOxz.jpg", "http://pbs.twimg.com/media/DXn3er0UQAEjOxz.jpg")</f>
        <v/>
      </c>
      <c r="G2692" t="s"/>
      <c r="H2692" t="s"/>
      <c r="I2692" t="s"/>
      <c r="J2692" t="n">
        <v>0</v>
      </c>
      <c r="K2692" t="n">
        <v>0</v>
      </c>
      <c r="L2692" t="n">
        <v>1</v>
      </c>
      <c r="M2692" t="n">
        <v>0</v>
      </c>
    </row>
    <row r="2693" spans="1:13">
      <c r="A2693" s="1">
        <f>HYPERLINK("http://www.twitter.com/NathanBLawrence/status/971172130254675968", "971172130254675968")</f>
        <v/>
      </c>
      <c r="B2693" s="2" t="n">
        <v>43165.99599537037</v>
      </c>
      <c r="C2693" t="n">
        <v>0</v>
      </c>
      <c r="D2693" t="n">
        <v>3</v>
      </c>
      <c r="E2693" t="s">
        <v>2695</v>
      </c>
      <c r="F2693" t="s"/>
      <c r="G2693" t="s"/>
      <c r="H2693" t="s"/>
      <c r="I2693" t="s"/>
      <c r="J2693" t="n">
        <v>0</v>
      </c>
      <c r="K2693" t="n">
        <v>0</v>
      </c>
      <c r="L2693" t="n">
        <v>1</v>
      </c>
      <c r="M2693" t="n">
        <v>0</v>
      </c>
    </row>
    <row r="2694" spans="1:13">
      <c r="A2694" s="1">
        <f>HYPERLINK("http://www.twitter.com/NathanBLawrence/status/971171835919372288", "971171835919372288")</f>
        <v/>
      </c>
      <c r="B2694" s="2" t="n">
        <v>43165.99517361111</v>
      </c>
      <c r="C2694" t="n">
        <v>0</v>
      </c>
      <c r="D2694" t="n">
        <v>1</v>
      </c>
      <c r="E2694" t="s">
        <v>2696</v>
      </c>
      <c r="F2694" t="s"/>
      <c r="G2694" t="s"/>
      <c r="H2694" t="s"/>
      <c r="I2694" t="s"/>
      <c r="J2694" t="n">
        <v>0.6155</v>
      </c>
      <c r="K2694" t="n">
        <v>0.126</v>
      </c>
      <c r="L2694" t="n">
        <v>0.574</v>
      </c>
      <c r="M2694" t="n">
        <v>0.3</v>
      </c>
    </row>
    <row r="2695" spans="1:13">
      <c r="A2695" s="1">
        <f>HYPERLINK("http://www.twitter.com/NathanBLawrence/status/971171806064316416", "971171806064316416")</f>
        <v/>
      </c>
      <c r="B2695" s="2" t="n">
        <v>43165.9950925926</v>
      </c>
      <c r="C2695" t="n">
        <v>0</v>
      </c>
      <c r="D2695" t="n">
        <v>1</v>
      </c>
      <c r="E2695" t="s">
        <v>2697</v>
      </c>
      <c r="F2695" t="s"/>
      <c r="G2695" t="s"/>
      <c r="H2695" t="s"/>
      <c r="I2695" t="s"/>
      <c r="J2695" t="n">
        <v>0</v>
      </c>
      <c r="K2695" t="n">
        <v>0</v>
      </c>
      <c r="L2695" t="n">
        <v>1</v>
      </c>
      <c r="M2695" t="n">
        <v>0</v>
      </c>
    </row>
    <row r="2696" spans="1:13">
      <c r="A2696" s="1">
        <f>HYPERLINK("http://www.twitter.com/NathanBLawrence/status/971171778440687616", "971171778440687616")</f>
        <v/>
      </c>
      <c r="B2696" s="2" t="n">
        <v>43165.99502314815</v>
      </c>
      <c r="C2696" t="n">
        <v>0</v>
      </c>
      <c r="D2696" t="n">
        <v>0</v>
      </c>
      <c r="E2696" t="s">
        <v>2698</v>
      </c>
      <c r="F2696" t="s"/>
      <c r="G2696" t="s"/>
      <c r="H2696" t="s"/>
      <c r="I2696" t="s"/>
      <c r="J2696" t="n">
        <v>0</v>
      </c>
      <c r="K2696" t="n">
        <v>0</v>
      </c>
      <c r="L2696" t="n">
        <v>1</v>
      </c>
      <c r="M2696" t="n">
        <v>0</v>
      </c>
    </row>
    <row r="2697" spans="1:13">
      <c r="A2697" s="1">
        <f>HYPERLINK("http://www.twitter.com/NathanBLawrence/status/971171718122409984", "971171718122409984")</f>
        <v/>
      </c>
      <c r="B2697" s="2" t="n">
        <v>43165.99484953703</v>
      </c>
      <c r="C2697" t="n">
        <v>0</v>
      </c>
      <c r="D2697" t="n">
        <v>1</v>
      </c>
      <c r="E2697" t="s">
        <v>2699</v>
      </c>
      <c r="F2697" t="s"/>
      <c r="G2697" t="s"/>
      <c r="H2697" t="s"/>
      <c r="I2697" t="s"/>
      <c r="J2697" t="n">
        <v>0.8270999999999999</v>
      </c>
      <c r="K2697" t="n">
        <v>0</v>
      </c>
      <c r="L2697" t="n">
        <v>0.697</v>
      </c>
      <c r="M2697" t="n">
        <v>0.303</v>
      </c>
    </row>
    <row r="2698" spans="1:13">
      <c r="A2698" s="1">
        <f>HYPERLINK("http://www.twitter.com/NathanBLawrence/status/971171654272520192", "971171654272520192")</f>
        <v/>
      </c>
      <c r="B2698" s="2" t="n">
        <v>43165.99467592593</v>
      </c>
      <c r="C2698" t="n">
        <v>0</v>
      </c>
      <c r="D2698" t="n">
        <v>0</v>
      </c>
      <c r="E2698" t="s">
        <v>2700</v>
      </c>
      <c r="F2698" t="s"/>
      <c r="G2698" t="s"/>
      <c r="H2698" t="s"/>
      <c r="I2698" t="s"/>
      <c r="J2698" t="n">
        <v>0.3384</v>
      </c>
      <c r="K2698" t="n">
        <v>0</v>
      </c>
      <c r="L2698" t="n">
        <v>0.854</v>
      </c>
      <c r="M2698" t="n">
        <v>0.146</v>
      </c>
    </row>
    <row r="2699" spans="1:13">
      <c r="A2699" s="1">
        <f>HYPERLINK("http://www.twitter.com/NathanBLawrence/status/971171459044380672", "971171459044380672")</f>
        <v/>
      </c>
      <c r="B2699" s="2" t="n">
        <v>43165.99413194445</v>
      </c>
      <c r="C2699" t="n">
        <v>0</v>
      </c>
      <c r="D2699" t="n">
        <v>1</v>
      </c>
      <c r="E2699" t="s">
        <v>2701</v>
      </c>
      <c r="F2699" t="s"/>
      <c r="G2699" t="s"/>
      <c r="H2699" t="s"/>
      <c r="I2699" t="s"/>
      <c r="J2699" t="n">
        <v>0.3384</v>
      </c>
      <c r="K2699" t="n">
        <v>0</v>
      </c>
      <c r="L2699" t="n">
        <v>0.79</v>
      </c>
      <c r="M2699" t="n">
        <v>0.21</v>
      </c>
    </row>
    <row r="2700" spans="1:13">
      <c r="A2700" s="1">
        <f>HYPERLINK("http://www.twitter.com/NathanBLawrence/status/971171366492831744", "971171366492831744")</f>
        <v/>
      </c>
      <c r="B2700" s="2" t="n">
        <v>43165.99387731482</v>
      </c>
      <c r="C2700" t="n">
        <v>0</v>
      </c>
      <c r="D2700" t="n">
        <v>0</v>
      </c>
      <c r="E2700" t="s">
        <v>2702</v>
      </c>
      <c r="F2700" t="s"/>
      <c r="G2700" t="s"/>
      <c r="H2700" t="s"/>
      <c r="I2700" t="s"/>
      <c r="J2700" t="n">
        <v>0.5562</v>
      </c>
      <c r="K2700" t="n">
        <v>0</v>
      </c>
      <c r="L2700" t="n">
        <v>0.395</v>
      </c>
      <c r="M2700" t="n">
        <v>0.605</v>
      </c>
    </row>
    <row r="2701" spans="1:13">
      <c r="A2701" s="1">
        <f>HYPERLINK("http://www.twitter.com/NathanBLawrence/status/971171273907859457", "971171273907859457")</f>
        <v/>
      </c>
      <c r="B2701" s="2" t="n">
        <v>43165.99362268519</v>
      </c>
      <c r="C2701" t="n">
        <v>0</v>
      </c>
      <c r="D2701" t="n">
        <v>1</v>
      </c>
      <c r="E2701" t="s">
        <v>2703</v>
      </c>
      <c r="F2701" t="s"/>
      <c r="G2701" t="s"/>
      <c r="H2701" t="s"/>
      <c r="I2701" t="s"/>
      <c r="J2701" t="n">
        <v>0</v>
      </c>
      <c r="K2701" t="n">
        <v>0</v>
      </c>
      <c r="L2701" t="n">
        <v>1</v>
      </c>
      <c r="M2701" t="n">
        <v>0</v>
      </c>
    </row>
    <row r="2702" spans="1:13">
      <c r="A2702" s="1">
        <f>HYPERLINK("http://www.twitter.com/NathanBLawrence/status/971171130424856576", "971171130424856576")</f>
        <v/>
      </c>
      <c r="B2702" s="2" t="n">
        <v>43165.99322916667</v>
      </c>
      <c r="C2702" t="n">
        <v>0</v>
      </c>
      <c r="D2702" t="n">
        <v>2</v>
      </c>
      <c r="E2702" t="s">
        <v>2704</v>
      </c>
      <c r="F2702" t="s"/>
      <c r="G2702" t="s"/>
      <c r="H2702" t="s"/>
      <c r="I2702" t="s"/>
      <c r="J2702" t="n">
        <v>0.167</v>
      </c>
      <c r="K2702" t="n">
        <v>0.119</v>
      </c>
      <c r="L2702" t="n">
        <v>0.779</v>
      </c>
      <c r="M2702" t="n">
        <v>0.102</v>
      </c>
    </row>
    <row r="2703" spans="1:13">
      <c r="A2703" s="1">
        <f>HYPERLINK("http://www.twitter.com/NathanBLawrence/status/971169388467576832", "971169388467576832")</f>
        <v/>
      </c>
      <c r="B2703" s="2" t="n">
        <v>43165.98842592593</v>
      </c>
      <c r="C2703" t="n">
        <v>0</v>
      </c>
      <c r="D2703" t="n">
        <v>0</v>
      </c>
      <c r="E2703" t="s">
        <v>2705</v>
      </c>
      <c r="F2703" t="s"/>
      <c r="G2703" t="s"/>
      <c r="H2703" t="s"/>
      <c r="I2703" t="s"/>
      <c r="J2703" t="n">
        <v>-0.4588</v>
      </c>
      <c r="K2703" t="n">
        <v>0.3</v>
      </c>
      <c r="L2703" t="n">
        <v>0.7</v>
      </c>
      <c r="M2703" t="n">
        <v>0</v>
      </c>
    </row>
    <row r="2704" spans="1:13">
      <c r="A2704" s="1">
        <f>HYPERLINK("http://www.twitter.com/NathanBLawrence/status/971169209634951168", "971169209634951168")</f>
        <v/>
      </c>
      <c r="B2704" s="2" t="n">
        <v>43165.98792824074</v>
      </c>
      <c r="C2704" t="n">
        <v>0</v>
      </c>
      <c r="D2704" t="n">
        <v>0</v>
      </c>
      <c r="E2704" t="s">
        <v>2706</v>
      </c>
      <c r="F2704" t="s"/>
      <c r="G2704" t="s"/>
      <c r="H2704" t="s"/>
      <c r="I2704" t="s"/>
      <c r="J2704" t="n">
        <v>0.3612</v>
      </c>
      <c r="K2704" t="n">
        <v>0</v>
      </c>
      <c r="L2704" t="n">
        <v>0.839</v>
      </c>
      <c r="M2704" t="n">
        <v>0.161</v>
      </c>
    </row>
    <row r="2705" spans="1:13">
      <c r="A2705" s="1">
        <f>HYPERLINK("http://www.twitter.com/NathanBLawrence/status/971167250437861379", "971167250437861379")</f>
        <v/>
      </c>
      <c r="B2705" s="2" t="n">
        <v>43165.98252314814</v>
      </c>
      <c r="C2705" t="n">
        <v>0</v>
      </c>
      <c r="D2705" t="n">
        <v>1</v>
      </c>
      <c r="E2705" t="s">
        <v>2707</v>
      </c>
      <c r="F2705" t="s"/>
      <c r="G2705" t="s"/>
      <c r="H2705" t="s"/>
      <c r="I2705" t="s"/>
      <c r="J2705" t="n">
        <v>0</v>
      </c>
      <c r="K2705" t="n">
        <v>0</v>
      </c>
      <c r="L2705" t="n">
        <v>1</v>
      </c>
      <c r="M2705" t="n">
        <v>0</v>
      </c>
    </row>
    <row r="2706" spans="1:13">
      <c r="A2706" s="1">
        <f>HYPERLINK("http://www.twitter.com/NathanBLawrence/status/971166690754158592", "971166690754158592")</f>
        <v/>
      </c>
      <c r="B2706" s="2" t="n">
        <v>43165.9809837963</v>
      </c>
      <c r="C2706" t="n">
        <v>0</v>
      </c>
      <c r="D2706" t="n">
        <v>0</v>
      </c>
      <c r="E2706" t="s">
        <v>2708</v>
      </c>
      <c r="F2706" t="s"/>
      <c r="G2706" t="s"/>
      <c r="H2706" t="s"/>
      <c r="I2706" t="s"/>
      <c r="J2706" t="n">
        <v>-0.8591</v>
      </c>
      <c r="K2706" t="n">
        <v>0.275</v>
      </c>
      <c r="L2706" t="n">
        <v>0.725</v>
      </c>
      <c r="M2706" t="n">
        <v>0</v>
      </c>
    </row>
    <row r="2707" spans="1:13">
      <c r="A2707" s="1">
        <f>HYPERLINK("http://www.twitter.com/NathanBLawrence/status/971165221946617859", "971165221946617859")</f>
        <v/>
      </c>
      <c r="B2707" s="2" t="n">
        <v>43165.97692129629</v>
      </c>
      <c r="C2707" t="n">
        <v>1</v>
      </c>
      <c r="D2707" t="n">
        <v>0</v>
      </c>
      <c r="E2707" t="s">
        <v>2709</v>
      </c>
      <c r="F2707" t="s"/>
      <c r="G2707" t="s"/>
      <c r="H2707" t="s"/>
      <c r="I2707" t="s"/>
      <c r="J2707" t="n">
        <v>-0.5276999999999999</v>
      </c>
      <c r="K2707" t="n">
        <v>0.169</v>
      </c>
      <c r="L2707" t="n">
        <v>0.767</v>
      </c>
      <c r="M2707" t="n">
        <v>0.064</v>
      </c>
    </row>
    <row r="2708" spans="1:13">
      <c r="A2708" s="1">
        <f>HYPERLINK("http://www.twitter.com/NathanBLawrence/status/971163864460079104", "971163864460079104")</f>
        <v/>
      </c>
      <c r="B2708" s="2" t="n">
        <v>43165.97318287037</v>
      </c>
      <c r="C2708" t="n">
        <v>0</v>
      </c>
      <c r="D2708" t="n">
        <v>1</v>
      </c>
      <c r="E2708" t="s">
        <v>2710</v>
      </c>
      <c r="F2708">
        <f>HYPERLINK("http://pbs.twimg.com/media/DXpBVKBXkAQ33kC.jpg", "http://pbs.twimg.com/media/DXpBVKBXkAQ33kC.jpg")</f>
        <v/>
      </c>
      <c r="G2708" t="s"/>
      <c r="H2708" t="s"/>
      <c r="I2708" t="s"/>
      <c r="J2708" t="n">
        <v>0.5255</v>
      </c>
      <c r="K2708" t="n">
        <v>0.131</v>
      </c>
      <c r="L2708" t="n">
        <v>0.536</v>
      </c>
      <c r="M2708" t="n">
        <v>0.333</v>
      </c>
    </row>
    <row r="2709" spans="1:13">
      <c r="A2709" s="1">
        <f>HYPERLINK("http://www.twitter.com/NathanBLawrence/status/971162857411837952", "971162857411837952")</f>
        <v/>
      </c>
      <c r="B2709" s="2" t="n">
        <v>43165.97040509259</v>
      </c>
      <c r="C2709" t="n">
        <v>1</v>
      </c>
      <c r="D2709" t="n">
        <v>0</v>
      </c>
      <c r="E2709" t="s">
        <v>2711</v>
      </c>
      <c r="F2709" t="s"/>
      <c r="G2709" t="s"/>
      <c r="H2709" t="s"/>
      <c r="I2709" t="s"/>
      <c r="J2709" t="n">
        <v>0</v>
      </c>
      <c r="K2709" t="n">
        <v>0</v>
      </c>
      <c r="L2709" t="n">
        <v>1</v>
      </c>
      <c r="M2709" t="n">
        <v>0</v>
      </c>
    </row>
    <row r="2710" spans="1:13">
      <c r="A2710" s="1">
        <f>HYPERLINK("http://www.twitter.com/NathanBLawrence/status/971162298848043008", "971162298848043008")</f>
        <v/>
      </c>
      <c r="B2710" s="2" t="n">
        <v>43165.96886574074</v>
      </c>
      <c r="C2710" t="n">
        <v>0</v>
      </c>
      <c r="D2710" t="n">
        <v>1</v>
      </c>
      <c r="E2710" t="s">
        <v>2712</v>
      </c>
      <c r="F2710" t="s"/>
      <c r="G2710" t="s"/>
      <c r="H2710" t="s"/>
      <c r="I2710" t="s"/>
      <c r="J2710" t="n">
        <v>0.6114000000000001</v>
      </c>
      <c r="K2710" t="n">
        <v>0</v>
      </c>
      <c r="L2710" t="n">
        <v>0.84</v>
      </c>
      <c r="M2710" t="n">
        <v>0.16</v>
      </c>
    </row>
    <row r="2711" spans="1:13">
      <c r="A2711" s="1">
        <f>HYPERLINK("http://www.twitter.com/NathanBLawrence/status/971161641768439808", "971161641768439808")</f>
        <v/>
      </c>
      <c r="B2711" s="2" t="n">
        <v>43165.96704861111</v>
      </c>
      <c r="C2711" t="n">
        <v>0</v>
      </c>
      <c r="D2711" t="n">
        <v>0</v>
      </c>
      <c r="E2711" t="s">
        <v>2713</v>
      </c>
      <c r="F2711" t="s"/>
      <c r="G2711" t="s"/>
      <c r="H2711" t="s"/>
      <c r="I2711" t="s"/>
      <c r="J2711" t="n">
        <v>0</v>
      </c>
      <c r="K2711" t="n">
        <v>0</v>
      </c>
      <c r="L2711" t="n">
        <v>1</v>
      </c>
      <c r="M2711" t="n">
        <v>0</v>
      </c>
    </row>
    <row r="2712" spans="1:13">
      <c r="A2712" s="1">
        <f>HYPERLINK("http://www.twitter.com/NathanBLawrence/status/971161404509184001", "971161404509184001")</f>
        <v/>
      </c>
      <c r="B2712" s="2" t="n">
        <v>43165.96638888889</v>
      </c>
      <c r="C2712" t="n">
        <v>0</v>
      </c>
      <c r="D2712" t="n">
        <v>0</v>
      </c>
      <c r="E2712" t="s">
        <v>2714</v>
      </c>
      <c r="F2712" t="s"/>
      <c r="G2712" t="s"/>
      <c r="H2712" t="s"/>
      <c r="I2712" t="s"/>
      <c r="J2712" t="n">
        <v>0.5859</v>
      </c>
      <c r="K2712" t="n">
        <v>0</v>
      </c>
      <c r="L2712" t="n">
        <v>0.678</v>
      </c>
      <c r="M2712" t="n">
        <v>0.322</v>
      </c>
    </row>
    <row r="2713" spans="1:13">
      <c r="A2713" s="1">
        <f>HYPERLINK("http://www.twitter.com/NathanBLawrence/status/971160918339055618", "971160918339055618")</f>
        <v/>
      </c>
      <c r="B2713" s="2" t="n">
        <v>43165.9650462963</v>
      </c>
      <c r="C2713" t="n">
        <v>1</v>
      </c>
      <c r="D2713" t="n">
        <v>0</v>
      </c>
      <c r="E2713" t="s">
        <v>2715</v>
      </c>
      <c r="F2713" t="s"/>
      <c r="G2713" t="s"/>
      <c r="H2713" t="s"/>
      <c r="I2713" t="s"/>
      <c r="J2713" t="n">
        <v>-0.0593</v>
      </c>
      <c r="K2713" t="n">
        <v>0.199</v>
      </c>
      <c r="L2713" t="n">
        <v>0.608</v>
      </c>
      <c r="M2713" t="n">
        <v>0.192</v>
      </c>
    </row>
    <row r="2714" spans="1:13">
      <c r="A2714" s="1">
        <f>HYPERLINK("http://www.twitter.com/NathanBLawrence/status/971160610519044096", "971160610519044096")</f>
        <v/>
      </c>
      <c r="B2714" s="2" t="n">
        <v>43165.96420138889</v>
      </c>
      <c r="C2714" t="n">
        <v>0</v>
      </c>
      <c r="D2714" t="n">
        <v>1</v>
      </c>
      <c r="E2714" t="s">
        <v>2716</v>
      </c>
      <c r="F2714" t="s"/>
      <c r="G2714" t="s"/>
      <c r="H2714" t="s"/>
      <c r="I2714" t="s"/>
      <c r="J2714" t="n">
        <v>0</v>
      </c>
      <c r="K2714" t="n">
        <v>0</v>
      </c>
      <c r="L2714" t="n">
        <v>1</v>
      </c>
      <c r="M2714" t="n">
        <v>0</v>
      </c>
    </row>
    <row r="2715" spans="1:13">
      <c r="A2715" s="1">
        <f>HYPERLINK("http://www.twitter.com/NathanBLawrence/status/971160350942007297", "971160350942007297")</f>
        <v/>
      </c>
      <c r="B2715" s="2" t="n">
        <v>43165.96348379629</v>
      </c>
      <c r="C2715" t="n">
        <v>1</v>
      </c>
      <c r="D2715" t="n">
        <v>0</v>
      </c>
      <c r="E2715" t="s">
        <v>2717</v>
      </c>
      <c r="F2715" t="s"/>
      <c r="G2715" t="s"/>
      <c r="H2715" t="s"/>
      <c r="I2715" t="s"/>
      <c r="J2715" t="n">
        <v>0</v>
      </c>
      <c r="K2715" t="n">
        <v>0</v>
      </c>
      <c r="L2715" t="n">
        <v>1</v>
      </c>
      <c r="M2715" t="n">
        <v>0</v>
      </c>
    </row>
    <row r="2716" spans="1:13">
      <c r="A2716" s="1">
        <f>HYPERLINK("http://www.twitter.com/NathanBLawrence/status/971160326774427649", "971160326774427649")</f>
        <v/>
      </c>
      <c r="B2716" s="2" t="n">
        <v>43165.96341435185</v>
      </c>
      <c r="C2716" t="n">
        <v>0</v>
      </c>
      <c r="D2716" t="n">
        <v>1</v>
      </c>
      <c r="E2716" t="s">
        <v>2718</v>
      </c>
      <c r="F2716" t="s"/>
      <c r="G2716" t="s"/>
      <c r="H2716" t="s"/>
      <c r="I2716" t="s"/>
      <c r="J2716" t="n">
        <v>-0.5023</v>
      </c>
      <c r="K2716" t="n">
        <v>0.175</v>
      </c>
      <c r="L2716" t="n">
        <v>0.825</v>
      </c>
      <c r="M2716" t="n">
        <v>0</v>
      </c>
    </row>
    <row r="2717" spans="1:13">
      <c r="A2717" s="1">
        <f>HYPERLINK("http://www.twitter.com/NathanBLawrence/status/971160091725647872", "971160091725647872")</f>
        <v/>
      </c>
      <c r="B2717" s="2" t="n">
        <v>43165.9627662037</v>
      </c>
      <c r="C2717" t="n">
        <v>1</v>
      </c>
      <c r="D2717" t="n">
        <v>0</v>
      </c>
      <c r="E2717" t="s">
        <v>2719</v>
      </c>
      <c r="F2717" t="s"/>
      <c r="G2717" t="s"/>
      <c r="H2717" t="s"/>
      <c r="I2717" t="s"/>
      <c r="J2717" t="n">
        <v>0.8979</v>
      </c>
      <c r="K2717" t="n">
        <v>0</v>
      </c>
      <c r="L2717" t="n">
        <v>0.355</v>
      </c>
      <c r="M2717" t="n">
        <v>0.645</v>
      </c>
    </row>
    <row r="2718" spans="1:13">
      <c r="A2718" s="1">
        <f>HYPERLINK("http://www.twitter.com/NathanBLawrence/status/971157905738207232", "971157905738207232")</f>
        <v/>
      </c>
      <c r="B2718" s="2" t="n">
        <v>43165.95673611111</v>
      </c>
      <c r="C2718" t="n">
        <v>1</v>
      </c>
      <c r="D2718" t="n">
        <v>0</v>
      </c>
      <c r="E2718" t="s">
        <v>2720</v>
      </c>
      <c r="F2718" t="s"/>
      <c r="G2718" t="s"/>
      <c r="H2718" t="s"/>
      <c r="I2718" t="s"/>
      <c r="J2718" t="n">
        <v>-0.6486</v>
      </c>
      <c r="K2718" t="n">
        <v>0.264</v>
      </c>
      <c r="L2718" t="n">
        <v>0.736</v>
      </c>
      <c r="M2718" t="n">
        <v>0</v>
      </c>
    </row>
    <row r="2719" spans="1:13">
      <c r="A2719" s="1">
        <f>HYPERLINK("http://www.twitter.com/NathanBLawrence/status/971157476715515904", "971157476715515904")</f>
        <v/>
      </c>
      <c r="B2719" s="2" t="n">
        <v>43165.95555555556</v>
      </c>
      <c r="C2719" t="n">
        <v>2</v>
      </c>
      <c r="D2719" t="n">
        <v>0</v>
      </c>
      <c r="E2719" t="s">
        <v>2721</v>
      </c>
      <c r="F2719" t="s"/>
      <c r="G2719" t="s"/>
      <c r="H2719" t="s"/>
      <c r="I2719" t="s"/>
      <c r="J2719" t="n">
        <v>-0.8591</v>
      </c>
      <c r="K2719" t="n">
        <v>0.275</v>
      </c>
      <c r="L2719" t="n">
        <v>0.725</v>
      </c>
      <c r="M2719" t="n">
        <v>0</v>
      </c>
    </row>
    <row r="2720" spans="1:13">
      <c r="A2720" s="1">
        <f>HYPERLINK("http://www.twitter.com/NathanBLawrence/status/971156304055226369", "971156304055226369")</f>
        <v/>
      </c>
      <c r="B2720" s="2" t="n">
        <v>43165.95231481481</v>
      </c>
      <c r="C2720" t="n">
        <v>2</v>
      </c>
      <c r="D2720" t="n">
        <v>0</v>
      </c>
      <c r="E2720" t="s">
        <v>2722</v>
      </c>
      <c r="F2720" t="s"/>
      <c r="G2720" t="s"/>
      <c r="H2720" t="s"/>
      <c r="I2720" t="s"/>
      <c r="J2720" t="n">
        <v>-0.7423999999999999</v>
      </c>
      <c r="K2720" t="n">
        <v>0.44</v>
      </c>
      <c r="L2720" t="n">
        <v>0.5600000000000001</v>
      </c>
      <c r="M2720" t="n">
        <v>0</v>
      </c>
    </row>
    <row r="2721" spans="1:13">
      <c r="A2721" s="1">
        <f>HYPERLINK("http://www.twitter.com/NathanBLawrence/status/971156136509558784", "971156136509558784")</f>
        <v/>
      </c>
      <c r="B2721" s="2" t="n">
        <v>43165.95185185185</v>
      </c>
      <c r="C2721" t="n">
        <v>1</v>
      </c>
      <c r="D2721" t="n">
        <v>0</v>
      </c>
      <c r="E2721" t="s">
        <v>2723</v>
      </c>
      <c r="F2721" t="s"/>
      <c r="G2721" t="s"/>
      <c r="H2721" t="s"/>
      <c r="I2721" t="s"/>
      <c r="J2721" t="n">
        <v>0</v>
      </c>
      <c r="K2721" t="n">
        <v>0</v>
      </c>
      <c r="L2721" t="n">
        <v>1</v>
      </c>
      <c r="M2721" t="n">
        <v>0</v>
      </c>
    </row>
    <row r="2722" spans="1:13">
      <c r="A2722" s="1">
        <f>HYPERLINK("http://www.twitter.com/NathanBLawrence/status/971155165444235265", "971155165444235265")</f>
        <v/>
      </c>
      <c r="B2722" s="2" t="n">
        <v>43165.94917824074</v>
      </c>
      <c r="C2722" t="n">
        <v>0</v>
      </c>
      <c r="D2722" t="n">
        <v>0</v>
      </c>
      <c r="E2722" t="s">
        <v>2724</v>
      </c>
      <c r="F2722" t="s"/>
      <c r="G2722" t="s"/>
      <c r="H2722" t="s"/>
      <c r="I2722" t="s"/>
      <c r="J2722" t="n">
        <v>-0.4939</v>
      </c>
      <c r="K2722" t="n">
        <v>0.39</v>
      </c>
      <c r="L2722" t="n">
        <v>0.61</v>
      </c>
      <c r="M2722" t="n">
        <v>0</v>
      </c>
    </row>
    <row r="2723" spans="1:13">
      <c r="A2723" s="1">
        <f>HYPERLINK("http://www.twitter.com/NathanBLawrence/status/971154893829484544", "971154893829484544")</f>
        <v/>
      </c>
      <c r="B2723" s="2" t="n">
        <v>43165.94842592593</v>
      </c>
      <c r="C2723" t="n">
        <v>0</v>
      </c>
      <c r="D2723" t="n">
        <v>0</v>
      </c>
      <c r="E2723" t="s">
        <v>2725</v>
      </c>
      <c r="F2723" t="s"/>
      <c r="G2723" t="s"/>
      <c r="H2723" t="s"/>
      <c r="I2723" t="s"/>
      <c r="J2723" t="n">
        <v>0.6486</v>
      </c>
      <c r="K2723" t="n">
        <v>0</v>
      </c>
      <c r="L2723" t="n">
        <v>0.629</v>
      </c>
      <c r="M2723" t="n">
        <v>0.371</v>
      </c>
    </row>
    <row r="2724" spans="1:13">
      <c r="A2724" s="1">
        <f>HYPERLINK("http://www.twitter.com/NathanBLawrence/status/971154688245682181", "971154688245682181")</f>
        <v/>
      </c>
      <c r="B2724" s="2" t="n">
        <v>43165.94785879629</v>
      </c>
      <c r="C2724" t="n">
        <v>0</v>
      </c>
      <c r="D2724" t="n">
        <v>1</v>
      </c>
      <c r="E2724" t="s">
        <v>2726</v>
      </c>
      <c r="F2724" t="s"/>
      <c r="G2724" t="s"/>
      <c r="H2724" t="s"/>
      <c r="I2724" t="s"/>
      <c r="J2724" t="n">
        <v>0</v>
      </c>
      <c r="K2724" t="n">
        <v>0</v>
      </c>
      <c r="L2724" t="n">
        <v>1</v>
      </c>
      <c r="M2724" t="n">
        <v>0</v>
      </c>
    </row>
    <row r="2725" spans="1:13">
      <c r="A2725" s="1">
        <f>HYPERLINK("http://www.twitter.com/NathanBLawrence/status/971153966984781824", "971153966984781824")</f>
        <v/>
      </c>
      <c r="B2725" s="2" t="n">
        <v>43165.94586805555</v>
      </c>
      <c r="C2725" t="n">
        <v>1</v>
      </c>
      <c r="D2725" t="n">
        <v>0</v>
      </c>
      <c r="E2725" t="s">
        <v>2727</v>
      </c>
      <c r="F2725" t="s"/>
      <c r="G2725" t="s"/>
      <c r="H2725" t="s"/>
      <c r="I2725" t="s"/>
      <c r="J2725" t="n">
        <v>-0.2023</v>
      </c>
      <c r="K2725" t="n">
        <v>0.211</v>
      </c>
      <c r="L2725" t="n">
        <v>0.633</v>
      </c>
      <c r="M2725" t="n">
        <v>0.157</v>
      </c>
    </row>
    <row r="2726" spans="1:13">
      <c r="A2726" s="1">
        <f>HYPERLINK("http://www.twitter.com/NathanBLawrence/status/971153024050782208", "971153024050782208")</f>
        <v/>
      </c>
      <c r="B2726" s="2" t="n">
        <v>43165.94326388889</v>
      </c>
      <c r="C2726" t="n">
        <v>1</v>
      </c>
      <c r="D2726" t="n">
        <v>0</v>
      </c>
      <c r="E2726" t="s">
        <v>2728</v>
      </c>
      <c r="F2726" t="s"/>
      <c r="G2726" t="s"/>
      <c r="H2726" t="s"/>
      <c r="I2726" t="s"/>
      <c r="J2726" t="n">
        <v>-0.3612</v>
      </c>
      <c r="K2726" t="n">
        <v>0.244</v>
      </c>
      <c r="L2726" t="n">
        <v>0.634</v>
      </c>
      <c r="M2726" t="n">
        <v>0.122</v>
      </c>
    </row>
    <row r="2727" spans="1:13">
      <c r="A2727" s="1">
        <f>HYPERLINK("http://www.twitter.com/NathanBLawrence/status/971151889990672384", "971151889990672384")</f>
        <v/>
      </c>
      <c r="B2727" s="2" t="n">
        <v>43165.94013888889</v>
      </c>
      <c r="C2727" t="n">
        <v>1</v>
      </c>
      <c r="D2727" t="n">
        <v>0</v>
      </c>
      <c r="E2727" t="s">
        <v>2729</v>
      </c>
      <c r="F2727" t="s"/>
      <c r="G2727" t="s"/>
      <c r="H2727" t="s"/>
      <c r="I2727" t="s"/>
      <c r="J2727" t="n">
        <v>0.4767</v>
      </c>
      <c r="K2727" t="n">
        <v>0</v>
      </c>
      <c r="L2727" t="n">
        <v>0.795</v>
      </c>
      <c r="M2727" t="n">
        <v>0.205</v>
      </c>
    </row>
    <row r="2728" spans="1:13">
      <c r="A2728" s="1">
        <f>HYPERLINK("http://www.twitter.com/NathanBLawrence/status/971151344290627587", "971151344290627587")</f>
        <v/>
      </c>
      <c r="B2728" s="2" t="n">
        <v>43165.93863425926</v>
      </c>
      <c r="C2728" t="n">
        <v>1</v>
      </c>
      <c r="D2728" t="n">
        <v>0</v>
      </c>
      <c r="E2728" t="s">
        <v>2730</v>
      </c>
      <c r="F2728" t="s"/>
      <c r="G2728" t="s"/>
      <c r="H2728" t="s"/>
      <c r="I2728" t="s"/>
      <c r="J2728" t="n">
        <v>0.4404</v>
      </c>
      <c r="K2728" t="n">
        <v>0</v>
      </c>
      <c r="L2728" t="n">
        <v>0.707</v>
      </c>
      <c r="M2728" t="n">
        <v>0.293</v>
      </c>
    </row>
    <row r="2729" spans="1:13">
      <c r="A2729" s="1">
        <f>HYPERLINK("http://www.twitter.com/NathanBLawrence/status/971150493761327104", "971150493761327104")</f>
        <v/>
      </c>
      <c r="B2729" s="2" t="n">
        <v>43165.93628472222</v>
      </c>
      <c r="C2729" t="n">
        <v>0</v>
      </c>
      <c r="D2729" t="n">
        <v>0</v>
      </c>
      <c r="E2729" t="s">
        <v>2731</v>
      </c>
      <c r="F2729" t="s"/>
      <c r="G2729" t="s"/>
      <c r="H2729" t="s"/>
      <c r="I2729" t="s"/>
      <c r="J2729" t="n">
        <v>0</v>
      </c>
      <c r="K2729" t="n">
        <v>0</v>
      </c>
      <c r="L2729" t="n">
        <v>1</v>
      </c>
      <c r="M2729" t="n">
        <v>0</v>
      </c>
    </row>
    <row r="2730" spans="1:13">
      <c r="A2730" s="1">
        <f>HYPERLINK("http://www.twitter.com/NathanBLawrence/status/971150255394783234", "971150255394783234")</f>
        <v/>
      </c>
      <c r="B2730" s="2" t="n">
        <v>43165.935625</v>
      </c>
      <c r="C2730" t="n">
        <v>0</v>
      </c>
      <c r="D2730" t="n">
        <v>1</v>
      </c>
      <c r="E2730" t="s">
        <v>2732</v>
      </c>
      <c r="F2730" t="s"/>
      <c r="G2730" t="s"/>
      <c r="H2730" t="s"/>
      <c r="I2730" t="s"/>
      <c r="J2730" t="n">
        <v>0.5266999999999999</v>
      </c>
      <c r="K2730" t="n">
        <v>0</v>
      </c>
      <c r="L2730" t="n">
        <v>0.848</v>
      </c>
      <c r="M2730" t="n">
        <v>0.152</v>
      </c>
    </row>
    <row r="2731" spans="1:13">
      <c r="A2731" s="1">
        <f>HYPERLINK("http://www.twitter.com/NathanBLawrence/status/971149788757536768", "971149788757536768")</f>
        <v/>
      </c>
      <c r="B2731" s="2" t="n">
        <v>43165.93434027778</v>
      </c>
      <c r="C2731" t="n">
        <v>0</v>
      </c>
      <c r="D2731" t="n">
        <v>1</v>
      </c>
      <c r="E2731" t="s">
        <v>2733</v>
      </c>
      <c r="F2731" t="s"/>
      <c r="G2731" t="s"/>
      <c r="H2731" t="s"/>
      <c r="I2731" t="s"/>
      <c r="J2731" t="n">
        <v>0</v>
      </c>
      <c r="K2731" t="n">
        <v>0</v>
      </c>
      <c r="L2731" t="n">
        <v>1</v>
      </c>
      <c r="M2731" t="n">
        <v>0</v>
      </c>
    </row>
    <row r="2732" spans="1:13">
      <c r="A2732" s="1">
        <f>HYPERLINK("http://www.twitter.com/NathanBLawrence/status/971149737649897472", "971149737649897472")</f>
        <v/>
      </c>
      <c r="B2732" s="2" t="n">
        <v>43165.93420138889</v>
      </c>
      <c r="C2732" t="n">
        <v>0</v>
      </c>
      <c r="D2732" t="n">
        <v>1</v>
      </c>
      <c r="E2732" t="s">
        <v>2734</v>
      </c>
      <c r="F2732" t="s"/>
      <c r="G2732" t="s"/>
      <c r="H2732" t="s"/>
      <c r="I2732" t="s"/>
      <c r="J2732" t="n">
        <v>0</v>
      </c>
      <c r="K2732" t="n">
        <v>0</v>
      </c>
      <c r="L2732" t="n">
        <v>1</v>
      </c>
      <c r="M2732" t="n">
        <v>0</v>
      </c>
    </row>
    <row r="2733" spans="1:13">
      <c r="A2733" s="1">
        <f>HYPERLINK("http://www.twitter.com/NathanBLawrence/status/971149701063086080", "971149701063086080")</f>
        <v/>
      </c>
      <c r="B2733" s="2" t="n">
        <v>43165.93409722222</v>
      </c>
      <c r="C2733" t="n">
        <v>2</v>
      </c>
      <c r="D2733" t="n">
        <v>0</v>
      </c>
      <c r="E2733" t="s">
        <v>2735</v>
      </c>
      <c r="F2733" t="s"/>
      <c r="G2733" t="s"/>
      <c r="H2733" t="s"/>
      <c r="I2733" t="s"/>
      <c r="J2733" t="n">
        <v>0.8658</v>
      </c>
      <c r="K2733" t="n">
        <v>0</v>
      </c>
      <c r="L2733" t="n">
        <v>0.767</v>
      </c>
      <c r="M2733" t="n">
        <v>0.233</v>
      </c>
    </row>
    <row r="2734" spans="1:13">
      <c r="A2734" s="1">
        <f>HYPERLINK("http://www.twitter.com/NathanBLawrence/status/971148260512616448", "971148260512616448")</f>
        <v/>
      </c>
      <c r="B2734" s="2" t="n">
        <v>43165.93012731482</v>
      </c>
      <c r="C2734" t="n">
        <v>0</v>
      </c>
      <c r="D2734" t="n">
        <v>0</v>
      </c>
      <c r="E2734" t="s">
        <v>2736</v>
      </c>
      <c r="F2734" t="s"/>
      <c r="G2734" t="s"/>
      <c r="H2734" t="s"/>
      <c r="I2734" t="s"/>
      <c r="J2734" t="n">
        <v>0.2732</v>
      </c>
      <c r="K2734" t="n">
        <v>0</v>
      </c>
      <c r="L2734" t="n">
        <v>0.851</v>
      </c>
      <c r="M2734" t="n">
        <v>0.149</v>
      </c>
    </row>
    <row r="2735" spans="1:13">
      <c r="A2735" s="1">
        <f>HYPERLINK("http://www.twitter.com/NathanBLawrence/status/971146681382260736", "971146681382260736")</f>
        <v/>
      </c>
      <c r="B2735" s="2" t="n">
        <v>43165.92576388889</v>
      </c>
      <c r="C2735" t="n">
        <v>0</v>
      </c>
      <c r="D2735" t="n">
        <v>0</v>
      </c>
      <c r="E2735" t="s">
        <v>2737</v>
      </c>
      <c r="F2735" t="s"/>
      <c r="G2735" t="s"/>
      <c r="H2735" t="s"/>
      <c r="I2735" t="s"/>
      <c r="J2735" t="n">
        <v>0</v>
      </c>
      <c r="K2735" t="n">
        <v>0</v>
      </c>
      <c r="L2735" t="n">
        <v>1</v>
      </c>
      <c r="M2735" t="n">
        <v>0</v>
      </c>
    </row>
    <row r="2736" spans="1:13">
      <c r="A2736" s="1">
        <f>HYPERLINK("http://www.twitter.com/NathanBLawrence/status/971143502871580672", "971143502871580672")</f>
        <v/>
      </c>
      <c r="B2736" s="2" t="n">
        <v>43165.91699074074</v>
      </c>
      <c r="C2736" t="n">
        <v>1</v>
      </c>
      <c r="D2736" t="n">
        <v>0</v>
      </c>
      <c r="E2736" t="s">
        <v>2738</v>
      </c>
      <c r="F2736" t="s"/>
      <c r="G2736" t="s"/>
      <c r="H2736" t="s"/>
      <c r="I2736" t="s"/>
      <c r="J2736" t="n">
        <v>0.3182</v>
      </c>
      <c r="K2736" t="n">
        <v>0</v>
      </c>
      <c r="L2736" t="n">
        <v>0.839</v>
      </c>
      <c r="M2736" t="n">
        <v>0.161</v>
      </c>
    </row>
    <row r="2737" spans="1:13">
      <c r="A2737" s="1">
        <f>HYPERLINK("http://www.twitter.com/NathanBLawrence/status/971142711167373314", "971142711167373314")</f>
        <v/>
      </c>
      <c r="B2737" s="2" t="n">
        <v>43165.91480324074</v>
      </c>
      <c r="C2737" t="n">
        <v>0</v>
      </c>
      <c r="D2737" t="n">
        <v>1</v>
      </c>
      <c r="E2737" t="s">
        <v>2739</v>
      </c>
      <c r="F2737" t="s"/>
      <c r="G2737" t="s"/>
      <c r="H2737" t="s"/>
      <c r="I2737" t="s"/>
      <c r="J2737" t="n">
        <v>0.34</v>
      </c>
      <c r="K2737" t="n">
        <v>0</v>
      </c>
      <c r="L2737" t="n">
        <v>0.915</v>
      </c>
      <c r="M2737" t="n">
        <v>0.08500000000000001</v>
      </c>
    </row>
    <row r="2738" spans="1:13">
      <c r="A2738" s="1">
        <f>HYPERLINK("http://www.twitter.com/NathanBLawrence/status/971142530132795396", "971142530132795396")</f>
        <v/>
      </c>
      <c r="B2738" s="2" t="n">
        <v>43165.91430555555</v>
      </c>
      <c r="C2738" t="n">
        <v>1</v>
      </c>
      <c r="D2738" t="n">
        <v>0</v>
      </c>
      <c r="E2738" t="s">
        <v>2740</v>
      </c>
      <c r="F2738" t="s"/>
      <c r="G2738" t="s"/>
      <c r="H2738" t="s"/>
      <c r="I2738" t="s"/>
      <c r="J2738" t="n">
        <v>-0.0258</v>
      </c>
      <c r="K2738" t="n">
        <v>0.104</v>
      </c>
      <c r="L2738" t="n">
        <v>0.796</v>
      </c>
      <c r="M2738" t="n">
        <v>0.1</v>
      </c>
    </row>
    <row r="2739" spans="1:13">
      <c r="A2739" s="1">
        <f>HYPERLINK("http://www.twitter.com/NathanBLawrence/status/971142087260459009", "971142087260459009")</f>
        <v/>
      </c>
      <c r="B2739" s="2" t="n">
        <v>43165.91309027778</v>
      </c>
      <c r="C2739" t="n">
        <v>0</v>
      </c>
      <c r="D2739" t="n">
        <v>0</v>
      </c>
      <c r="E2739" t="s">
        <v>2741</v>
      </c>
      <c r="F2739" t="s"/>
      <c r="G2739" t="s"/>
      <c r="H2739" t="s"/>
      <c r="I2739" t="s"/>
      <c r="J2739" t="n">
        <v>0.128</v>
      </c>
      <c r="K2739" t="n">
        <v>0.118</v>
      </c>
      <c r="L2739" t="n">
        <v>0.739</v>
      </c>
      <c r="M2739" t="n">
        <v>0.143</v>
      </c>
    </row>
    <row r="2740" spans="1:13">
      <c r="A2740" s="1">
        <f>HYPERLINK("http://www.twitter.com/NathanBLawrence/status/971141506424803328", "971141506424803328")</f>
        <v/>
      </c>
      <c r="B2740" s="2" t="n">
        <v>43165.91148148148</v>
      </c>
      <c r="C2740" t="n">
        <v>0</v>
      </c>
      <c r="D2740" t="n">
        <v>0</v>
      </c>
      <c r="E2740" t="s">
        <v>2742</v>
      </c>
      <c r="F2740" t="s"/>
      <c r="G2740" t="s"/>
      <c r="H2740" t="s"/>
      <c r="I2740" t="s"/>
      <c r="J2740" t="n">
        <v>-0.4588</v>
      </c>
      <c r="K2740" t="n">
        <v>0.375</v>
      </c>
      <c r="L2740" t="n">
        <v>0.625</v>
      </c>
      <c r="M2740" t="n">
        <v>0</v>
      </c>
    </row>
    <row r="2741" spans="1:13">
      <c r="A2741" s="1">
        <f>HYPERLINK("http://www.twitter.com/NathanBLawrence/status/971141360874115074", "971141360874115074")</f>
        <v/>
      </c>
      <c r="B2741" s="2" t="n">
        <v>43165.91108796297</v>
      </c>
      <c r="C2741" t="n">
        <v>0</v>
      </c>
      <c r="D2741" t="n">
        <v>1</v>
      </c>
      <c r="E2741" t="s">
        <v>2743</v>
      </c>
      <c r="F2741" t="s"/>
      <c r="G2741" t="s"/>
      <c r="H2741" t="s"/>
      <c r="I2741" t="s"/>
      <c r="J2741" t="n">
        <v>0.7096</v>
      </c>
      <c r="K2741" t="n">
        <v>0.112</v>
      </c>
      <c r="L2741" t="n">
        <v>0.595</v>
      </c>
      <c r="M2741" t="n">
        <v>0.294</v>
      </c>
    </row>
    <row r="2742" spans="1:13">
      <c r="A2742" s="1">
        <f>HYPERLINK("http://www.twitter.com/NathanBLawrence/status/971140782357958656", "971140782357958656")</f>
        <v/>
      </c>
      <c r="B2742" s="2" t="n">
        <v>43165.90949074074</v>
      </c>
      <c r="C2742" t="n">
        <v>0</v>
      </c>
      <c r="D2742" t="n">
        <v>0</v>
      </c>
      <c r="E2742" t="s">
        <v>2744</v>
      </c>
      <c r="F2742" t="s"/>
      <c r="G2742" t="s"/>
      <c r="H2742" t="s"/>
      <c r="I2742" t="s"/>
      <c r="J2742" t="n">
        <v>-0.296</v>
      </c>
      <c r="K2742" t="n">
        <v>0.232</v>
      </c>
      <c r="L2742" t="n">
        <v>0.61</v>
      </c>
      <c r="M2742" t="n">
        <v>0.159</v>
      </c>
    </row>
    <row r="2743" spans="1:13">
      <c r="A2743" s="1">
        <f>HYPERLINK("http://www.twitter.com/NathanBLawrence/status/971140140495179781", "971140140495179781")</f>
        <v/>
      </c>
      <c r="B2743" s="2" t="n">
        <v>43165.90771990741</v>
      </c>
      <c r="C2743" t="n">
        <v>0</v>
      </c>
      <c r="D2743" t="n">
        <v>0</v>
      </c>
      <c r="E2743" t="s">
        <v>2745</v>
      </c>
      <c r="F2743" t="s"/>
      <c r="G2743" t="s"/>
      <c r="H2743" t="s"/>
      <c r="I2743" t="s"/>
      <c r="J2743" t="n">
        <v>0.2536</v>
      </c>
      <c r="K2743" t="n">
        <v>0.154</v>
      </c>
      <c r="L2743" t="n">
        <v>0.618</v>
      </c>
      <c r="M2743" t="n">
        <v>0.228</v>
      </c>
    </row>
    <row r="2744" spans="1:13">
      <c r="A2744" s="1">
        <f>HYPERLINK("http://www.twitter.com/NathanBLawrence/status/971138684627144704", "971138684627144704")</f>
        <v/>
      </c>
      <c r="B2744" s="2" t="n">
        <v>43165.90369212963</v>
      </c>
      <c r="C2744" t="n">
        <v>0</v>
      </c>
      <c r="D2744" t="n">
        <v>0</v>
      </c>
      <c r="E2744" t="s">
        <v>2746</v>
      </c>
      <c r="F2744" t="s"/>
      <c r="G2744" t="s"/>
      <c r="H2744" t="s"/>
      <c r="I2744" t="s"/>
      <c r="J2744" t="n">
        <v>-0.6494</v>
      </c>
      <c r="K2744" t="n">
        <v>0.232</v>
      </c>
      <c r="L2744" t="n">
        <v>0.6820000000000001</v>
      </c>
      <c r="M2744" t="n">
        <v>0.08500000000000001</v>
      </c>
    </row>
    <row r="2745" spans="1:13">
      <c r="A2745" s="1">
        <f>HYPERLINK("http://www.twitter.com/NathanBLawrence/status/971137537283588096", "971137537283588096")</f>
        <v/>
      </c>
      <c r="B2745" s="2" t="n">
        <v>43165.90053240741</v>
      </c>
      <c r="C2745" t="n">
        <v>0</v>
      </c>
      <c r="D2745" t="n">
        <v>0</v>
      </c>
      <c r="E2745" t="s">
        <v>2747</v>
      </c>
      <c r="F2745" t="s"/>
      <c r="G2745" t="s"/>
      <c r="H2745" t="s"/>
      <c r="I2745" t="s"/>
      <c r="J2745" t="n">
        <v>0.7574</v>
      </c>
      <c r="K2745" t="n">
        <v>0.07099999999999999</v>
      </c>
      <c r="L2745" t="n">
        <v>0.706</v>
      </c>
      <c r="M2745" t="n">
        <v>0.223</v>
      </c>
    </row>
    <row r="2746" spans="1:13">
      <c r="A2746" s="1">
        <f>HYPERLINK("http://www.twitter.com/NathanBLawrence/status/971136245307932672", "971136245307932672")</f>
        <v/>
      </c>
      <c r="B2746" s="2" t="n">
        <v>43165.89696759259</v>
      </c>
      <c r="C2746" t="n">
        <v>0</v>
      </c>
      <c r="D2746" t="n">
        <v>529</v>
      </c>
      <c r="E2746" t="s">
        <v>2748</v>
      </c>
      <c r="F2746" t="s"/>
      <c r="G2746" t="s"/>
      <c r="H2746" t="s"/>
      <c r="I2746" t="s"/>
      <c r="J2746" t="n">
        <v>0</v>
      </c>
      <c r="K2746" t="n">
        <v>0</v>
      </c>
      <c r="L2746" t="n">
        <v>1</v>
      </c>
      <c r="M2746" t="n">
        <v>0</v>
      </c>
    </row>
    <row r="2747" spans="1:13">
      <c r="A2747" s="1">
        <f>HYPERLINK("http://www.twitter.com/NathanBLawrence/status/970410635635937287", "970410635635937287")</f>
        <v/>
      </c>
      <c r="B2747" s="2" t="n">
        <v>43163.89466435185</v>
      </c>
      <c r="C2747" t="n">
        <v>0</v>
      </c>
      <c r="D2747" t="n">
        <v>0</v>
      </c>
      <c r="E2747" t="s">
        <v>2749</v>
      </c>
      <c r="F2747" t="s"/>
      <c r="G2747" t="s"/>
      <c r="H2747" t="s"/>
      <c r="I2747" t="s"/>
      <c r="J2747" t="n">
        <v>0</v>
      </c>
      <c r="K2747" t="n">
        <v>0</v>
      </c>
      <c r="L2747" t="n">
        <v>1</v>
      </c>
      <c r="M2747" t="n">
        <v>0</v>
      </c>
    </row>
    <row r="2748" spans="1:13">
      <c r="A2748" s="1">
        <f>HYPERLINK("http://www.twitter.com/NathanBLawrence/status/970339143824871424", "970339143824871424")</f>
        <v/>
      </c>
      <c r="B2748" s="2" t="n">
        <v>43163.69738425926</v>
      </c>
      <c r="C2748" t="n">
        <v>0</v>
      </c>
      <c r="D2748" t="n">
        <v>0</v>
      </c>
      <c r="E2748" t="s">
        <v>2750</v>
      </c>
      <c r="F2748" t="s"/>
      <c r="G2748" t="s"/>
      <c r="H2748" t="s"/>
      <c r="I2748" t="s"/>
      <c r="J2748" t="n">
        <v>0</v>
      </c>
      <c r="K2748" t="n">
        <v>0</v>
      </c>
      <c r="L2748" t="n">
        <v>1</v>
      </c>
      <c r="M2748" t="n">
        <v>0</v>
      </c>
    </row>
    <row r="2749" spans="1:13">
      <c r="A2749" s="1">
        <f>HYPERLINK("http://www.twitter.com/NathanBLawrence/status/969573048998350848", "969573048998350848")</f>
        <v/>
      </c>
      <c r="B2749" s="2" t="n">
        <v>43161.58336805556</v>
      </c>
      <c r="C2749" t="n">
        <v>0</v>
      </c>
      <c r="D2749" t="n">
        <v>887</v>
      </c>
      <c r="E2749" t="s">
        <v>2751</v>
      </c>
      <c r="F2749" t="s"/>
      <c r="G2749" t="s"/>
      <c r="H2749" t="s"/>
      <c r="I2749" t="s"/>
      <c r="J2749" t="n">
        <v>0</v>
      </c>
      <c r="K2749" t="n">
        <v>0</v>
      </c>
      <c r="L2749" t="n">
        <v>1</v>
      </c>
      <c r="M2749" t="n">
        <v>0</v>
      </c>
    </row>
    <row r="2750" spans="1:13">
      <c r="A2750" s="1">
        <f>HYPERLINK("http://www.twitter.com/NathanBLawrence/status/969573029280931840", "969573029280931840")</f>
        <v/>
      </c>
      <c r="B2750" s="2" t="n">
        <v>43161.58331018518</v>
      </c>
      <c r="C2750" t="n">
        <v>0</v>
      </c>
      <c r="D2750" t="n">
        <v>5086</v>
      </c>
      <c r="E2750" t="s">
        <v>2752</v>
      </c>
      <c r="F2750" t="s"/>
      <c r="G2750" t="s"/>
      <c r="H2750" t="s"/>
      <c r="I2750" t="s"/>
      <c r="J2750" t="n">
        <v>0</v>
      </c>
      <c r="K2750" t="n">
        <v>0</v>
      </c>
      <c r="L2750" t="n">
        <v>1</v>
      </c>
      <c r="M2750" t="n">
        <v>0</v>
      </c>
    </row>
    <row r="2751" spans="1:13">
      <c r="A2751" s="1">
        <f>HYPERLINK("http://www.twitter.com/NathanBLawrence/status/969572912905752576", "969572912905752576")</f>
        <v/>
      </c>
      <c r="B2751" s="2" t="n">
        <v>43161.58298611111</v>
      </c>
      <c r="C2751" t="n">
        <v>0</v>
      </c>
      <c r="D2751" t="n">
        <v>1485</v>
      </c>
      <c r="E2751" t="s">
        <v>2753</v>
      </c>
      <c r="F2751">
        <f>HYPERLINK("http://pbs.twimg.com/media/DXSQlYsV4AIn7Fq.jpg", "http://pbs.twimg.com/media/DXSQlYsV4AIn7Fq.jpg")</f>
        <v/>
      </c>
      <c r="G2751" t="s"/>
      <c r="H2751" t="s"/>
      <c r="I2751" t="s"/>
      <c r="J2751" t="n">
        <v>0.2732</v>
      </c>
      <c r="K2751" t="n">
        <v>0.08599999999999999</v>
      </c>
      <c r="L2751" t="n">
        <v>0.784</v>
      </c>
      <c r="M2751" t="n">
        <v>0.129</v>
      </c>
    </row>
    <row r="2752" spans="1:13">
      <c r="A2752" s="1">
        <f>HYPERLINK("http://www.twitter.com/NathanBLawrence/status/969572865132593152", "969572865132593152")</f>
        <v/>
      </c>
      <c r="B2752" s="2" t="n">
        <v>43161.5828587963</v>
      </c>
      <c r="C2752" t="n">
        <v>0</v>
      </c>
      <c r="D2752" t="n">
        <v>11656</v>
      </c>
      <c r="E2752" t="s">
        <v>2754</v>
      </c>
      <c r="F2752" t="s"/>
      <c r="G2752" t="s"/>
      <c r="H2752" t="s"/>
      <c r="I2752" t="s"/>
      <c r="J2752" t="n">
        <v>0.0258</v>
      </c>
      <c r="K2752" t="n">
        <v>0.102</v>
      </c>
      <c r="L2752" t="n">
        <v>0.792</v>
      </c>
      <c r="M2752" t="n">
        <v>0.106</v>
      </c>
    </row>
    <row r="2753" spans="1:13">
      <c r="A2753" s="1">
        <f>HYPERLINK("http://www.twitter.com/NathanBLawrence/status/969572821784580096", "969572821784580096")</f>
        <v/>
      </c>
      <c r="B2753" s="2" t="n">
        <v>43161.58274305556</v>
      </c>
      <c r="C2753" t="n">
        <v>0</v>
      </c>
      <c r="D2753" t="n">
        <v>1173</v>
      </c>
      <c r="E2753" t="s">
        <v>2755</v>
      </c>
      <c r="F2753" t="s"/>
      <c r="G2753" t="s"/>
      <c r="H2753" t="s"/>
      <c r="I2753" t="s"/>
      <c r="J2753" t="n">
        <v>0</v>
      </c>
      <c r="K2753" t="n">
        <v>0</v>
      </c>
      <c r="L2753" t="n">
        <v>1</v>
      </c>
      <c r="M2753" t="n">
        <v>0</v>
      </c>
    </row>
    <row r="2754" spans="1:13">
      <c r="A2754" s="1">
        <f>HYPERLINK("http://www.twitter.com/NathanBLawrence/status/969255704677814272", "969255704677814272")</f>
        <v/>
      </c>
      <c r="B2754" s="2" t="n">
        <v>43160.70766203704</v>
      </c>
      <c r="C2754" t="n">
        <v>0</v>
      </c>
      <c r="D2754" t="n">
        <v>4</v>
      </c>
      <c r="E2754" t="s">
        <v>2756</v>
      </c>
      <c r="F2754" t="s"/>
      <c r="G2754" t="s"/>
      <c r="H2754" t="s"/>
      <c r="I2754" t="s"/>
      <c r="J2754" t="n">
        <v>0.4019</v>
      </c>
      <c r="K2754" t="n">
        <v>0</v>
      </c>
      <c r="L2754" t="n">
        <v>0.828</v>
      </c>
      <c r="M2754" t="n">
        <v>0.172</v>
      </c>
    </row>
    <row r="2755" spans="1:13">
      <c r="A2755" s="1">
        <f>HYPERLINK("http://www.twitter.com/NathanBLawrence/status/969255574197227521", "969255574197227521")</f>
        <v/>
      </c>
      <c r="B2755" s="2" t="n">
        <v>43160.70730324074</v>
      </c>
      <c r="C2755" t="n">
        <v>0</v>
      </c>
      <c r="D2755" t="n">
        <v>1</v>
      </c>
      <c r="E2755" t="s">
        <v>2757</v>
      </c>
      <c r="F2755" t="s"/>
      <c r="G2755" t="s"/>
      <c r="H2755" t="s"/>
      <c r="I2755" t="s"/>
      <c r="J2755" t="n">
        <v>0</v>
      </c>
      <c r="K2755" t="n">
        <v>0</v>
      </c>
      <c r="L2755" t="n">
        <v>1</v>
      </c>
      <c r="M2755" t="n">
        <v>0</v>
      </c>
    </row>
    <row r="2756" spans="1:13">
      <c r="A2756" s="1">
        <f>HYPERLINK("http://www.twitter.com/NathanBLawrence/status/969255285406814208", "969255285406814208")</f>
        <v/>
      </c>
      <c r="B2756" s="2" t="n">
        <v>43160.70650462963</v>
      </c>
      <c r="C2756" t="n">
        <v>0</v>
      </c>
      <c r="D2756" t="n">
        <v>4</v>
      </c>
      <c r="E2756" t="s">
        <v>2758</v>
      </c>
      <c r="F2756" t="s"/>
      <c r="G2756" t="s"/>
      <c r="H2756" t="s"/>
      <c r="I2756" t="s"/>
      <c r="J2756" t="n">
        <v>-0.34</v>
      </c>
      <c r="K2756" t="n">
        <v>0.118</v>
      </c>
      <c r="L2756" t="n">
        <v>0.882</v>
      </c>
      <c r="M2756" t="n">
        <v>0</v>
      </c>
    </row>
    <row r="2757" spans="1:13">
      <c r="A2757" s="1">
        <f>HYPERLINK("http://www.twitter.com/NathanBLawrence/status/969255217802956800", "969255217802956800")</f>
        <v/>
      </c>
      <c r="B2757" s="2" t="n">
        <v>43160.70631944444</v>
      </c>
      <c r="C2757" t="n">
        <v>0</v>
      </c>
      <c r="D2757" t="n">
        <v>2</v>
      </c>
      <c r="E2757" t="s">
        <v>2759</v>
      </c>
      <c r="F2757" t="s"/>
      <c r="G2757" t="s"/>
      <c r="H2757" t="s"/>
      <c r="I2757" t="s"/>
      <c r="J2757" t="n">
        <v>0</v>
      </c>
      <c r="K2757" t="n">
        <v>0</v>
      </c>
      <c r="L2757" t="n">
        <v>1</v>
      </c>
      <c r="M2757" t="n">
        <v>0</v>
      </c>
    </row>
    <row r="2758" spans="1:13">
      <c r="A2758" s="1">
        <f>HYPERLINK("http://www.twitter.com/NathanBLawrence/status/969255167819427840", "969255167819427840")</f>
        <v/>
      </c>
      <c r="B2758" s="2" t="n">
        <v>43160.70618055556</v>
      </c>
      <c r="C2758" t="n">
        <v>0</v>
      </c>
      <c r="D2758" t="n">
        <v>0</v>
      </c>
      <c r="E2758" t="s">
        <v>2760</v>
      </c>
      <c r="F2758" t="s"/>
      <c r="G2758" t="s"/>
      <c r="H2758" t="s"/>
      <c r="I2758" t="s"/>
      <c r="J2758" t="n">
        <v>0</v>
      </c>
      <c r="K2758" t="n">
        <v>0</v>
      </c>
      <c r="L2758" t="n">
        <v>1</v>
      </c>
      <c r="M2758" t="n">
        <v>0</v>
      </c>
    </row>
    <row r="2759" spans="1:13">
      <c r="A2759" s="1">
        <f>HYPERLINK("http://www.twitter.com/NathanBLawrence/status/969254027316867072", "969254027316867072")</f>
        <v/>
      </c>
      <c r="B2759" s="2" t="n">
        <v>43160.70303240741</v>
      </c>
      <c r="C2759" t="n">
        <v>0</v>
      </c>
      <c r="D2759" t="n">
        <v>0</v>
      </c>
      <c r="E2759" t="s">
        <v>2761</v>
      </c>
      <c r="F2759" t="s"/>
      <c r="G2759" t="s"/>
      <c r="H2759" t="s"/>
      <c r="I2759" t="s"/>
      <c r="J2759" t="n">
        <v>0.6092</v>
      </c>
      <c r="K2759" t="n">
        <v>0</v>
      </c>
      <c r="L2759" t="n">
        <v>0.828</v>
      </c>
      <c r="M2759" t="n">
        <v>0.172</v>
      </c>
    </row>
    <row r="2760" spans="1:13">
      <c r="A2760" s="1">
        <f>HYPERLINK("http://www.twitter.com/NathanBLawrence/status/969253453305470977", "969253453305470977")</f>
        <v/>
      </c>
      <c r="B2760" s="2" t="n">
        <v>43160.70144675926</v>
      </c>
      <c r="C2760" t="n">
        <v>0</v>
      </c>
      <c r="D2760" t="n">
        <v>0</v>
      </c>
      <c r="E2760" t="s">
        <v>2762</v>
      </c>
      <c r="F2760" t="s"/>
      <c r="G2760" t="s"/>
      <c r="H2760" t="s"/>
      <c r="I2760" t="s"/>
      <c r="J2760" t="n">
        <v>0</v>
      </c>
      <c r="K2760" t="n">
        <v>0</v>
      </c>
      <c r="L2760" t="n">
        <v>1</v>
      </c>
      <c r="M2760" t="n">
        <v>0</v>
      </c>
    </row>
    <row r="2761" spans="1:13">
      <c r="A2761" s="1">
        <f>HYPERLINK("http://www.twitter.com/NathanBLawrence/status/969252993525837827", "969252993525837827")</f>
        <v/>
      </c>
      <c r="B2761" s="2" t="n">
        <v>43160.70018518518</v>
      </c>
      <c r="C2761" t="n">
        <v>0</v>
      </c>
      <c r="D2761" t="n">
        <v>1</v>
      </c>
      <c r="E2761" t="s">
        <v>2763</v>
      </c>
      <c r="F2761" t="s"/>
      <c r="G2761" t="s"/>
      <c r="H2761" t="s"/>
      <c r="I2761" t="s"/>
      <c r="J2761" t="n">
        <v>0.762</v>
      </c>
      <c r="K2761" t="n">
        <v>0</v>
      </c>
      <c r="L2761" t="n">
        <v>0.753</v>
      </c>
      <c r="M2761" t="n">
        <v>0.247</v>
      </c>
    </row>
    <row r="2762" spans="1:13">
      <c r="A2762" s="1">
        <f>HYPERLINK("http://www.twitter.com/NathanBLawrence/status/969252877586849793", "969252877586849793")</f>
        <v/>
      </c>
      <c r="B2762" s="2" t="n">
        <v>43160.69986111111</v>
      </c>
      <c r="C2762" t="n">
        <v>0</v>
      </c>
      <c r="D2762" t="n">
        <v>0</v>
      </c>
      <c r="E2762" t="s">
        <v>2764</v>
      </c>
      <c r="F2762" t="s"/>
      <c r="G2762" t="s"/>
      <c r="H2762" t="s"/>
      <c r="I2762" t="s"/>
      <c r="J2762" t="n">
        <v>0</v>
      </c>
      <c r="K2762" t="n">
        <v>0</v>
      </c>
      <c r="L2762" t="n">
        <v>1</v>
      </c>
      <c r="M2762" t="n">
        <v>0</v>
      </c>
    </row>
    <row r="2763" spans="1:13">
      <c r="A2763" s="1">
        <f>HYPERLINK("http://www.twitter.com/NathanBLawrence/status/969252582534328321", "969252582534328321")</f>
        <v/>
      </c>
      <c r="B2763" s="2" t="n">
        <v>43160.69905092593</v>
      </c>
      <c r="C2763" t="n">
        <v>0</v>
      </c>
      <c r="D2763" t="n">
        <v>1</v>
      </c>
      <c r="E2763" t="s">
        <v>2765</v>
      </c>
      <c r="F2763" t="s"/>
      <c r="G2763" t="s"/>
      <c r="H2763" t="s"/>
      <c r="I2763" t="s"/>
      <c r="J2763" t="n">
        <v>-0.4939</v>
      </c>
      <c r="K2763" t="n">
        <v>0.144</v>
      </c>
      <c r="L2763" t="n">
        <v>0.856</v>
      </c>
      <c r="M2763" t="n">
        <v>0</v>
      </c>
    </row>
    <row r="2764" spans="1:13">
      <c r="A2764" s="1">
        <f>HYPERLINK("http://www.twitter.com/NathanBLawrence/status/969252295270653952", "969252295270653952")</f>
        <v/>
      </c>
      <c r="B2764" s="2" t="n">
        <v>43160.69825231482</v>
      </c>
      <c r="C2764" t="n">
        <v>0</v>
      </c>
      <c r="D2764" t="n">
        <v>1</v>
      </c>
      <c r="E2764" t="s">
        <v>2766</v>
      </c>
      <c r="F2764" t="s"/>
      <c r="G2764" t="s"/>
      <c r="H2764" t="s"/>
      <c r="I2764" t="s"/>
      <c r="J2764" t="n">
        <v>0.6229</v>
      </c>
      <c r="K2764" t="n">
        <v>0</v>
      </c>
      <c r="L2764" t="n">
        <v>0.825</v>
      </c>
      <c r="M2764" t="n">
        <v>0.175</v>
      </c>
    </row>
    <row r="2765" spans="1:13">
      <c r="A2765" s="1">
        <f>HYPERLINK("http://www.twitter.com/NathanBLawrence/status/969252211132858371", "969252211132858371")</f>
        <v/>
      </c>
      <c r="B2765" s="2" t="n">
        <v>43160.69802083333</v>
      </c>
      <c r="C2765" t="n">
        <v>1</v>
      </c>
      <c r="D2765" t="n">
        <v>1</v>
      </c>
      <c r="E2765" t="s">
        <v>2767</v>
      </c>
      <c r="F2765" t="s"/>
      <c r="G2765" t="s"/>
      <c r="H2765" t="s"/>
      <c r="I2765" t="s"/>
      <c r="J2765" t="n">
        <v>-0.7334000000000001</v>
      </c>
      <c r="K2765" t="n">
        <v>0.118</v>
      </c>
      <c r="L2765" t="n">
        <v>0.882</v>
      </c>
      <c r="M2765" t="n">
        <v>0</v>
      </c>
    </row>
    <row r="2766" spans="1:13">
      <c r="A2766" s="1">
        <f>HYPERLINK("http://www.twitter.com/NathanBLawrence/status/969251192508440578", "969251192508440578")</f>
        <v/>
      </c>
      <c r="B2766" s="2" t="n">
        <v>43160.69520833333</v>
      </c>
      <c r="C2766" t="n">
        <v>0</v>
      </c>
      <c r="D2766" t="n">
        <v>14</v>
      </c>
      <c r="E2766" t="s">
        <v>2768</v>
      </c>
      <c r="F2766" t="s"/>
      <c r="G2766" t="s"/>
      <c r="H2766" t="s"/>
      <c r="I2766" t="s"/>
      <c r="J2766" t="n">
        <v>0</v>
      </c>
      <c r="K2766" t="n">
        <v>0</v>
      </c>
      <c r="L2766" t="n">
        <v>1</v>
      </c>
      <c r="M2766" t="n">
        <v>0</v>
      </c>
    </row>
    <row r="2767" spans="1:13">
      <c r="A2767" s="1">
        <f>HYPERLINK("http://www.twitter.com/NathanBLawrence/status/969245796318236674", "969245796318236674")</f>
        <v/>
      </c>
      <c r="B2767" s="2" t="n">
        <v>43160.68032407408</v>
      </c>
      <c r="C2767" t="n">
        <v>0</v>
      </c>
      <c r="D2767" t="n">
        <v>1</v>
      </c>
      <c r="E2767" t="s">
        <v>2769</v>
      </c>
      <c r="F2767" t="s"/>
      <c r="G2767" t="s"/>
      <c r="H2767" t="s"/>
      <c r="I2767" t="s"/>
      <c r="J2767" t="n">
        <v>0</v>
      </c>
      <c r="K2767" t="n">
        <v>0</v>
      </c>
      <c r="L2767" t="n">
        <v>1</v>
      </c>
      <c r="M2767" t="n">
        <v>0</v>
      </c>
    </row>
    <row r="2768" spans="1:13">
      <c r="A2768" s="1">
        <f>HYPERLINK("http://www.twitter.com/NathanBLawrence/status/968994714551836672", "968994714551836672")</f>
        <v/>
      </c>
      <c r="B2768" s="2" t="n">
        <v>43159.98746527778</v>
      </c>
      <c r="C2768" t="n">
        <v>0</v>
      </c>
      <c r="D2768" t="n">
        <v>0</v>
      </c>
      <c r="E2768" t="s">
        <v>2770</v>
      </c>
      <c r="F2768" t="s"/>
      <c r="G2768" t="s"/>
      <c r="H2768" t="s"/>
      <c r="I2768" t="s"/>
      <c r="J2768" t="n">
        <v>-0.627</v>
      </c>
      <c r="K2768" t="n">
        <v>0.137</v>
      </c>
      <c r="L2768" t="n">
        <v>0.8169999999999999</v>
      </c>
      <c r="M2768" t="n">
        <v>0.046</v>
      </c>
    </row>
    <row r="2769" spans="1:13">
      <c r="A2769" s="1">
        <f>HYPERLINK("http://www.twitter.com/NathanBLawrence/status/968991520085987334", "968991520085987334")</f>
        <v/>
      </c>
      <c r="B2769" s="2" t="n">
        <v>43159.97865740741</v>
      </c>
      <c r="C2769" t="n">
        <v>0</v>
      </c>
      <c r="D2769" t="n">
        <v>8384</v>
      </c>
      <c r="E2769" t="s">
        <v>2771</v>
      </c>
      <c r="F2769" t="s"/>
      <c r="G2769" t="s"/>
      <c r="H2769" t="s"/>
      <c r="I2769" t="s"/>
      <c r="J2769" t="n">
        <v>-0.7184</v>
      </c>
      <c r="K2769" t="n">
        <v>0.266</v>
      </c>
      <c r="L2769" t="n">
        <v>0.664</v>
      </c>
      <c r="M2769" t="n">
        <v>0.07000000000000001</v>
      </c>
    </row>
    <row r="2770" spans="1:13">
      <c r="A2770" s="1">
        <f>HYPERLINK("http://www.twitter.com/NathanBLawrence/status/968991312048459778", "968991312048459778")</f>
        <v/>
      </c>
      <c r="B2770" s="2" t="n">
        <v>43159.9780787037</v>
      </c>
      <c r="C2770" t="n">
        <v>0</v>
      </c>
      <c r="D2770" t="n">
        <v>0</v>
      </c>
      <c r="E2770" t="s">
        <v>2772</v>
      </c>
      <c r="F2770" t="s"/>
      <c r="G2770" t="s"/>
      <c r="H2770" t="s"/>
      <c r="I2770" t="s"/>
      <c r="J2770" t="n">
        <v>0.2023</v>
      </c>
      <c r="K2770" t="n">
        <v>0</v>
      </c>
      <c r="L2770" t="n">
        <v>0.526</v>
      </c>
      <c r="M2770" t="n">
        <v>0.474</v>
      </c>
    </row>
    <row r="2771" spans="1:13">
      <c r="A2771" s="1">
        <f>HYPERLINK("http://www.twitter.com/NathanBLawrence/status/968991130212884480", "968991130212884480")</f>
        <v/>
      </c>
      <c r="B2771" s="2" t="n">
        <v>43159.97758101852</v>
      </c>
      <c r="C2771" t="n">
        <v>0</v>
      </c>
      <c r="D2771" t="n">
        <v>13035</v>
      </c>
      <c r="E2771" t="s">
        <v>2773</v>
      </c>
      <c r="F2771" t="s"/>
      <c r="G2771" t="s"/>
      <c r="H2771" t="s"/>
      <c r="I2771" t="s"/>
      <c r="J2771" t="n">
        <v>0.5266999999999999</v>
      </c>
      <c r="K2771" t="n">
        <v>0</v>
      </c>
      <c r="L2771" t="n">
        <v>0.855</v>
      </c>
      <c r="M2771" t="n">
        <v>0.145</v>
      </c>
    </row>
    <row r="2772" spans="1:13">
      <c r="A2772" s="1">
        <f>HYPERLINK("http://www.twitter.com/NathanBLawrence/status/968901936668971009", "968901936668971009")</f>
        <v/>
      </c>
      <c r="B2772" s="2" t="n">
        <v>43159.73144675926</v>
      </c>
      <c r="C2772" t="n">
        <v>0</v>
      </c>
      <c r="D2772" t="n">
        <v>0</v>
      </c>
      <c r="E2772" t="s">
        <v>2774</v>
      </c>
      <c r="F2772" t="s"/>
      <c r="G2772" t="s"/>
      <c r="H2772" t="s"/>
      <c r="I2772" t="s"/>
      <c r="J2772" t="n">
        <v>0.101</v>
      </c>
      <c r="K2772" t="n">
        <v>0.25</v>
      </c>
      <c r="L2772" t="n">
        <v>0.463</v>
      </c>
      <c r="M2772" t="n">
        <v>0.287</v>
      </c>
    </row>
    <row r="2773" spans="1:13">
      <c r="A2773" s="1">
        <f>HYPERLINK("http://www.twitter.com/NathanBLawrence/status/968900256304951297", "968900256304951297")</f>
        <v/>
      </c>
      <c r="B2773" s="2" t="n">
        <v>43159.72681712963</v>
      </c>
      <c r="C2773" t="n">
        <v>0</v>
      </c>
      <c r="D2773" t="n">
        <v>3563</v>
      </c>
      <c r="E2773" t="s">
        <v>2775</v>
      </c>
      <c r="F2773">
        <f>HYPERLINK("http://pbs.twimg.com/media/DEDDgezXcAAM9N6.jpg", "http://pbs.twimg.com/media/DEDDgezXcAAM9N6.jpg")</f>
        <v/>
      </c>
      <c r="G2773" t="s"/>
      <c r="H2773" t="s"/>
      <c r="I2773" t="s"/>
      <c r="J2773" t="n">
        <v>0.7482</v>
      </c>
      <c r="K2773" t="n">
        <v>0</v>
      </c>
      <c r="L2773" t="n">
        <v>0.8110000000000001</v>
      </c>
      <c r="M2773" t="n">
        <v>0.189</v>
      </c>
    </row>
    <row r="2774" spans="1:13">
      <c r="A2774" s="1">
        <f>HYPERLINK("http://www.twitter.com/NathanBLawrence/status/968899650542587904", "968899650542587904")</f>
        <v/>
      </c>
      <c r="B2774" s="2" t="n">
        <v>43159.72513888889</v>
      </c>
      <c r="C2774" t="n">
        <v>0</v>
      </c>
      <c r="D2774" t="n">
        <v>728</v>
      </c>
      <c r="E2774" t="s">
        <v>2776</v>
      </c>
      <c r="F2774" t="s"/>
      <c r="G2774" t="s"/>
      <c r="H2774" t="s"/>
      <c r="I2774" t="s"/>
      <c r="J2774" t="n">
        <v>-0.6739000000000001</v>
      </c>
      <c r="K2774" t="n">
        <v>0.29</v>
      </c>
      <c r="L2774" t="n">
        <v>0.591</v>
      </c>
      <c r="M2774" t="n">
        <v>0.118</v>
      </c>
    </row>
    <row r="2775" spans="1:13">
      <c r="A2775" s="1">
        <f>HYPERLINK("http://www.twitter.com/NathanBLawrence/status/968899601460842497", "968899601460842497")</f>
        <v/>
      </c>
      <c r="B2775" s="2" t="n">
        <v>43159.725</v>
      </c>
      <c r="C2775" t="n">
        <v>0</v>
      </c>
      <c r="D2775" t="n">
        <v>1462</v>
      </c>
      <c r="E2775" t="s">
        <v>2777</v>
      </c>
      <c r="F2775" t="s"/>
      <c r="G2775" t="s"/>
      <c r="H2775" t="s"/>
      <c r="I2775" t="s"/>
      <c r="J2775" t="n">
        <v>0.2263</v>
      </c>
      <c r="K2775" t="n">
        <v>0.143</v>
      </c>
      <c r="L2775" t="n">
        <v>0.673</v>
      </c>
      <c r="M2775" t="n">
        <v>0.184</v>
      </c>
    </row>
    <row r="2776" spans="1:13">
      <c r="A2776" s="1">
        <f>HYPERLINK("http://www.twitter.com/NathanBLawrence/status/968899570406182912", "968899570406182912")</f>
        <v/>
      </c>
      <c r="B2776" s="2" t="n">
        <v>43159.72491898148</v>
      </c>
      <c r="C2776" t="n">
        <v>0</v>
      </c>
      <c r="D2776" t="n">
        <v>22320</v>
      </c>
      <c r="E2776" t="s">
        <v>2778</v>
      </c>
      <c r="F2776" t="s"/>
      <c r="G2776" t="s"/>
      <c r="H2776" t="s"/>
      <c r="I2776" t="s"/>
      <c r="J2776" t="n">
        <v>-0.5574</v>
      </c>
      <c r="K2776" t="n">
        <v>0.223</v>
      </c>
      <c r="L2776" t="n">
        <v>0.777</v>
      </c>
      <c r="M2776" t="n">
        <v>0</v>
      </c>
    </row>
    <row r="2777" spans="1:13">
      <c r="A2777" s="1">
        <f>HYPERLINK("http://www.twitter.com/NathanBLawrence/status/968899196400144385", "968899196400144385")</f>
        <v/>
      </c>
      <c r="B2777" s="2" t="n">
        <v>43159.72388888889</v>
      </c>
      <c r="C2777" t="n">
        <v>0</v>
      </c>
      <c r="D2777" t="n">
        <v>366</v>
      </c>
      <c r="E2777" t="s">
        <v>2779</v>
      </c>
      <c r="F2777" t="s"/>
      <c r="G2777" t="s"/>
      <c r="H2777" t="s"/>
      <c r="I2777" t="s"/>
      <c r="J2777" t="n">
        <v>0.1513</v>
      </c>
      <c r="K2777" t="n">
        <v>0</v>
      </c>
      <c r="L2777" t="n">
        <v>0.9379999999999999</v>
      </c>
      <c r="M2777" t="n">
        <v>0.062</v>
      </c>
    </row>
    <row r="2778" spans="1:13">
      <c r="A2778" s="1">
        <f>HYPERLINK("http://www.twitter.com/NathanBLawrence/status/968898541128224768", "968898541128224768")</f>
        <v/>
      </c>
      <c r="B2778" s="2" t="n">
        <v>43159.72208333333</v>
      </c>
      <c r="C2778" t="n">
        <v>0</v>
      </c>
      <c r="D2778" t="n">
        <v>6</v>
      </c>
      <c r="E2778" t="s">
        <v>2780</v>
      </c>
      <c r="F2778">
        <f>HYPERLINK("http://pbs.twimg.com/media/DU6RjxAVwAAhvSv.jpg", "http://pbs.twimg.com/media/DU6RjxAVwAAhvSv.jpg")</f>
        <v/>
      </c>
      <c r="G2778" t="s"/>
      <c r="H2778" t="s"/>
      <c r="I2778" t="s"/>
      <c r="J2778" t="n">
        <v>0</v>
      </c>
      <c r="K2778" t="n">
        <v>0</v>
      </c>
      <c r="L2778" t="n">
        <v>1</v>
      </c>
      <c r="M2778" t="n">
        <v>0</v>
      </c>
    </row>
    <row r="2779" spans="1:13">
      <c r="A2779" s="1">
        <f>HYPERLINK("http://www.twitter.com/NathanBLawrence/status/968898473054691328", "968898473054691328")</f>
        <v/>
      </c>
      <c r="B2779" s="2" t="n">
        <v>43159.72188657407</v>
      </c>
      <c r="C2779" t="n">
        <v>1</v>
      </c>
      <c r="D2779" t="n">
        <v>0</v>
      </c>
      <c r="E2779" t="s">
        <v>2781</v>
      </c>
      <c r="F2779" t="s"/>
      <c r="G2779" t="s"/>
      <c r="H2779" t="s"/>
      <c r="I2779" t="s"/>
      <c r="J2779" t="n">
        <v>0</v>
      </c>
      <c r="K2779" t="n">
        <v>0</v>
      </c>
      <c r="L2779" t="n">
        <v>1</v>
      </c>
      <c r="M2779" t="n">
        <v>0</v>
      </c>
    </row>
    <row r="2780" spans="1:13">
      <c r="A2780" s="1">
        <f>HYPERLINK("http://www.twitter.com/NathanBLawrence/status/968898415118749699", "968898415118749699")</f>
        <v/>
      </c>
      <c r="B2780" s="2" t="n">
        <v>43159.72173611111</v>
      </c>
      <c r="C2780" t="n">
        <v>0</v>
      </c>
      <c r="D2780" t="n">
        <v>1</v>
      </c>
      <c r="E2780" t="s">
        <v>2782</v>
      </c>
      <c r="F2780" t="s"/>
      <c r="G2780" t="s"/>
      <c r="H2780" t="s"/>
      <c r="I2780" t="s"/>
      <c r="J2780" t="n">
        <v>0.2023</v>
      </c>
      <c r="K2780" t="n">
        <v>0.091</v>
      </c>
      <c r="L2780" t="n">
        <v>0.783</v>
      </c>
      <c r="M2780" t="n">
        <v>0.126</v>
      </c>
    </row>
    <row r="2781" spans="1:13">
      <c r="A2781" s="1">
        <f>HYPERLINK("http://www.twitter.com/NathanBLawrence/status/968898384911314945", "968898384911314945")</f>
        <v/>
      </c>
      <c r="B2781" s="2" t="n">
        <v>43159.72164351852</v>
      </c>
      <c r="C2781" t="n">
        <v>0</v>
      </c>
      <c r="D2781" t="n">
        <v>1</v>
      </c>
      <c r="E2781" t="s">
        <v>2783</v>
      </c>
      <c r="F2781">
        <f>HYPERLINK("http://pbs.twimg.com/media/DVsBmb3UQAEMmbR.jpg", "http://pbs.twimg.com/media/DVsBmb3UQAEMmbR.jpg")</f>
        <v/>
      </c>
      <c r="G2781" t="s"/>
      <c r="H2781" t="s"/>
      <c r="I2781" t="s"/>
      <c r="J2781" t="n">
        <v>0</v>
      </c>
      <c r="K2781" t="n">
        <v>0</v>
      </c>
      <c r="L2781" t="n">
        <v>1</v>
      </c>
      <c r="M2781" t="n">
        <v>0</v>
      </c>
    </row>
    <row r="2782" spans="1:13">
      <c r="A2782" s="1">
        <f>HYPERLINK("http://www.twitter.com/NathanBLawrence/status/968898003145773057", "968898003145773057")</f>
        <v/>
      </c>
      <c r="B2782" s="2" t="n">
        <v>43159.72059027778</v>
      </c>
      <c r="C2782" t="n">
        <v>0</v>
      </c>
      <c r="D2782" t="n">
        <v>2</v>
      </c>
      <c r="E2782" t="s">
        <v>2784</v>
      </c>
      <c r="F2782">
        <f>HYPERLINK("http://pbs.twimg.com/media/DWXeP-sVQAAtxxH.jpg", "http://pbs.twimg.com/media/DWXeP-sVQAAtxxH.jpg")</f>
        <v/>
      </c>
      <c r="G2782" t="s"/>
      <c r="H2782" t="s"/>
      <c r="I2782" t="s"/>
      <c r="J2782" t="n">
        <v>0.6114000000000001</v>
      </c>
      <c r="K2782" t="n">
        <v>0</v>
      </c>
      <c r="L2782" t="n">
        <v>0.6</v>
      </c>
      <c r="M2782" t="n">
        <v>0.4</v>
      </c>
    </row>
    <row r="2783" spans="1:13">
      <c r="A2783" s="1">
        <f>HYPERLINK("http://www.twitter.com/NathanBLawrence/status/968897161932009472", "968897161932009472")</f>
        <v/>
      </c>
      <c r="B2783" s="2" t="n">
        <v>43159.71827546296</v>
      </c>
      <c r="C2783" t="n">
        <v>0</v>
      </c>
      <c r="D2783" t="n">
        <v>1</v>
      </c>
      <c r="E2783" t="s">
        <v>2785</v>
      </c>
      <c r="F2783">
        <f>HYPERLINK("http://pbs.twimg.com/media/DWxTJSEVoAARnYp.jpg", "http://pbs.twimg.com/media/DWxTJSEVoAARnYp.jpg")</f>
        <v/>
      </c>
      <c r="G2783" t="s"/>
      <c r="H2783" t="s"/>
      <c r="I2783" t="s"/>
      <c r="J2783" t="n">
        <v>-0.3182</v>
      </c>
      <c r="K2783" t="n">
        <v>0.187</v>
      </c>
      <c r="L2783" t="n">
        <v>0.8129999999999999</v>
      </c>
      <c r="M2783" t="n">
        <v>0</v>
      </c>
    </row>
    <row r="2784" spans="1:13">
      <c r="A2784" s="1">
        <f>HYPERLINK("http://www.twitter.com/NathanBLawrence/status/968897149965684738", "968897149965684738")</f>
        <v/>
      </c>
      <c r="B2784" s="2" t="n">
        <v>43159.71824074074</v>
      </c>
      <c r="C2784" t="n">
        <v>0</v>
      </c>
      <c r="D2784" t="n">
        <v>1</v>
      </c>
      <c r="E2784" t="s">
        <v>2786</v>
      </c>
      <c r="F2784" t="s"/>
      <c r="G2784" t="s"/>
      <c r="H2784" t="s"/>
      <c r="I2784" t="s"/>
      <c r="J2784" t="n">
        <v>0.7177</v>
      </c>
      <c r="K2784" t="n">
        <v>0.122</v>
      </c>
      <c r="L2784" t="n">
        <v>0.5590000000000001</v>
      </c>
      <c r="M2784" t="n">
        <v>0.319</v>
      </c>
    </row>
    <row r="2785" spans="1:13">
      <c r="A2785" s="1">
        <f>HYPERLINK("http://www.twitter.com/NathanBLawrence/status/968896735195123713", "968896735195123713")</f>
        <v/>
      </c>
      <c r="B2785" s="2" t="n">
        <v>43159.71709490741</v>
      </c>
      <c r="C2785" t="n">
        <v>0</v>
      </c>
      <c r="D2785" t="n">
        <v>22</v>
      </c>
      <c r="E2785" t="s">
        <v>2787</v>
      </c>
      <c r="F2785" t="s"/>
      <c r="G2785" t="s"/>
      <c r="H2785" t="s"/>
      <c r="I2785" t="s"/>
      <c r="J2785" t="n">
        <v>0</v>
      </c>
      <c r="K2785" t="n">
        <v>0</v>
      </c>
      <c r="L2785" t="n">
        <v>1</v>
      </c>
      <c r="M2785" t="n">
        <v>0</v>
      </c>
    </row>
    <row r="2786" spans="1:13">
      <c r="A2786" s="1">
        <f>HYPERLINK("http://www.twitter.com/NathanBLawrence/status/968896668237262848", "968896668237262848")</f>
        <v/>
      </c>
      <c r="B2786" s="2" t="n">
        <v>43159.71690972222</v>
      </c>
      <c r="C2786" t="n">
        <v>0</v>
      </c>
      <c r="D2786" t="n">
        <v>48</v>
      </c>
      <c r="E2786" t="s">
        <v>2788</v>
      </c>
      <c r="F2786">
        <f>HYPERLINK("http://pbs.twimg.com/media/DWx9y5KV4AEydqu.jpg", "http://pbs.twimg.com/media/DWx9y5KV4AEydqu.jpg")</f>
        <v/>
      </c>
      <c r="G2786" t="s"/>
      <c r="H2786" t="s"/>
      <c r="I2786" t="s"/>
      <c r="J2786" t="n">
        <v>-0.4588</v>
      </c>
      <c r="K2786" t="n">
        <v>0.143</v>
      </c>
      <c r="L2786" t="n">
        <v>0.857</v>
      </c>
      <c r="M2786" t="n">
        <v>0</v>
      </c>
    </row>
    <row r="2787" spans="1:13">
      <c r="A2787" s="1">
        <f>HYPERLINK("http://www.twitter.com/NathanBLawrence/status/968896417162022912", "968896417162022912")</f>
        <v/>
      </c>
      <c r="B2787" s="2" t="n">
        <v>43159.71621527777</v>
      </c>
      <c r="C2787" t="n">
        <v>0</v>
      </c>
      <c r="D2787" t="n">
        <v>129</v>
      </c>
      <c r="E2787" t="s">
        <v>2789</v>
      </c>
      <c r="F2787" t="s"/>
      <c r="G2787" t="s"/>
      <c r="H2787" t="s"/>
      <c r="I2787" t="s"/>
      <c r="J2787" t="n">
        <v>-0.7804</v>
      </c>
      <c r="K2787" t="n">
        <v>0.316</v>
      </c>
      <c r="L2787" t="n">
        <v>0.594</v>
      </c>
      <c r="M2787" t="n">
        <v>0.09</v>
      </c>
    </row>
    <row r="2788" spans="1:13">
      <c r="A2788" s="1">
        <f>HYPERLINK("http://www.twitter.com/NathanBLawrence/status/968896107651784704", "968896107651784704")</f>
        <v/>
      </c>
      <c r="B2788" s="2" t="n">
        <v>43159.7153587963</v>
      </c>
      <c r="C2788" t="n">
        <v>0</v>
      </c>
      <c r="D2788" t="n">
        <v>392</v>
      </c>
      <c r="E2788" t="s">
        <v>2790</v>
      </c>
      <c r="F2788" t="s"/>
      <c r="G2788" t="s"/>
      <c r="H2788" t="s"/>
      <c r="I2788" t="s"/>
      <c r="J2788" t="n">
        <v>0.3182</v>
      </c>
      <c r="K2788" t="n">
        <v>0.1</v>
      </c>
      <c r="L2788" t="n">
        <v>0.717</v>
      </c>
      <c r="M2788" t="n">
        <v>0.183</v>
      </c>
    </row>
    <row r="2789" spans="1:13">
      <c r="A2789" s="1">
        <f>HYPERLINK("http://www.twitter.com/NathanBLawrence/status/968896013137268736", "968896013137268736")</f>
        <v/>
      </c>
      <c r="B2789" s="2" t="n">
        <v>43159.71510416667</v>
      </c>
      <c r="C2789" t="n">
        <v>0</v>
      </c>
      <c r="D2789" t="n">
        <v>214</v>
      </c>
      <c r="E2789" t="s">
        <v>2791</v>
      </c>
      <c r="F2789" t="s"/>
      <c r="G2789" t="s"/>
      <c r="H2789" t="s"/>
      <c r="I2789" t="s"/>
      <c r="J2789" t="n">
        <v>-0.3182</v>
      </c>
      <c r="K2789" t="n">
        <v>0.091</v>
      </c>
      <c r="L2789" t="n">
        <v>0.909</v>
      </c>
      <c r="M2789" t="n">
        <v>0</v>
      </c>
    </row>
    <row r="2790" spans="1:13">
      <c r="A2790" s="1">
        <f>HYPERLINK("http://www.twitter.com/NathanBLawrence/status/968892965883187205", "968892965883187205")</f>
        <v/>
      </c>
      <c r="B2790" s="2" t="n">
        <v>43159.70668981481</v>
      </c>
      <c r="C2790" t="n">
        <v>0</v>
      </c>
      <c r="D2790" t="n">
        <v>4</v>
      </c>
      <c r="E2790" t="s">
        <v>2792</v>
      </c>
      <c r="F2790" t="s"/>
      <c r="G2790" t="s"/>
      <c r="H2790" t="s"/>
      <c r="I2790" t="s"/>
      <c r="J2790" t="n">
        <v>0</v>
      </c>
      <c r="K2790" t="n">
        <v>0</v>
      </c>
      <c r="L2790" t="n">
        <v>1</v>
      </c>
      <c r="M2790" t="n">
        <v>0</v>
      </c>
    </row>
    <row r="2791" spans="1:13">
      <c r="A2791" s="1">
        <f>HYPERLINK("http://www.twitter.com/NathanBLawrence/status/968892819900391425", "968892819900391425")</f>
        <v/>
      </c>
      <c r="B2791" s="2" t="n">
        <v>43159.7062962963</v>
      </c>
      <c r="C2791" t="n">
        <v>0</v>
      </c>
      <c r="D2791" t="n">
        <v>18</v>
      </c>
      <c r="E2791" t="s">
        <v>2793</v>
      </c>
      <c r="F2791" t="s"/>
      <c r="G2791" t="s"/>
      <c r="H2791" t="s"/>
      <c r="I2791" t="s"/>
      <c r="J2791" t="n">
        <v>-0.2023</v>
      </c>
      <c r="K2791" t="n">
        <v>0.113</v>
      </c>
      <c r="L2791" t="n">
        <v>0.803</v>
      </c>
      <c r="M2791" t="n">
        <v>0.08400000000000001</v>
      </c>
    </row>
    <row r="2792" spans="1:13">
      <c r="A2792" s="1">
        <f>HYPERLINK("http://www.twitter.com/NathanBLawrence/status/968889531519897601", "968889531519897601")</f>
        <v/>
      </c>
      <c r="B2792" s="2" t="n">
        <v>43159.69722222222</v>
      </c>
      <c r="C2792" t="n">
        <v>0</v>
      </c>
      <c r="D2792" t="n">
        <v>533</v>
      </c>
      <c r="E2792" t="s">
        <v>2794</v>
      </c>
      <c r="F2792">
        <f>HYPERLINK("https://video.twimg.com/amplify_video/949266587596591105/vid/1280x720/CJ_MOUbHpJOzTNO0.mp4", "https://video.twimg.com/amplify_video/949266587596591105/vid/1280x720/CJ_MOUbHpJOzTNO0.mp4")</f>
        <v/>
      </c>
      <c r="G2792" t="s"/>
      <c r="H2792" t="s"/>
      <c r="I2792" t="s"/>
      <c r="J2792" t="n">
        <v>-0.4374</v>
      </c>
      <c r="K2792" t="n">
        <v>0.138</v>
      </c>
      <c r="L2792" t="n">
        <v>0.862</v>
      </c>
      <c r="M2792" t="n">
        <v>0</v>
      </c>
    </row>
    <row r="2793" spans="1:13">
      <c r="A2793" s="1">
        <f>HYPERLINK("http://www.twitter.com/NathanBLawrence/status/968889157492887552", "968889157492887552")</f>
        <v/>
      </c>
      <c r="B2793" s="2" t="n">
        <v>43159.69618055555</v>
      </c>
      <c r="C2793" t="n">
        <v>0</v>
      </c>
      <c r="D2793" t="n">
        <v>39</v>
      </c>
      <c r="E2793" t="s">
        <v>2795</v>
      </c>
      <c r="F2793" t="s"/>
      <c r="G2793" t="s"/>
      <c r="H2793" t="s"/>
      <c r="I2793" t="s"/>
      <c r="J2793" t="n">
        <v>-0.7206</v>
      </c>
      <c r="K2793" t="n">
        <v>0.251</v>
      </c>
      <c r="L2793" t="n">
        <v>0.749</v>
      </c>
      <c r="M2793" t="n">
        <v>0</v>
      </c>
    </row>
    <row r="2794" spans="1:13">
      <c r="A2794" s="1">
        <f>HYPERLINK("http://www.twitter.com/NathanBLawrence/status/968889040387870720", "968889040387870720")</f>
        <v/>
      </c>
      <c r="B2794" s="2" t="n">
        <v>43159.69585648148</v>
      </c>
      <c r="C2794" t="n">
        <v>0</v>
      </c>
      <c r="D2794" t="n">
        <v>10</v>
      </c>
      <c r="E2794" t="s">
        <v>2796</v>
      </c>
      <c r="F2794" t="s"/>
      <c r="G2794" t="s"/>
      <c r="H2794" t="s"/>
      <c r="I2794" t="s"/>
      <c r="J2794" t="n">
        <v>-0.5306999999999999</v>
      </c>
      <c r="K2794" t="n">
        <v>0.146</v>
      </c>
      <c r="L2794" t="n">
        <v>0.854</v>
      </c>
      <c r="M2794" t="n">
        <v>0</v>
      </c>
    </row>
    <row r="2795" spans="1:13">
      <c r="A2795" s="1">
        <f>HYPERLINK("http://www.twitter.com/NathanBLawrence/status/968888210913980416", "968888210913980416")</f>
        <v/>
      </c>
      <c r="B2795" s="2" t="n">
        <v>43159.69357638889</v>
      </c>
      <c r="C2795" t="n">
        <v>0</v>
      </c>
      <c r="D2795" t="n">
        <v>104</v>
      </c>
      <c r="E2795" t="s">
        <v>2797</v>
      </c>
      <c r="F2795" t="s"/>
      <c r="G2795" t="s"/>
      <c r="H2795" t="s"/>
      <c r="I2795" t="s"/>
      <c r="J2795" t="n">
        <v>0</v>
      </c>
      <c r="K2795" t="n">
        <v>0</v>
      </c>
      <c r="L2795" t="n">
        <v>1</v>
      </c>
      <c r="M2795" t="n">
        <v>0</v>
      </c>
    </row>
    <row r="2796" spans="1:13">
      <c r="A2796" s="1">
        <f>HYPERLINK("http://www.twitter.com/NathanBLawrence/status/968888012753993731", "968888012753993731")</f>
        <v/>
      </c>
      <c r="B2796" s="2" t="n">
        <v>43159.69302083334</v>
      </c>
      <c r="C2796" t="n">
        <v>0</v>
      </c>
      <c r="D2796" t="n">
        <v>93</v>
      </c>
      <c r="E2796" t="s">
        <v>2798</v>
      </c>
      <c r="F2796" t="s"/>
      <c r="G2796" t="s"/>
      <c r="H2796" t="s"/>
      <c r="I2796" t="s"/>
      <c r="J2796" t="n">
        <v>-0.4514</v>
      </c>
      <c r="K2796" t="n">
        <v>0.21</v>
      </c>
      <c r="L2796" t="n">
        <v>0.68</v>
      </c>
      <c r="M2796" t="n">
        <v>0.11</v>
      </c>
    </row>
    <row r="2797" spans="1:13">
      <c r="A2797" s="1">
        <f>HYPERLINK("http://www.twitter.com/NathanBLawrence/status/968886161119825920", "968886161119825920")</f>
        <v/>
      </c>
      <c r="B2797" s="2" t="n">
        <v>43159.68791666667</v>
      </c>
      <c r="C2797" t="n">
        <v>0</v>
      </c>
      <c r="D2797" t="n">
        <v>2</v>
      </c>
      <c r="E2797" t="s">
        <v>2799</v>
      </c>
      <c r="F2797">
        <f>HYPERLINK("http://pbs.twimg.com/media/DSzRdeUUQAAkskN.jpg", "http://pbs.twimg.com/media/DSzRdeUUQAAkskN.jpg")</f>
        <v/>
      </c>
      <c r="G2797" t="s"/>
      <c r="H2797" t="s"/>
      <c r="I2797" t="s"/>
      <c r="J2797" t="n">
        <v>-0.6249</v>
      </c>
      <c r="K2797" t="n">
        <v>0.242</v>
      </c>
      <c r="L2797" t="n">
        <v>0.758</v>
      </c>
      <c r="M2797" t="n">
        <v>0</v>
      </c>
    </row>
    <row r="2798" spans="1:13">
      <c r="A2798" s="1">
        <f>HYPERLINK("http://www.twitter.com/NathanBLawrence/status/968886062864101376", "968886062864101376")</f>
        <v/>
      </c>
      <c r="B2798" s="2" t="n">
        <v>43159.68765046296</v>
      </c>
      <c r="C2798" t="n">
        <v>0</v>
      </c>
      <c r="D2798" t="n">
        <v>4</v>
      </c>
      <c r="E2798" t="s">
        <v>2800</v>
      </c>
      <c r="F2798" t="s"/>
      <c r="G2798" t="s"/>
      <c r="H2798" t="s"/>
      <c r="I2798" t="s"/>
      <c r="J2798" t="n">
        <v>-0.5457</v>
      </c>
      <c r="K2798" t="n">
        <v>0.21</v>
      </c>
      <c r="L2798" t="n">
        <v>0.79</v>
      </c>
      <c r="M2798" t="n">
        <v>0</v>
      </c>
    </row>
    <row r="2799" spans="1:13">
      <c r="A2799" s="1">
        <f>HYPERLINK("http://www.twitter.com/NathanBLawrence/status/968885716020318208", "968885716020318208")</f>
        <v/>
      </c>
      <c r="B2799" s="2" t="n">
        <v>43159.68668981481</v>
      </c>
      <c r="C2799" t="n">
        <v>0</v>
      </c>
      <c r="D2799" t="n">
        <v>1</v>
      </c>
      <c r="E2799" t="s">
        <v>2801</v>
      </c>
      <c r="F2799" t="s"/>
      <c r="G2799" t="s"/>
      <c r="H2799" t="s"/>
      <c r="I2799" t="s"/>
      <c r="J2799" t="n">
        <v>0.6908</v>
      </c>
      <c r="K2799" t="n">
        <v>0.092</v>
      </c>
      <c r="L2799" t="n">
        <v>0.553</v>
      </c>
      <c r="M2799" t="n">
        <v>0.355</v>
      </c>
    </row>
    <row r="2800" spans="1:13">
      <c r="A2800" s="1">
        <f>HYPERLINK("http://www.twitter.com/NathanBLawrence/status/968885646902341634", "968885646902341634")</f>
        <v/>
      </c>
      <c r="B2800" s="2" t="n">
        <v>43159.68649305555</v>
      </c>
      <c r="C2800" t="n">
        <v>0</v>
      </c>
      <c r="D2800" t="n">
        <v>1</v>
      </c>
      <c r="E2800" t="s">
        <v>2802</v>
      </c>
      <c r="F2800">
        <f>HYPERLINK("http://pbs.twimg.com/media/DXInbDeVAAA5Mz2.jpg", "http://pbs.twimg.com/media/DXInbDeVAAA5Mz2.jpg")</f>
        <v/>
      </c>
      <c r="G2800" t="s"/>
      <c r="H2800" t="s"/>
      <c r="I2800" t="s"/>
      <c r="J2800" t="n">
        <v>0.4404</v>
      </c>
      <c r="K2800" t="n">
        <v>0</v>
      </c>
      <c r="L2800" t="n">
        <v>0.892</v>
      </c>
      <c r="M2800" t="n">
        <v>0.108</v>
      </c>
    </row>
    <row r="2801" spans="1:13">
      <c r="A2801" s="1">
        <f>HYPERLINK("http://www.twitter.com/NathanBLawrence/status/968882865273556994", "968882865273556994")</f>
        <v/>
      </c>
      <c r="B2801" s="2" t="n">
        <v>43159.67881944445</v>
      </c>
      <c r="C2801" t="n">
        <v>0</v>
      </c>
      <c r="D2801" t="n">
        <v>1784</v>
      </c>
      <c r="E2801" t="s">
        <v>2803</v>
      </c>
      <c r="F2801">
        <f>HYPERLINK("http://pbs.twimg.com/media/DW_8Q1pXcAAEcfs.jpg", "http://pbs.twimg.com/media/DW_8Q1pXcAAEcfs.jpg")</f>
        <v/>
      </c>
      <c r="G2801" t="s"/>
      <c r="H2801" t="s"/>
      <c r="I2801" t="s"/>
      <c r="J2801" t="n">
        <v>-0.8225</v>
      </c>
      <c r="K2801" t="n">
        <v>0.312</v>
      </c>
      <c r="L2801" t="n">
        <v>0.6879999999999999</v>
      </c>
      <c r="M2801" t="n">
        <v>0</v>
      </c>
    </row>
    <row r="2802" spans="1:13">
      <c r="A2802" s="1">
        <f>HYPERLINK("http://www.twitter.com/NathanBLawrence/status/968882617268539399", "968882617268539399")</f>
        <v/>
      </c>
      <c r="B2802" s="2" t="n">
        <v>43159.67813657408</v>
      </c>
      <c r="C2802" t="n">
        <v>0</v>
      </c>
      <c r="D2802" t="n">
        <v>1</v>
      </c>
      <c r="E2802" t="s">
        <v>2804</v>
      </c>
      <c r="F2802" t="s"/>
      <c r="G2802" t="s"/>
      <c r="H2802" t="s"/>
      <c r="I2802" t="s"/>
      <c r="J2802" t="n">
        <v>-0.9117</v>
      </c>
      <c r="K2802" t="n">
        <v>0.436</v>
      </c>
      <c r="L2802" t="n">
        <v>0.5639999999999999</v>
      </c>
      <c r="M2802" t="n">
        <v>0</v>
      </c>
    </row>
    <row r="2803" spans="1:13">
      <c r="A2803" s="1">
        <f>HYPERLINK("http://www.twitter.com/NathanBLawrence/status/968882250296254464", "968882250296254464")</f>
        <v/>
      </c>
      <c r="B2803" s="2" t="n">
        <v>43159.67712962963</v>
      </c>
      <c r="C2803" t="n">
        <v>0</v>
      </c>
      <c r="D2803" t="n">
        <v>2</v>
      </c>
      <c r="E2803" t="s">
        <v>2805</v>
      </c>
      <c r="F2803" t="s"/>
      <c r="G2803" t="s"/>
      <c r="H2803" t="s"/>
      <c r="I2803" t="s"/>
      <c r="J2803" t="n">
        <v>0.3612</v>
      </c>
      <c r="K2803" t="n">
        <v>0</v>
      </c>
      <c r="L2803" t="n">
        <v>0.902</v>
      </c>
      <c r="M2803" t="n">
        <v>0.098</v>
      </c>
    </row>
    <row r="2804" spans="1:13">
      <c r="A2804" s="1">
        <f>HYPERLINK("http://www.twitter.com/NathanBLawrence/status/968882208676212736", "968882208676212736")</f>
        <v/>
      </c>
      <c r="B2804" s="2" t="n">
        <v>43159.67701388889</v>
      </c>
      <c r="C2804" t="n">
        <v>0</v>
      </c>
      <c r="D2804" t="n">
        <v>2</v>
      </c>
      <c r="E2804" t="s">
        <v>2806</v>
      </c>
      <c r="F2804" t="s"/>
      <c r="G2804" t="s"/>
      <c r="H2804" t="s"/>
      <c r="I2804" t="s"/>
      <c r="J2804" t="n">
        <v>0</v>
      </c>
      <c r="K2804" t="n">
        <v>0</v>
      </c>
      <c r="L2804" t="n">
        <v>1</v>
      </c>
      <c r="M2804" t="n">
        <v>0</v>
      </c>
    </row>
    <row r="2805" spans="1:13">
      <c r="A2805" s="1">
        <f>HYPERLINK("http://www.twitter.com/NathanBLawrence/status/968881997652414464", "968881997652414464")</f>
        <v/>
      </c>
      <c r="B2805" s="2" t="n">
        <v>43159.67642361111</v>
      </c>
      <c r="C2805" t="n">
        <v>0</v>
      </c>
      <c r="D2805" t="n">
        <v>1</v>
      </c>
      <c r="E2805" t="s">
        <v>2807</v>
      </c>
      <c r="F2805" t="s"/>
      <c r="G2805" t="s"/>
      <c r="H2805" t="s"/>
      <c r="I2805" t="s"/>
      <c r="J2805" t="n">
        <v>0.128</v>
      </c>
      <c r="K2805" t="n">
        <v>0</v>
      </c>
      <c r="L2805" t="n">
        <v>0.927</v>
      </c>
      <c r="M2805" t="n">
        <v>0.073</v>
      </c>
    </row>
    <row r="2806" spans="1:13">
      <c r="A2806" s="1">
        <f>HYPERLINK("http://www.twitter.com/NathanBLawrence/status/968881519837237248", "968881519837237248")</f>
        <v/>
      </c>
      <c r="B2806" s="2" t="n">
        <v>43159.67510416666</v>
      </c>
      <c r="C2806" t="n">
        <v>0</v>
      </c>
      <c r="D2806" t="n">
        <v>3</v>
      </c>
      <c r="E2806" t="s">
        <v>2808</v>
      </c>
      <c r="F2806" t="s"/>
      <c r="G2806" t="s"/>
      <c r="H2806" t="s"/>
      <c r="I2806" t="s"/>
      <c r="J2806" t="n">
        <v>0.3455</v>
      </c>
      <c r="K2806" t="n">
        <v>0.082</v>
      </c>
      <c r="L2806" t="n">
        <v>0.778</v>
      </c>
      <c r="M2806" t="n">
        <v>0.14</v>
      </c>
    </row>
    <row r="2807" spans="1:13">
      <c r="A2807" s="1">
        <f>HYPERLINK("http://www.twitter.com/NathanBLawrence/status/968881445174431744", "968881445174431744")</f>
        <v/>
      </c>
      <c r="B2807" s="2" t="n">
        <v>43159.67490740741</v>
      </c>
      <c r="C2807" t="n">
        <v>0</v>
      </c>
      <c r="D2807" t="n">
        <v>4</v>
      </c>
      <c r="E2807" t="s">
        <v>2809</v>
      </c>
      <c r="F2807" t="s"/>
      <c r="G2807" t="s"/>
      <c r="H2807" t="s"/>
      <c r="I2807" t="s"/>
      <c r="J2807" t="n">
        <v>-0.6249</v>
      </c>
      <c r="K2807" t="n">
        <v>0.24</v>
      </c>
      <c r="L2807" t="n">
        <v>0.76</v>
      </c>
      <c r="M2807" t="n">
        <v>0</v>
      </c>
    </row>
    <row r="2808" spans="1:13">
      <c r="A2808" s="1">
        <f>HYPERLINK("http://www.twitter.com/NathanBLawrence/status/968880485937156096", "968880485937156096")</f>
        <v/>
      </c>
      <c r="B2808" s="2" t="n">
        <v>43159.67225694445</v>
      </c>
      <c r="C2808" t="n">
        <v>0</v>
      </c>
      <c r="D2808" t="n">
        <v>3</v>
      </c>
      <c r="E2808" t="s">
        <v>2810</v>
      </c>
      <c r="F2808" t="s"/>
      <c r="G2808" t="s"/>
      <c r="H2808" t="s"/>
      <c r="I2808" t="s"/>
      <c r="J2808" t="n">
        <v>0.34</v>
      </c>
      <c r="K2808" t="n">
        <v>0</v>
      </c>
      <c r="L2808" t="n">
        <v>0.854</v>
      </c>
      <c r="M2808" t="n">
        <v>0.146</v>
      </c>
    </row>
    <row r="2809" spans="1:13">
      <c r="A2809" s="1">
        <f>HYPERLINK("http://www.twitter.com/NathanBLawrence/status/968880469805797376", "968880469805797376")</f>
        <v/>
      </c>
      <c r="B2809" s="2" t="n">
        <v>43159.67221064815</v>
      </c>
      <c r="C2809" t="n">
        <v>0</v>
      </c>
      <c r="D2809" t="n">
        <v>1</v>
      </c>
      <c r="E2809" t="s">
        <v>2811</v>
      </c>
      <c r="F2809" t="s"/>
      <c r="G2809" t="s"/>
      <c r="H2809" t="s"/>
      <c r="I2809" t="s"/>
      <c r="J2809" t="n">
        <v>0.1027</v>
      </c>
      <c r="K2809" t="n">
        <v>0.139</v>
      </c>
      <c r="L2809" t="n">
        <v>0.694</v>
      </c>
      <c r="M2809" t="n">
        <v>0.167</v>
      </c>
    </row>
    <row r="2810" spans="1:13">
      <c r="A2810" s="1">
        <f>HYPERLINK("http://www.twitter.com/NathanBLawrence/status/968880422678679557", "968880422678679557")</f>
        <v/>
      </c>
      <c r="B2810" s="2" t="n">
        <v>43159.67208333333</v>
      </c>
      <c r="C2810" t="n">
        <v>1</v>
      </c>
      <c r="D2810" t="n">
        <v>0</v>
      </c>
      <c r="E2810" t="s">
        <v>2812</v>
      </c>
      <c r="F2810" t="s"/>
      <c r="G2810" t="s"/>
      <c r="H2810" t="s"/>
      <c r="I2810" t="s"/>
      <c r="J2810" t="n">
        <v>-0.9305</v>
      </c>
      <c r="K2810" t="n">
        <v>0.248</v>
      </c>
      <c r="L2810" t="n">
        <v>0.752</v>
      </c>
      <c r="M2810" t="n">
        <v>0</v>
      </c>
    </row>
    <row r="2811" spans="1:13">
      <c r="A2811" s="1">
        <f>HYPERLINK("http://www.twitter.com/NathanBLawrence/status/968878302688628737", "968878302688628737")</f>
        <v/>
      </c>
      <c r="B2811" s="2" t="n">
        <v>43159.66622685185</v>
      </c>
      <c r="C2811" t="n">
        <v>0</v>
      </c>
      <c r="D2811" t="n">
        <v>1</v>
      </c>
      <c r="E2811" t="s">
        <v>2813</v>
      </c>
      <c r="F2811" t="s"/>
      <c r="G2811" t="s"/>
      <c r="H2811" t="s"/>
      <c r="I2811" t="s"/>
      <c r="J2811" t="n">
        <v>-0.5574</v>
      </c>
      <c r="K2811" t="n">
        <v>0.219</v>
      </c>
      <c r="L2811" t="n">
        <v>0.677</v>
      </c>
      <c r="M2811" t="n">
        <v>0.103</v>
      </c>
    </row>
    <row r="2812" spans="1:13">
      <c r="A2812" s="1">
        <f>HYPERLINK("http://www.twitter.com/NathanBLawrence/status/968878177182502918", "968878177182502918")</f>
        <v/>
      </c>
      <c r="B2812" s="2" t="n">
        <v>43159.66587962963</v>
      </c>
      <c r="C2812" t="n">
        <v>0</v>
      </c>
      <c r="D2812" t="n">
        <v>2</v>
      </c>
      <c r="E2812" t="s">
        <v>2814</v>
      </c>
      <c r="F2812" t="s"/>
      <c r="G2812" t="s"/>
      <c r="H2812" t="s"/>
      <c r="I2812" t="s"/>
      <c r="J2812" t="n">
        <v>-0.7786</v>
      </c>
      <c r="K2812" t="n">
        <v>0.245</v>
      </c>
      <c r="L2812" t="n">
        <v>0.755</v>
      </c>
      <c r="M2812" t="n">
        <v>0</v>
      </c>
    </row>
    <row r="2813" spans="1:13">
      <c r="A2813" s="1">
        <f>HYPERLINK("http://www.twitter.com/NathanBLawrence/status/968877546682179585", "968877546682179585")</f>
        <v/>
      </c>
      <c r="B2813" s="2" t="n">
        <v>43159.66414351852</v>
      </c>
      <c r="C2813" t="n">
        <v>0</v>
      </c>
      <c r="D2813" t="n">
        <v>170</v>
      </c>
      <c r="E2813" t="s">
        <v>2815</v>
      </c>
      <c r="F2813">
        <f>HYPERLINK("http://pbs.twimg.com/media/DT11xYTWkAAmwMd.jpg", "http://pbs.twimg.com/media/DT11xYTWkAAmwMd.jpg")</f>
        <v/>
      </c>
      <c r="G2813" t="s"/>
      <c r="H2813" t="s"/>
      <c r="I2813" t="s"/>
      <c r="J2813" t="n">
        <v>0</v>
      </c>
      <c r="K2813" t="n">
        <v>0</v>
      </c>
      <c r="L2813" t="n">
        <v>1</v>
      </c>
      <c r="M2813" t="n">
        <v>0</v>
      </c>
    </row>
    <row r="2814" spans="1:13">
      <c r="A2814" s="1">
        <f>HYPERLINK("http://www.twitter.com/NathanBLawrence/status/968877491829002240", "968877491829002240")</f>
        <v/>
      </c>
      <c r="B2814" s="2" t="n">
        <v>43159.66399305555</v>
      </c>
      <c r="C2814" t="n">
        <v>0</v>
      </c>
      <c r="D2814" t="n">
        <v>2873</v>
      </c>
      <c r="E2814" t="s">
        <v>2816</v>
      </c>
      <c r="F2814" t="s"/>
      <c r="G2814" t="s"/>
      <c r="H2814" t="s"/>
      <c r="I2814" t="s"/>
      <c r="J2814" t="n">
        <v>-0.765</v>
      </c>
      <c r="K2814" t="n">
        <v>0.268</v>
      </c>
      <c r="L2814" t="n">
        <v>0.732</v>
      </c>
      <c r="M2814" t="n">
        <v>0</v>
      </c>
    </row>
    <row r="2815" spans="1:13">
      <c r="A2815" s="1">
        <f>HYPERLINK("http://www.twitter.com/NathanBLawrence/status/968877388221345792", "968877388221345792")</f>
        <v/>
      </c>
      <c r="B2815" s="2" t="n">
        <v>43159.66370370371</v>
      </c>
      <c r="C2815" t="n">
        <v>0</v>
      </c>
      <c r="D2815" t="n">
        <v>1</v>
      </c>
      <c r="E2815" t="s">
        <v>2817</v>
      </c>
      <c r="F2815" t="s"/>
      <c r="G2815" t="s"/>
      <c r="H2815" t="s"/>
      <c r="I2815" t="s"/>
      <c r="J2815" t="n">
        <v>0.4404</v>
      </c>
      <c r="K2815" t="n">
        <v>0</v>
      </c>
      <c r="L2815" t="n">
        <v>0.805</v>
      </c>
      <c r="M2815" t="n">
        <v>0.195</v>
      </c>
    </row>
    <row r="2816" spans="1:13">
      <c r="A2816" s="1">
        <f>HYPERLINK("http://www.twitter.com/NathanBLawrence/status/968877002487889920", "968877002487889920")</f>
        <v/>
      </c>
      <c r="B2816" s="2" t="n">
        <v>43159.66263888889</v>
      </c>
      <c r="C2816" t="n">
        <v>0</v>
      </c>
      <c r="D2816" t="n">
        <v>1148</v>
      </c>
      <c r="E2816" t="s">
        <v>2818</v>
      </c>
      <c r="F2816" t="s"/>
      <c r="G2816" t="s"/>
      <c r="H2816" t="s"/>
      <c r="I2816" t="s"/>
      <c r="J2816" t="n">
        <v>0.3818</v>
      </c>
      <c r="K2816" t="n">
        <v>0.08500000000000001</v>
      </c>
      <c r="L2816" t="n">
        <v>0.731</v>
      </c>
      <c r="M2816" t="n">
        <v>0.185</v>
      </c>
    </row>
    <row r="2817" spans="1:13">
      <c r="A2817" s="1">
        <f>HYPERLINK("http://www.twitter.com/NathanBLawrence/status/968875760957222913", "968875760957222913")</f>
        <v/>
      </c>
      <c r="B2817" s="2" t="n">
        <v>43159.65921296296</v>
      </c>
      <c r="C2817" t="n">
        <v>0</v>
      </c>
      <c r="D2817" t="n">
        <v>38</v>
      </c>
      <c r="E2817" t="s">
        <v>2819</v>
      </c>
      <c r="F2817" t="s"/>
      <c r="G2817" t="s"/>
      <c r="H2817" t="s"/>
      <c r="I2817" t="s"/>
      <c r="J2817" t="n">
        <v>0</v>
      </c>
      <c r="K2817" t="n">
        <v>0</v>
      </c>
      <c r="L2817" t="n">
        <v>1</v>
      </c>
      <c r="M2817" t="n">
        <v>0</v>
      </c>
    </row>
    <row r="2818" spans="1:13">
      <c r="A2818" s="1">
        <f>HYPERLINK("http://www.twitter.com/NathanBLawrence/status/968875687976296450", "968875687976296450")</f>
        <v/>
      </c>
      <c r="B2818" s="2" t="n">
        <v>43159.6590162037</v>
      </c>
      <c r="C2818" t="n">
        <v>0</v>
      </c>
      <c r="D2818" t="n">
        <v>309</v>
      </c>
      <c r="E2818" t="s">
        <v>2820</v>
      </c>
      <c r="F2818">
        <f>HYPERLINK("http://pbs.twimg.com/media/DT2yTu-U8AA7vCG.jpg", "http://pbs.twimg.com/media/DT2yTu-U8AA7vCG.jpg")</f>
        <v/>
      </c>
      <c r="G2818" t="s"/>
      <c r="H2818" t="s"/>
      <c r="I2818" t="s"/>
      <c r="J2818" t="n">
        <v>0</v>
      </c>
      <c r="K2818" t="n">
        <v>0</v>
      </c>
      <c r="L2818" t="n">
        <v>1</v>
      </c>
      <c r="M2818" t="n">
        <v>0</v>
      </c>
    </row>
    <row r="2819" spans="1:13">
      <c r="A2819" s="1">
        <f>HYPERLINK("http://www.twitter.com/NathanBLawrence/status/968875571454332928", "968875571454332928")</f>
        <v/>
      </c>
      <c r="B2819" s="2" t="n">
        <v>43159.65869212963</v>
      </c>
      <c r="C2819" t="n">
        <v>0</v>
      </c>
      <c r="D2819" t="n">
        <v>1</v>
      </c>
      <c r="E2819" t="s">
        <v>2821</v>
      </c>
      <c r="F2819" t="s"/>
      <c r="G2819" t="s"/>
      <c r="H2819" t="s"/>
      <c r="I2819" t="s"/>
      <c r="J2819" t="n">
        <v>0</v>
      </c>
      <c r="K2819" t="n">
        <v>0.119</v>
      </c>
      <c r="L2819" t="n">
        <v>0.762</v>
      </c>
      <c r="M2819" t="n">
        <v>0.119</v>
      </c>
    </row>
    <row r="2820" spans="1:13">
      <c r="A2820" s="1">
        <f>HYPERLINK("http://www.twitter.com/NathanBLawrence/status/968874921123303424", "968874921123303424")</f>
        <v/>
      </c>
      <c r="B2820" s="2" t="n">
        <v>43159.65689814815</v>
      </c>
      <c r="C2820" t="n">
        <v>0</v>
      </c>
      <c r="D2820" t="n">
        <v>3</v>
      </c>
      <c r="E2820" t="s">
        <v>2822</v>
      </c>
      <c r="F2820" t="s"/>
      <c r="G2820" t="s"/>
      <c r="H2820" t="s"/>
      <c r="I2820" t="s"/>
      <c r="J2820" t="n">
        <v>0</v>
      </c>
      <c r="K2820" t="n">
        <v>0</v>
      </c>
      <c r="L2820" t="n">
        <v>1</v>
      </c>
      <c r="M2820" t="n">
        <v>0</v>
      </c>
    </row>
    <row r="2821" spans="1:13">
      <c r="A2821" s="1">
        <f>HYPERLINK("http://www.twitter.com/NathanBLawrence/status/968874885928882177", "968874885928882177")</f>
        <v/>
      </c>
      <c r="B2821" s="2" t="n">
        <v>43159.65680555555</v>
      </c>
      <c r="C2821" t="n">
        <v>0</v>
      </c>
      <c r="D2821" t="n">
        <v>4</v>
      </c>
      <c r="E2821" t="s">
        <v>2823</v>
      </c>
      <c r="F2821" t="s"/>
      <c r="G2821" t="s"/>
      <c r="H2821" t="s"/>
      <c r="I2821" t="s"/>
      <c r="J2821" t="n">
        <v>0</v>
      </c>
      <c r="K2821" t="n">
        <v>0</v>
      </c>
      <c r="L2821" t="n">
        <v>1</v>
      </c>
      <c r="M2821" t="n">
        <v>0</v>
      </c>
    </row>
    <row r="2822" spans="1:13">
      <c r="A2822" s="1">
        <f>HYPERLINK("http://www.twitter.com/NathanBLawrence/status/968874841842573312", "968874841842573312")</f>
        <v/>
      </c>
      <c r="B2822" s="2" t="n">
        <v>43159.65667824074</v>
      </c>
      <c r="C2822" t="n">
        <v>0</v>
      </c>
      <c r="D2822" t="n">
        <v>349</v>
      </c>
      <c r="E2822" t="s">
        <v>2824</v>
      </c>
      <c r="F2822">
        <f>HYPERLINK("https://video.twimg.com/amplify_video/968853374044114944/vid/640x360/M4IBBE0eW2JMk4Hp.mp4", "https://video.twimg.com/amplify_video/968853374044114944/vid/640x360/M4IBBE0eW2JMk4Hp.mp4")</f>
        <v/>
      </c>
      <c r="G2822" t="s"/>
      <c r="H2822" t="s"/>
      <c r="I2822" t="s"/>
      <c r="J2822" t="n">
        <v>-0.34</v>
      </c>
      <c r="K2822" t="n">
        <v>0.098</v>
      </c>
      <c r="L2822" t="n">
        <v>0.902</v>
      </c>
      <c r="M2822" t="n">
        <v>0</v>
      </c>
    </row>
    <row r="2823" spans="1:13">
      <c r="A2823" s="1">
        <f>HYPERLINK("http://www.twitter.com/NathanBLawrence/status/968874714948096001", "968874714948096001")</f>
        <v/>
      </c>
      <c r="B2823" s="2" t="n">
        <v>43159.65633101852</v>
      </c>
      <c r="C2823" t="n">
        <v>1</v>
      </c>
      <c r="D2823" t="n">
        <v>0</v>
      </c>
      <c r="E2823" t="s">
        <v>2825</v>
      </c>
      <c r="F2823" t="s"/>
      <c r="G2823" t="s"/>
      <c r="H2823" t="s"/>
      <c r="I2823" t="s"/>
      <c r="J2823" t="n">
        <v>0.0772</v>
      </c>
      <c r="K2823" t="n">
        <v>0.106</v>
      </c>
      <c r="L2823" t="n">
        <v>0.748</v>
      </c>
      <c r="M2823" t="n">
        <v>0.146</v>
      </c>
    </row>
    <row r="2824" spans="1:13">
      <c r="A2824" s="1">
        <f>HYPERLINK("http://www.twitter.com/NathanBLawrence/status/968873268953350144", "968873268953350144")</f>
        <v/>
      </c>
      <c r="B2824" s="2" t="n">
        <v>43159.65233796297</v>
      </c>
      <c r="C2824" t="n">
        <v>0</v>
      </c>
      <c r="D2824" t="n">
        <v>0</v>
      </c>
      <c r="E2824" t="s">
        <v>2826</v>
      </c>
      <c r="F2824" t="s"/>
      <c r="G2824" t="s"/>
      <c r="H2824" t="s"/>
      <c r="I2824" t="s"/>
      <c r="J2824" t="n">
        <v>0</v>
      </c>
      <c r="K2824" t="n">
        <v>0</v>
      </c>
      <c r="L2824" t="n">
        <v>1</v>
      </c>
      <c r="M2824" t="n">
        <v>0</v>
      </c>
    </row>
    <row r="2825" spans="1:13">
      <c r="A2825" s="1">
        <f>HYPERLINK("http://www.twitter.com/NathanBLawrence/status/968872743952404480", "968872743952404480")</f>
        <v/>
      </c>
      <c r="B2825" s="2" t="n">
        <v>43159.6508912037</v>
      </c>
      <c r="C2825" t="n">
        <v>1</v>
      </c>
      <c r="D2825" t="n">
        <v>0</v>
      </c>
      <c r="E2825" t="s">
        <v>2827</v>
      </c>
      <c r="F2825" t="s"/>
      <c r="G2825" t="s"/>
      <c r="H2825" t="s"/>
      <c r="I2825" t="s"/>
      <c r="J2825" t="n">
        <v>-0.3182</v>
      </c>
      <c r="K2825" t="n">
        <v>0.098</v>
      </c>
      <c r="L2825" t="n">
        <v>0.852</v>
      </c>
      <c r="M2825" t="n">
        <v>0.05</v>
      </c>
    </row>
    <row r="2826" spans="1:13">
      <c r="A2826" s="1">
        <f>HYPERLINK("http://www.twitter.com/NathanBLawrence/status/968871338558541824", "968871338558541824")</f>
        <v/>
      </c>
      <c r="B2826" s="2" t="n">
        <v>43159.64701388889</v>
      </c>
      <c r="C2826" t="n">
        <v>0</v>
      </c>
      <c r="D2826" t="n">
        <v>2</v>
      </c>
      <c r="E2826" t="s">
        <v>2828</v>
      </c>
      <c r="F2826">
        <f>HYPERLINK("http://pbs.twimg.com/media/DXGgLUAXcAI5p5c.jpg", "http://pbs.twimg.com/media/DXGgLUAXcAI5p5c.jpg")</f>
        <v/>
      </c>
      <c r="G2826" t="s"/>
      <c r="H2826" t="s"/>
      <c r="I2826" t="s"/>
      <c r="J2826" t="n">
        <v>-0.5209</v>
      </c>
      <c r="K2826" t="n">
        <v>0.234</v>
      </c>
      <c r="L2826" t="n">
        <v>0.766</v>
      </c>
      <c r="M2826" t="n">
        <v>0</v>
      </c>
    </row>
    <row r="2827" spans="1:13">
      <c r="A2827" s="1">
        <f>HYPERLINK("http://www.twitter.com/NathanBLawrence/status/968871266496253952", "968871266496253952")</f>
        <v/>
      </c>
      <c r="B2827" s="2" t="n">
        <v>43159.64681712963</v>
      </c>
      <c r="C2827" t="n">
        <v>0</v>
      </c>
      <c r="D2827" t="n">
        <v>0</v>
      </c>
      <c r="E2827" t="s">
        <v>2829</v>
      </c>
      <c r="F2827" t="s"/>
      <c r="G2827" t="s"/>
      <c r="H2827" t="s"/>
      <c r="I2827" t="s"/>
      <c r="J2827" t="n">
        <v>-0.5133</v>
      </c>
      <c r="K2827" t="n">
        <v>0.163</v>
      </c>
      <c r="L2827" t="n">
        <v>0.769</v>
      </c>
      <c r="M2827" t="n">
        <v>0.068</v>
      </c>
    </row>
    <row r="2828" spans="1:13">
      <c r="A2828" s="1">
        <f>HYPERLINK("http://www.twitter.com/NathanBLawrence/status/968870094309875712", "968870094309875712")</f>
        <v/>
      </c>
      <c r="B2828" s="2" t="n">
        <v>43159.64357638889</v>
      </c>
      <c r="C2828" t="n">
        <v>0</v>
      </c>
      <c r="D2828" t="n">
        <v>4</v>
      </c>
      <c r="E2828" t="s">
        <v>2830</v>
      </c>
      <c r="F2828">
        <f>HYPERLINK("http://pbs.twimg.com/media/DXHmrp_VoAAQVX5.jpg", "http://pbs.twimg.com/media/DXHmrp_VoAAQVX5.jpg")</f>
        <v/>
      </c>
      <c r="G2828" t="s"/>
      <c r="H2828" t="s"/>
      <c r="I2828" t="s"/>
      <c r="J2828" t="n">
        <v>0.0772</v>
      </c>
      <c r="K2828" t="n">
        <v>0</v>
      </c>
      <c r="L2828" t="n">
        <v>0.909</v>
      </c>
      <c r="M2828" t="n">
        <v>0.091</v>
      </c>
    </row>
    <row r="2829" spans="1:13">
      <c r="A2829" s="1">
        <f>HYPERLINK("http://www.twitter.com/NathanBLawrence/status/968870017038274560", "968870017038274560")</f>
        <v/>
      </c>
      <c r="B2829" s="2" t="n">
        <v>43159.64336805556</v>
      </c>
      <c r="C2829" t="n">
        <v>2</v>
      </c>
      <c r="D2829" t="n">
        <v>1</v>
      </c>
      <c r="E2829" t="s">
        <v>2831</v>
      </c>
      <c r="F2829" t="s"/>
      <c r="G2829" t="s"/>
      <c r="H2829" t="s"/>
      <c r="I2829" t="s"/>
      <c r="J2829" t="n">
        <v>-0.5106000000000001</v>
      </c>
      <c r="K2829" t="n">
        <v>0.137</v>
      </c>
      <c r="L2829" t="n">
        <v>0.863</v>
      </c>
      <c r="M2829" t="n">
        <v>0</v>
      </c>
    </row>
    <row r="2830" spans="1:13">
      <c r="A2830" s="1">
        <f>HYPERLINK("http://www.twitter.com/NathanBLawrence/status/968868816972386304", "968868816972386304")</f>
        <v/>
      </c>
      <c r="B2830" s="2" t="n">
        <v>43159.64005787037</v>
      </c>
      <c r="C2830" t="n">
        <v>0</v>
      </c>
      <c r="D2830" t="n">
        <v>5</v>
      </c>
      <c r="E2830" t="s">
        <v>2832</v>
      </c>
      <c r="F2830" t="s"/>
      <c r="G2830" t="s"/>
      <c r="H2830" t="s"/>
      <c r="I2830" t="s"/>
      <c r="J2830" t="n">
        <v>0.128</v>
      </c>
      <c r="K2830" t="n">
        <v>0</v>
      </c>
      <c r="L2830" t="n">
        <v>0.923</v>
      </c>
      <c r="M2830" t="n">
        <v>0.077</v>
      </c>
    </row>
    <row r="2831" spans="1:13">
      <c r="A2831" s="1">
        <f>HYPERLINK("http://www.twitter.com/NathanBLawrence/status/968867914760839169", "968867914760839169")</f>
        <v/>
      </c>
      <c r="B2831" s="2" t="n">
        <v>43159.63756944444</v>
      </c>
      <c r="C2831" t="n">
        <v>0</v>
      </c>
      <c r="D2831" t="n">
        <v>2</v>
      </c>
      <c r="E2831" t="s">
        <v>2833</v>
      </c>
      <c r="F2831" t="s"/>
      <c r="G2831" t="s"/>
      <c r="H2831" t="s"/>
      <c r="I2831" t="s"/>
      <c r="J2831" t="n">
        <v>0.3182</v>
      </c>
      <c r="K2831" t="n">
        <v>0</v>
      </c>
      <c r="L2831" t="n">
        <v>0.905</v>
      </c>
      <c r="M2831" t="n">
        <v>0.095</v>
      </c>
    </row>
    <row r="2832" spans="1:13">
      <c r="A2832" s="1">
        <f>HYPERLINK("http://www.twitter.com/NathanBLawrence/status/968867216430108674", "968867216430108674")</f>
        <v/>
      </c>
      <c r="B2832" s="2" t="n">
        <v>43159.63563657407</v>
      </c>
      <c r="C2832" t="n">
        <v>0</v>
      </c>
      <c r="D2832" t="n">
        <v>2161</v>
      </c>
      <c r="E2832" t="s">
        <v>2834</v>
      </c>
      <c r="F2832" t="s"/>
      <c r="G2832" t="s"/>
      <c r="H2832" t="s"/>
      <c r="I2832" t="s"/>
      <c r="J2832" t="n">
        <v>0.4215</v>
      </c>
      <c r="K2832" t="n">
        <v>0</v>
      </c>
      <c r="L2832" t="n">
        <v>0.887</v>
      </c>
      <c r="M2832" t="n">
        <v>0.113</v>
      </c>
    </row>
    <row r="2833" spans="1:13">
      <c r="A2833" s="1">
        <f>HYPERLINK("http://www.twitter.com/NathanBLawrence/status/968866063235600384", "968866063235600384")</f>
        <v/>
      </c>
      <c r="B2833" s="2" t="n">
        <v>43159.63245370371</v>
      </c>
      <c r="C2833" t="n">
        <v>0</v>
      </c>
      <c r="D2833" t="n">
        <v>8990</v>
      </c>
      <c r="E2833" t="s">
        <v>2835</v>
      </c>
      <c r="F2833" t="s"/>
      <c r="G2833" t="s"/>
      <c r="H2833" t="s"/>
      <c r="I2833" t="s"/>
      <c r="J2833" t="n">
        <v>0</v>
      </c>
      <c r="K2833" t="n">
        <v>0</v>
      </c>
      <c r="L2833" t="n">
        <v>1</v>
      </c>
      <c r="M2833" t="n">
        <v>0</v>
      </c>
    </row>
    <row r="2834" spans="1:13">
      <c r="A2834" s="1">
        <f>HYPERLINK("http://www.twitter.com/NathanBLawrence/status/968864625642147844", "968864625642147844")</f>
        <v/>
      </c>
      <c r="B2834" s="2" t="n">
        <v>43159.62849537037</v>
      </c>
      <c r="C2834" t="n">
        <v>0</v>
      </c>
      <c r="D2834" t="n">
        <v>0</v>
      </c>
      <c r="E2834" t="s">
        <v>2836</v>
      </c>
      <c r="F2834" t="s"/>
      <c r="G2834" t="s"/>
      <c r="H2834" t="s"/>
      <c r="I2834" t="s"/>
      <c r="J2834" t="n">
        <v>0.128</v>
      </c>
      <c r="K2834" t="n">
        <v>0</v>
      </c>
      <c r="L2834" t="n">
        <v>0.9360000000000001</v>
      </c>
      <c r="M2834" t="n">
        <v>0.064</v>
      </c>
    </row>
    <row r="2835" spans="1:13">
      <c r="A2835" s="1">
        <f>HYPERLINK("http://www.twitter.com/NathanBLawrence/status/968716353258520576", "968716353258520576")</f>
        <v/>
      </c>
      <c r="B2835" s="2" t="n">
        <v>43159.21934027778</v>
      </c>
      <c r="C2835" t="n">
        <v>3</v>
      </c>
      <c r="D2835" t="n">
        <v>0</v>
      </c>
      <c r="E2835" t="s">
        <v>2837</v>
      </c>
      <c r="F2835" t="s"/>
      <c r="G2835" t="s"/>
      <c r="H2835" t="s"/>
      <c r="I2835" t="s"/>
      <c r="J2835" t="n">
        <v>0</v>
      </c>
      <c r="K2835" t="n">
        <v>0</v>
      </c>
      <c r="L2835" t="n">
        <v>1</v>
      </c>
      <c r="M2835" t="n">
        <v>0</v>
      </c>
    </row>
    <row r="2836" spans="1:13">
      <c r="A2836" s="1">
        <f>HYPERLINK("http://www.twitter.com/NathanBLawrence/status/968714319771979776", "968714319771979776")</f>
        <v/>
      </c>
      <c r="B2836" s="2" t="n">
        <v>43159.21372685185</v>
      </c>
      <c r="C2836" t="n">
        <v>0</v>
      </c>
      <c r="D2836" t="n">
        <v>11</v>
      </c>
      <c r="E2836" t="s">
        <v>2838</v>
      </c>
      <c r="F2836" t="s"/>
      <c r="G2836" t="s"/>
      <c r="H2836" t="s"/>
      <c r="I2836" t="s"/>
      <c r="J2836" t="n">
        <v>0.6486</v>
      </c>
      <c r="K2836" t="n">
        <v>0</v>
      </c>
      <c r="L2836" t="n">
        <v>0.694</v>
      </c>
      <c r="M2836" t="n">
        <v>0.306</v>
      </c>
    </row>
    <row r="2837" spans="1:13">
      <c r="A2837" s="1">
        <f>HYPERLINK("http://www.twitter.com/NathanBLawrence/status/968714234430476290", "968714234430476290")</f>
        <v/>
      </c>
      <c r="B2837" s="2" t="n">
        <v>43159.21348379629</v>
      </c>
      <c r="C2837" t="n">
        <v>0</v>
      </c>
      <c r="D2837" t="n">
        <v>0</v>
      </c>
      <c r="E2837" t="s">
        <v>2839</v>
      </c>
      <c r="F2837" t="s"/>
      <c r="G2837" t="s"/>
      <c r="H2837" t="s"/>
      <c r="I2837" t="s"/>
      <c r="J2837" t="n">
        <v>-0.1027</v>
      </c>
      <c r="K2837" t="n">
        <v>0.076</v>
      </c>
      <c r="L2837" t="n">
        <v>0.924</v>
      </c>
      <c r="M2837" t="n">
        <v>0</v>
      </c>
    </row>
    <row r="2838" spans="1:13">
      <c r="A2838" s="1">
        <f>HYPERLINK("http://www.twitter.com/NathanBLawrence/status/968713454969393152", "968713454969393152")</f>
        <v/>
      </c>
      <c r="B2838" s="2" t="n">
        <v>43159.21134259259</v>
      </c>
      <c r="C2838" t="n">
        <v>0</v>
      </c>
      <c r="D2838" t="n">
        <v>3</v>
      </c>
      <c r="E2838" t="s">
        <v>2840</v>
      </c>
      <c r="F2838" t="s"/>
      <c r="G2838" t="s"/>
      <c r="H2838" t="s"/>
      <c r="I2838" t="s"/>
      <c r="J2838" t="n">
        <v>0</v>
      </c>
      <c r="K2838" t="n">
        <v>0</v>
      </c>
      <c r="L2838" t="n">
        <v>1</v>
      </c>
      <c r="M2838" t="n">
        <v>0</v>
      </c>
    </row>
    <row r="2839" spans="1:13">
      <c r="A2839" s="1">
        <f>HYPERLINK("http://www.twitter.com/NathanBLawrence/status/968713284290514947", "968713284290514947")</f>
        <v/>
      </c>
      <c r="B2839" s="2" t="n">
        <v>43159.21086805555</v>
      </c>
      <c r="C2839" t="n">
        <v>0</v>
      </c>
      <c r="D2839" t="n">
        <v>96</v>
      </c>
      <c r="E2839" t="s">
        <v>2841</v>
      </c>
      <c r="F2839" t="s"/>
      <c r="G2839" t="s"/>
      <c r="H2839" t="s"/>
      <c r="I2839" t="s"/>
      <c r="J2839" t="n">
        <v>0</v>
      </c>
      <c r="K2839" t="n">
        <v>0</v>
      </c>
      <c r="L2839" t="n">
        <v>1</v>
      </c>
      <c r="M2839" t="n">
        <v>0</v>
      </c>
    </row>
    <row r="2840" spans="1:13">
      <c r="A2840" s="1">
        <f>HYPERLINK("http://www.twitter.com/NathanBLawrence/status/968713067608584193", "968713067608584193")</f>
        <v/>
      </c>
      <c r="B2840" s="2" t="n">
        <v>43159.21026620371</v>
      </c>
      <c r="C2840" t="n">
        <v>0</v>
      </c>
      <c r="D2840" t="n">
        <v>267</v>
      </c>
      <c r="E2840" t="s">
        <v>2842</v>
      </c>
      <c r="F2840" t="s"/>
      <c r="G2840" t="s"/>
      <c r="H2840" t="s"/>
      <c r="I2840" t="s"/>
      <c r="J2840" t="n">
        <v>0</v>
      </c>
      <c r="K2840" t="n">
        <v>0</v>
      </c>
      <c r="L2840" t="n">
        <v>1</v>
      </c>
      <c r="M2840" t="n">
        <v>0</v>
      </c>
    </row>
    <row r="2841" spans="1:13">
      <c r="A2841" s="1">
        <f>HYPERLINK("http://www.twitter.com/NathanBLawrence/status/968712961958318081", "968712961958318081")</f>
        <v/>
      </c>
      <c r="B2841" s="2" t="n">
        <v>43159.20997685185</v>
      </c>
      <c r="C2841" t="n">
        <v>1</v>
      </c>
      <c r="D2841" t="n">
        <v>0</v>
      </c>
      <c r="E2841" t="s">
        <v>2843</v>
      </c>
      <c r="F2841" t="s"/>
      <c r="G2841" t="s"/>
      <c r="H2841" t="s"/>
      <c r="I2841" t="s"/>
      <c r="J2841" t="n">
        <v>-0.1655</v>
      </c>
      <c r="K2841" t="n">
        <v>0.154</v>
      </c>
      <c r="L2841" t="n">
        <v>0.709</v>
      </c>
      <c r="M2841" t="n">
        <v>0.136</v>
      </c>
    </row>
    <row r="2842" spans="1:13">
      <c r="A2842" s="1">
        <f>HYPERLINK("http://www.twitter.com/NathanBLawrence/status/968710355512909825", "968710355512909825")</f>
        <v/>
      </c>
      <c r="B2842" s="2" t="n">
        <v>43159.20278935185</v>
      </c>
      <c r="C2842" t="n">
        <v>0</v>
      </c>
      <c r="D2842" t="n">
        <v>31119</v>
      </c>
      <c r="E2842" t="s">
        <v>2844</v>
      </c>
      <c r="F2842" t="s"/>
      <c r="G2842" t="s"/>
      <c r="H2842" t="s"/>
      <c r="I2842" t="s"/>
      <c r="J2842" t="n">
        <v>-0.5574</v>
      </c>
      <c r="K2842" t="n">
        <v>0.153</v>
      </c>
      <c r="L2842" t="n">
        <v>0.847</v>
      </c>
      <c r="M2842" t="n">
        <v>0</v>
      </c>
    </row>
    <row r="2843" spans="1:13">
      <c r="A2843" s="1">
        <f>HYPERLINK("http://www.twitter.com/NathanBLawrence/status/967559998988521472", "967559998988521472")</f>
        <v/>
      </c>
      <c r="B2843" s="2" t="n">
        <v>43156.02840277777</v>
      </c>
      <c r="C2843" t="n">
        <v>0</v>
      </c>
      <c r="D2843" t="n">
        <v>15686</v>
      </c>
      <c r="E2843" t="s">
        <v>2845</v>
      </c>
      <c r="F2843" t="s"/>
      <c r="G2843" t="s"/>
      <c r="H2843" t="s"/>
      <c r="I2843" t="s"/>
      <c r="J2843" t="n">
        <v>-0.7184</v>
      </c>
      <c r="K2843" t="n">
        <v>0.259</v>
      </c>
      <c r="L2843" t="n">
        <v>0.741</v>
      </c>
      <c r="M2843" t="n">
        <v>0</v>
      </c>
    </row>
    <row r="2844" spans="1:13">
      <c r="A2844" s="1">
        <f>HYPERLINK("http://www.twitter.com/NathanBLawrence/status/967396902248550400", "967396902248550400")</f>
        <v/>
      </c>
      <c r="B2844" s="2" t="n">
        <v>43155.57834490741</v>
      </c>
      <c r="C2844" t="n">
        <v>0</v>
      </c>
      <c r="D2844" t="n">
        <v>7822</v>
      </c>
      <c r="E2844" t="s">
        <v>2846</v>
      </c>
      <c r="F2844" t="s"/>
      <c r="G2844" t="s"/>
      <c r="H2844" t="s"/>
      <c r="I2844" t="s"/>
      <c r="J2844" t="n">
        <v>-0.0772</v>
      </c>
      <c r="K2844" t="n">
        <v>0.129</v>
      </c>
      <c r="L2844" t="n">
        <v>0.753</v>
      </c>
      <c r="M2844" t="n">
        <v>0.118</v>
      </c>
    </row>
    <row r="2845" spans="1:13">
      <c r="A2845" s="1">
        <f>HYPERLINK("http://www.twitter.com/NathanBLawrence/status/967396630709366784", "967396630709366784")</f>
        <v/>
      </c>
      <c r="B2845" s="2" t="n">
        <v>43155.57759259259</v>
      </c>
      <c r="C2845" t="n">
        <v>0</v>
      </c>
      <c r="D2845" t="n">
        <v>27641</v>
      </c>
      <c r="E2845" t="s">
        <v>2847</v>
      </c>
      <c r="F2845" t="s"/>
      <c r="G2845" t="s"/>
      <c r="H2845" t="s"/>
      <c r="I2845" t="s"/>
      <c r="J2845" t="n">
        <v>-0.6597</v>
      </c>
      <c r="K2845" t="n">
        <v>0.202</v>
      </c>
      <c r="L2845" t="n">
        <v>0.712</v>
      </c>
      <c r="M2845" t="n">
        <v>0.08599999999999999</v>
      </c>
    </row>
    <row r="2846" spans="1:13">
      <c r="A2846" s="1">
        <f>HYPERLINK("http://www.twitter.com/NathanBLawrence/status/966889367158407168", "966889367158407168")</f>
        <v/>
      </c>
      <c r="B2846" s="2" t="n">
        <v>43154.1778125</v>
      </c>
      <c r="C2846" t="n">
        <v>0</v>
      </c>
      <c r="D2846" t="n">
        <v>23607</v>
      </c>
      <c r="E2846" t="s">
        <v>2848</v>
      </c>
      <c r="F2846" t="s"/>
      <c r="G2846" t="s"/>
      <c r="H2846" t="s"/>
      <c r="I2846" t="s"/>
      <c r="J2846" t="n">
        <v>-0.1027</v>
      </c>
      <c r="K2846" t="n">
        <v>0.147</v>
      </c>
      <c r="L2846" t="n">
        <v>0.733</v>
      </c>
      <c r="M2846" t="n">
        <v>0.12</v>
      </c>
    </row>
    <row r="2847" spans="1:13">
      <c r="A2847" s="1">
        <f>HYPERLINK("http://www.twitter.com/NathanBLawrence/status/966889304675958786", "966889304675958786")</f>
        <v/>
      </c>
      <c r="B2847" s="2" t="n">
        <v>43154.17763888889</v>
      </c>
      <c r="C2847" t="n">
        <v>0</v>
      </c>
      <c r="D2847" t="n">
        <v>15441</v>
      </c>
      <c r="E2847" t="s">
        <v>2849</v>
      </c>
      <c r="F2847">
        <f>HYPERLINK("https://video.twimg.com/ext_tw_video/966846185603465228/pu/vid/640x360/PUzi0fFaWtIRcmcH.mp4", "https://video.twimg.com/ext_tw_video/966846185603465228/pu/vid/640x360/PUzi0fFaWtIRcmcH.mp4")</f>
        <v/>
      </c>
      <c r="G2847" t="s"/>
      <c r="H2847" t="s"/>
      <c r="I2847" t="s"/>
      <c r="J2847" t="n">
        <v>0</v>
      </c>
      <c r="K2847" t="n">
        <v>0</v>
      </c>
      <c r="L2847" t="n">
        <v>1</v>
      </c>
      <c r="M2847" t="n">
        <v>0</v>
      </c>
    </row>
    <row r="2848" spans="1:13">
      <c r="A2848" s="1">
        <f>HYPERLINK("http://www.twitter.com/NathanBLawrence/status/966887879921172484", "966887879921172484")</f>
        <v/>
      </c>
      <c r="B2848" s="2" t="n">
        <v>43154.17371527778</v>
      </c>
      <c r="C2848" t="n">
        <v>0</v>
      </c>
      <c r="D2848" t="n">
        <v>0</v>
      </c>
      <c r="E2848" t="s">
        <v>2850</v>
      </c>
      <c r="F2848" t="s"/>
      <c r="G2848" t="s"/>
      <c r="H2848" t="s"/>
      <c r="I2848" t="s"/>
      <c r="J2848" t="n">
        <v>-0.357</v>
      </c>
      <c r="K2848" t="n">
        <v>0.262</v>
      </c>
      <c r="L2848" t="n">
        <v>0.738</v>
      </c>
      <c r="M2848" t="n">
        <v>0</v>
      </c>
    </row>
    <row r="2849" spans="1:13">
      <c r="A2849" s="1">
        <f>HYPERLINK("http://www.twitter.com/NathanBLawrence/status/966887031786717184", "966887031786717184")</f>
        <v/>
      </c>
      <c r="B2849" s="2" t="n">
        <v>43154.17136574074</v>
      </c>
      <c r="C2849" t="n">
        <v>0</v>
      </c>
      <c r="D2849" t="n">
        <v>0</v>
      </c>
      <c r="E2849" t="s">
        <v>2851</v>
      </c>
      <c r="F2849" t="s"/>
      <c r="G2849" t="s"/>
      <c r="H2849" t="s"/>
      <c r="I2849" t="s"/>
      <c r="J2849" t="n">
        <v>0</v>
      </c>
      <c r="K2849" t="n">
        <v>0</v>
      </c>
      <c r="L2849" t="n">
        <v>1</v>
      </c>
      <c r="M2849" t="n">
        <v>0</v>
      </c>
    </row>
    <row r="2850" spans="1:13">
      <c r="A2850" s="1">
        <f>HYPERLINK("http://www.twitter.com/NathanBLawrence/status/966886885736947713", "966886885736947713")</f>
        <v/>
      </c>
      <c r="B2850" s="2" t="n">
        <v>43154.17097222222</v>
      </c>
      <c r="C2850" t="n">
        <v>1</v>
      </c>
      <c r="D2850" t="n">
        <v>0</v>
      </c>
      <c r="E2850" t="s">
        <v>2852</v>
      </c>
      <c r="F2850" t="s"/>
      <c r="G2850" t="s"/>
      <c r="H2850" t="s"/>
      <c r="I2850" t="s"/>
      <c r="J2850" t="n">
        <v>0</v>
      </c>
      <c r="K2850" t="n">
        <v>0</v>
      </c>
      <c r="L2850" t="n">
        <v>1</v>
      </c>
      <c r="M2850" t="n">
        <v>0</v>
      </c>
    </row>
    <row r="2851" spans="1:13">
      <c r="A2851" s="1">
        <f>HYPERLINK("http://www.twitter.com/NathanBLawrence/status/966886568119054337", "966886568119054337")</f>
        <v/>
      </c>
      <c r="B2851" s="2" t="n">
        <v>43154.17009259259</v>
      </c>
      <c r="C2851" t="n">
        <v>0</v>
      </c>
      <c r="D2851" t="n">
        <v>0</v>
      </c>
      <c r="E2851" t="s">
        <v>2853</v>
      </c>
      <c r="F2851" t="s"/>
      <c r="G2851" t="s"/>
      <c r="H2851" t="s"/>
      <c r="I2851" t="s"/>
      <c r="J2851" t="n">
        <v>0.25</v>
      </c>
      <c r="K2851" t="n">
        <v>0</v>
      </c>
      <c r="L2851" t="n">
        <v>0.714</v>
      </c>
      <c r="M2851" t="n">
        <v>0.286</v>
      </c>
    </row>
    <row r="2852" spans="1:13">
      <c r="A2852" s="1">
        <f>HYPERLINK("http://www.twitter.com/NathanBLawrence/status/966886333711990794", "966886333711990794")</f>
        <v/>
      </c>
      <c r="B2852" s="2" t="n">
        <v>43154.16944444444</v>
      </c>
      <c r="C2852" t="n">
        <v>0</v>
      </c>
      <c r="D2852" t="n">
        <v>0</v>
      </c>
      <c r="E2852" t="s">
        <v>2854</v>
      </c>
      <c r="F2852" t="s"/>
      <c r="G2852" t="s"/>
      <c r="H2852" t="s"/>
      <c r="I2852" t="s"/>
      <c r="J2852" t="n">
        <v>-0.3818</v>
      </c>
      <c r="K2852" t="n">
        <v>0.309</v>
      </c>
      <c r="L2852" t="n">
        <v>0.5</v>
      </c>
      <c r="M2852" t="n">
        <v>0.191</v>
      </c>
    </row>
    <row r="2853" spans="1:13">
      <c r="A2853" s="1">
        <f>HYPERLINK("http://www.twitter.com/NathanBLawrence/status/966885117758078976", "966885117758078976")</f>
        <v/>
      </c>
      <c r="B2853" s="2" t="n">
        <v>43154.16608796296</v>
      </c>
      <c r="C2853" t="n">
        <v>1</v>
      </c>
      <c r="D2853" t="n">
        <v>0</v>
      </c>
      <c r="E2853" t="s">
        <v>2855</v>
      </c>
      <c r="F2853" t="s"/>
      <c r="G2853" t="s"/>
      <c r="H2853" t="s"/>
      <c r="I2853" t="s"/>
      <c r="J2853" t="n">
        <v>0</v>
      </c>
      <c r="K2853" t="n">
        <v>0</v>
      </c>
      <c r="L2853" t="n">
        <v>1</v>
      </c>
      <c r="M2853" t="n">
        <v>0</v>
      </c>
    </row>
    <row r="2854" spans="1:13">
      <c r="A2854" s="1">
        <f>HYPERLINK("http://www.twitter.com/NathanBLawrence/status/966884064950067200", "966884064950067200")</f>
        <v/>
      </c>
      <c r="B2854" s="2" t="n">
        <v>43154.16318287037</v>
      </c>
      <c r="C2854" t="n">
        <v>0</v>
      </c>
      <c r="D2854" t="n">
        <v>0</v>
      </c>
      <c r="E2854" t="s">
        <v>2856</v>
      </c>
      <c r="F2854" t="s"/>
      <c r="G2854" t="s"/>
      <c r="H2854" t="s"/>
      <c r="I2854" t="s"/>
      <c r="J2854" t="n">
        <v>0.7783</v>
      </c>
      <c r="K2854" t="n">
        <v>0</v>
      </c>
      <c r="L2854" t="n">
        <v>0.618</v>
      </c>
      <c r="M2854" t="n">
        <v>0.382</v>
      </c>
    </row>
    <row r="2855" spans="1:13">
      <c r="A2855" s="1">
        <f>HYPERLINK("http://www.twitter.com/NathanBLawrence/status/966883900185239554", "966883900185239554")</f>
        <v/>
      </c>
      <c r="B2855" s="2" t="n">
        <v>43154.16273148148</v>
      </c>
      <c r="C2855" t="n">
        <v>0</v>
      </c>
      <c r="D2855" t="n">
        <v>46</v>
      </c>
      <c r="E2855" t="s">
        <v>2857</v>
      </c>
      <c r="F2855" t="s"/>
      <c r="G2855" t="s"/>
      <c r="H2855" t="s"/>
      <c r="I2855" t="s"/>
      <c r="J2855" t="n">
        <v>0</v>
      </c>
      <c r="K2855" t="n">
        <v>0</v>
      </c>
      <c r="L2855" t="n">
        <v>1</v>
      </c>
      <c r="M2855" t="n">
        <v>0</v>
      </c>
    </row>
    <row r="2856" spans="1:13">
      <c r="A2856" s="1">
        <f>HYPERLINK("http://www.twitter.com/NathanBLawrence/status/966883814084521985", "966883814084521985")</f>
        <v/>
      </c>
      <c r="B2856" s="2" t="n">
        <v>43154.16248842593</v>
      </c>
      <c r="C2856" t="n">
        <v>0</v>
      </c>
      <c r="D2856" t="n">
        <v>0</v>
      </c>
      <c r="E2856" t="s">
        <v>2858</v>
      </c>
      <c r="F2856" t="s"/>
      <c r="G2856" t="s"/>
      <c r="H2856" t="s"/>
      <c r="I2856" t="s"/>
      <c r="J2856" t="n">
        <v>0.5106000000000001</v>
      </c>
      <c r="K2856" t="n">
        <v>0</v>
      </c>
      <c r="L2856" t="n">
        <v>0.829</v>
      </c>
      <c r="M2856" t="n">
        <v>0.171</v>
      </c>
    </row>
    <row r="2857" spans="1:13">
      <c r="A2857" s="1">
        <f>HYPERLINK("http://www.twitter.com/NathanBLawrence/status/966883415654940673", "966883415654940673")</f>
        <v/>
      </c>
      <c r="B2857" s="2" t="n">
        <v>43154.16138888889</v>
      </c>
      <c r="C2857" t="n">
        <v>1</v>
      </c>
      <c r="D2857" t="n">
        <v>0</v>
      </c>
      <c r="E2857" t="s">
        <v>2859</v>
      </c>
      <c r="F2857" t="s"/>
      <c r="G2857" t="s"/>
      <c r="H2857" t="s"/>
      <c r="I2857" t="s"/>
      <c r="J2857" t="n">
        <v>-0.5306999999999999</v>
      </c>
      <c r="K2857" t="n">
        <v>0.181</v>
      </c>
      <c r="L2857" t="n">
        <v>0.739</v>
      </c>
      <c r="M2857" t="n">
        <v>0.08</v>
      </c>
    </row>
    <row r="2858" spans="1:13">
      <c r="A2858" s="1">
        <f>HYPERLINK("http://www.twitter.com/NathanBLawrence/status/966882203454984192", "966882203454984192")</f>
        <v/>
      </c>
      <c r="B2858" s="2" t="n">
        <v>43154.15804398148</v>
      </c>
      <c r="C2858" t="n">
        <v>0</v>
      </c>
      <c r="D2858" t="n">
        <v>0</v>
      </c>
      <c r="E2858" t="s">
        <v>2860</v>
      </c>
      <c r="F2858" t="s"/>
      <c r="G2858" t="s"/>
      <c r="H2858" t="s"/>
      <c r="I2858" t="s"/>
      <c r="J2858" t="n">
        <v>-0.296</v>
      </c>
      <c r="K2858" t="n">
        <v>0.268</v>
      </c>
      <c r="L2858" t="n">
        <v>0.732</v>
      </c>
      <c r="M2858" t="n">
        <v>0</v>
      </c>
    </row>
    <row r="2859" spans="1:13">
      <c r="A2859" s="1">
        <f>HYPERLINK("http://www.twitter.com/NathanBLawrence/status/966881863200419840", "966881863200419840")</f>
        <v/>
      </c>
      <c r="B2859" s="2" t="n">
        <v>43154.15710648148</v>
      </c>
      <c r="C2859" t="n">
        <v>0</v>
      </c>
      <c r="D2859" t="n">
        <v>0</v>
      </c>
      <c r="E2859" t="s">
        <v>2861</v>
      </c>
      <c r="F2859" t="s"/>
      <c r="G2859" t="s"/>
      <c r="H2859" t="s"/>
      <c r="I2859" t="s"/>
      <c r="J2859" t="n">
        <v>-0.4738</v>
      </c>
      <c r="K2859" t="n">
        <v>0.507</v>
      </c>
      <c r="L2859" t="n">
        <v>0.493</v>
      </c>
      <c r="M2859" t="n">
        <v>0</v>
      </c>
    </row>
    <row r="2860" spans="1:13">
      <c r="A2860" s="1">
        <f>HYPERLINK("http://www.twitter.com/NathanBLawrence/status/966881705645588481", "966881705645588481")</f>
        <v/>
      </c>
      <c r="B2860" s="2" t="n">
        <v>43154.15667824074</v>
      </c>
      <c r="C2860" t="n">
        <v>0</v>
      </c>
      <c r="D2860" t="n">
        <v>0</v>
      </c>
      <c r="E2860" t="s">
        <v>2862</v>
      </c>
      <c r="F2860" t="s"/>
      <c r="G2860" t="s"/>
      <c r="H2860" t="s"/>
      <c r="I2860" t="s"/>
      <c r="J2860" t="n">
        <v>0.296</v>
      </c>
      <c r="K2860" t="n">
        <v>0</v>
      </c>
      <c r="L2860" t="n">
        <v>0.476</v>
      </c>
      <c r="M2860" t="n">
        <v>0.524</v>
      </c>
    </row>
    <row r="2861" spans="1:13">
      <c r="A2861" s="1">
        <f>HYPERLINK("http://www.twitter.com/NathanBLawrence/status/966881484907823104", "966881484907823104")</f>
        <v/>
      </c>
      <c r="B2861" s="2" t="n">
        <v>43154.15606481482</v>
      </c>
      <c r="C2861" t="n">
        <v>1</v>
      </c>
      <c r="D2861" t="n">
        <v>0</v>
      </c>
      <c r="E2861" t="s">
        <v>2863</v>
      </c>
      <c r="F2861" t="s"/>
      <c r="G2861" t="s"/>
      <c r="H2861" t="s"/>
      <c r="I2861" t="s"/>
      <c r="J2861" t="n">
        <v>0</v>
      </c>
      <c r="K2861" t="n">
        <v>0</v>
      </c>
      <c r="L2861" t="n">
        <v>1</v>
      </c>
      <c r="M2861" t="n">
        <v>0</v>
      </c>
    </row>
    <row r="2862" spans="1:13">
      <c r="A2862" s="1">
        <f>HYPERLINK("http://www.twitter.com/NathanBLawrence/status/966878100813484032", "966878100813484032")</f>
        <v/>
      </c>
      <c r="B2862" s="2" t="n">
        <v>43154.14672453704</v>
      </c>
      <c r="C2862" t="n">
        <v>0</v>
      </c>
      <c r="D2862" t="n">
        <v>1183</v>
      </c>
      <c r="E2862" t="s">
        <v>2864</v>
      </c>
      <c r="F2862" t="s"/>
      <c r="G2862" t="s"/>
      <c r="H2862" t="s"/>
      <c r="I2862" t="s"/>
      <c r="J2862" t="n">
        <v>-0.6695</v>
      </c>
      <c r="K2862" t="n">
        <v>0.249</v>
      </c>
      <c r="L2862" t="n">
        <v>0.633</v>
      </c>
      <c r="M2862" t="n">
        <v>0.119</v>
      </c>
    </row>
    <row r="2863" spans="1:13">
      <c r="A2863" s="1">
        <f>HYPERLINK("http://www.twitter.com/NathanBLawrence/status/966877576928071682", "966877576928071682")</f>
        <v/>
      </c>
      <c r="B2863" s="2" t="n">
        <v>43154.14527777778</v>
      </c>
      <c r="C2863" t="n">
        <v>0</v>
      </c>
      <c r="D2863" t="n">
        <v>271</v>
      </c>
      <c r="E2863" t="s">
        <v>2865</v>
      </c>
      <c r="F2863" t="s"/>
      <c r="G2863" t="s"/>
      <c r="H2863" t="s"/>
      <c r="I2863" t="s"/>
      <c r="J2863" t="n">
        <v>0.4019</v>
      </c>
      <c r="K2863" t="n">
        <v>0</v>
      </c>
      <c r="L2863" t="n">
        <v>0.722</v>
      </c>
      <c r="M2863" t="n">
        <v>0.278</v>
      </c>
    </row>
    <row r="2864" spans="1:13">
      <c r="A2864" s="1">
        <f>HYPERLINK("http://www.twitter.com/NathanBLawrence/status/966855248693420032", "966855248693420032")</f>
        <v/>
      </c>
      <c r="B2864" s="2" t="n">
        <v>43154.08366898148</v>
      </c>
      <c r="C2864" t="n">
        <v>0</v>
      </c>
      <c r="D2864" t="n">
        <v>118</v>
      </c>
      <c r="E2864" t="s">
        <v>2866</v>
      </c>
      <c r="F2864" t="s"/>
      <c r="G2864" t="s"/>
      <c r="H2864" t="s"/>
      <c r="I2864" t="s"/>
      <c r="J2864" t="n">
        <v>-0.0516</v>
      </c>
      <c r="K2864" t="n">
        <v>0.12</v>
      </c>
      <c r="L2864" t="n">
        <v>0.766</v>
      </c>
      <c r="M2864" t="n">
        <v>0.113</v>
      </c>
    </row>
    <row r="2865" spans="1:13">
      <c r="A2865" s="1">
        <f>HYPERLINK("http://www.twitter.com/NathanBLawrence/status/966855098067509249", "966855098067509249")</f>
        <v/>
      </c>
      <c r="B2865" s="2" t="n">
        <v>43154.08325231481</v>
      </c>
      <c r="C2865" t="n">
        <v>0</v>
      </c>
      <c r="D2865" t="n">
        <v>7</v>
      </c>
      <c r="E2865" t="s">
        <v>2867</v>
      </c>
      <c r="F2865" t="s"/>
      <c r="G2865" t="s"/>
      <c r="H2865" t="s"/>
      <c r="I2865" t="s"/>
      <c r="J2865" t="n">
        <v>0.128</v>
      </c>
      <c r="K2865" t="n">
        <v>0.108</v>
      </c>
      <c r="L2865" t="n">
        <v>0.732</v>
      </c>
      <c r="M2865" t="n">
        <v>0.16</v>
      </c>
    </row>
    <row r="2866" spans="1:13">
      <c r="A2866" s="1">
        <f>HYPERLINK("http://www.twitter.com/NathanBLawrence/status/966854601038319617", "966854601038319617")</f>
        <v/>
      </c>
      <c r="B2866" s="2" t="n">
        <v>43154.081875</v>
      </c>
      <c r="C2866" t="n">
        <v>0</v>
      </c>
      <c r="D2866" t="n">
        <v>783</v>
      </c>
      <c r="E2866" t="s">
        <v>2868</v>
      </c>
      <c r="F2866" t="s"/>
      <c r="G2866" t="s"/>
      <c r="H2866" t="s"/>
      <c r="I2866" t="s"/>
      <c r="J2866" t="n">
        <v>-0.6219</v>
      </c>
      <c r="K2866" t="n">
        <v>0.237</v>
      </c>
      <c r="L2866" t="n">
        <v>0.661</v>
      </c>
      <c r="M2866" t="n">
        <v>0.102</v>
      </c>
    </row>
    <row r="2867" spans="1:13">
      <c r="A2867" s="1">
        <f>HYPERLINK("http://www.twitter.com/NathanBLawrence/status/966853856129945600", "966853856129945600")</f>
        <v/>
      </c>
      <c r="B2867" s="2" t="n">
        <v>43154.07982638889</v>
      </c>
      <c r="C2867" t="n">
        <v>0</v>
      </c>
      <c r="D2867" t="n">
        <v>12653</v>
      </c>
      <c r="E2867" t="s">
        <v>2869</v>
      </c>
      <c r="F2867" t="s"/>
      <c r="G2867" t="s"/>
      <c r="H2867" t="s"/>
      <c r="I2867" t="s"/>
      <c r="J2867" t="n">
        <v>0.6908</v>
      </c>
      <c r="K2867" t="n">
        <v>0.059</v>
      </c>
      <c r="L2867" t="n">
        <v>0.669</v>
      </c>
      <c r="M2867" t="n">
        <v>0.271</v>
      </c>
    </row>
    <row r="2868" spans="1:13">
      <c r="A2868" s="1">
        <f>HYPERLINK("http://www.twitter.com/NathanBLawrence/status/966853807765442560", "966853807765442560")</f>
        <v/>
      </c>
      <c r="B2868" s="2" t="n">
        <v>43154.0796875</v>
      </c>
      <c r="C2868" t="n">
        <v>0</v>
      </c>
      <c r="D2868" t="n">
        <v>11853</v>
      </c>
      <c r="E2868" t="s">
        <v>2870</v>
      </c>
      <c r="F2868" t="s"/>
      <c r="G2868" t="s"/>
      <c r="H2868" t="s"/>
      <c r="I2868" t="s"/>
      <c r="J2868" t="n">
        <v>0.3182</v>
      </c>
      <c r="K2868" t="n">
        <v>0</v>
      </c>
      <c r="L2868" t="n">
        <v>0.897</v>
      </c>
      <c r="M2868" t="n">
        <v>0.103</v>
      </c>
    </row>
    <row r="2869" spans="1:13">
      <c r="A2869" s="1">
        <f>HYPERLINK("http://www.twitter.com/NathanBLawrence/status/966853718212861952", "966853718212861952")</f>
        <v/>
      </c>
      <c r="B2869" s="2" t="n">
        <v>43154.07944444445</v>
      </c>
      <c r="C2869" t="n">
        <v>0</v>
      </c>
      <c r="D2869" t="n">
        <v>2083</v>
      </c>
      <c r="E2869" t="s">
        <v>2871</v>
      </c>
      <c r="F2869" t="s"/>
      <c r="G2869" t="s"/>
      <c r="H2869" t="s"/>
      <c r="I2869" t="s"/>
      <c r="J2869" t="n">
        <v>0.4404</v>
      </c>
      <c r="K2869" t="n">
        <v>0</v>
      </c>
      <c r="L2869" t="n">
        <v>0.879</v>
      </c>
      <c r="M2869" t="n">
        <v>0.121</v>
      </c>
    </row>
    <row r="2870" spans="1:13">
      <c r="A2870" s="1">
        <f>HYPERLINK("http://www.twitter.com/NathanBLawrence/status/966853677158977536", "966853677158977536")</f>
        <v/>
      </c>
      <c r="B2870" s="2" t="n">
        <v>43154.0793287037</v>
      </c>
      <c r="C2870" t="n">
        <v>0</v>
      </c>
      <c r="D2870" t="n">
        <v>4396</v>
      </c>
      <c r="E2870" t="s">
        <v>2872</v>
      </c>
      <c r="F2870" t="s"/>
      <c r="G2870" t="s"/>
      <c r="H2870" t="s"/>
      <c r="I2870" t="s"/>
      <c r="J2870" t="n">
        <v>-0.5106000000000001</v>
      </c>
      <c r="K2870" t="n">
        <v>0.148</v>
      </c>
      <c r="L2870" t="n">
        <v>0.852</v>
      </c>
      <c r="M2870" t="n">
        <v>0</v>
      </c>
    </row>
    <row r="2871" spans="1:13">
      <c r="A2871" s="1">
        <f>HYPERLINK("http://www.twitter.com/NathanBLawrence/status/966853577640759296", "966853577640759296")</f>
        <v/>
      </c>
      <c r="B2871" s="2" t="n">
        <v>43154.07905092592</v>
      </c>
      <c r="C2871" t="n">
        <v>0</v>
      </c>
      <c r="D2871" t="n">
        <v>891</v>
      </c>
      <c r="E2871" t="s">
        <v>2873</v>
      </c>
      <c r="F2871" t="s"/>
      <c r="G2871" t="s"/>
      <c r="H2871" t="s"/>
      <c r="I2871" t="s"/>
      <c r="J2871" t="n">
        <v>0</v>
      </c>
      <c r="K2871" t="n">
        <v>0</v>
      </c>
      <c r="L2871" t="n">
        <v>1</v>
      </c>
      <c r="M2871" t="n">
        <v>0</v>
      </c>
    </row>
    <row r="2872" spans="1:13">
      <c r="A2872" s="1">
        <f>HYPERLINK("http://www.twitter.com/NathanBLawrence/status/966853501275000833", "966853501275000833")</f>
        <v/>
      </c>
      <c r="B2872" s="2" t="n">
        <v>43154.07884259259</v>
      </c>
      <c r="C2872" t="n">
        <v>0</v>
      </c>
      <c r="D2872" t="n">
        <v>763</v>
      </c>
      <c r="E2872" t="s">
        <v>2874</v>
      </c>
      <c r="F2872" t="s"/>
      <c r="G2872" t="s"/>
      <c r="H2872" t="s"/>
      <c r="I2872" t="s"/>
      <c r="J2872" t="n">
        <v>0</v>
      </c>
      <c r="K2872" t="n">
        <v>0</v>
      </c>
      <c r="L2872" t="n">
        <v>1</v>
      </c>
      <c r="M2872" t="n">
        <v>0</v>
      </c>
    </row>
    <row r="2873" spans="1:13">
      <c r="A2873" s="1">
        <f>HYPERLINK("http://www.twitter.com/NathanBLawrence/status/966853463354302464", "966853463354302464")</f>
        <v/>
      </c>
      <c r="B2873" s="2" t="n">
        <v>43154.07873842592</v>
      </c>
      <c r="C2873" t="n">
        <v>0</v>
      </c>
      <c r="D2873" t="n">
        <v>2482</v>
      </c>
      <c r="E2873" t="s">
        <v>2875</v>
      </c>
      <c r="F2873" t="s"/>
      <c r="G2873" t="s"/>
      <c r="H2873" t="s"/>
      <c r="I2873" t="s"/>
      <c r="J2873" t="n">
        <v>0</v>
      </c>
      <c r="K2873" t="n">
        <v>0</v>
      </c>
      <c r="L2873" t="n">
        <v>1</v>
      </c>
      <c r="M2873" t="n">
        <v>0</v>
      </c>
    </row>
    <row r="2874" spans="1:13">
      <c r="A2874" s="1">
        <f>HYPERLINK("http://www.twitter.com/NathanBLawrence/status/966851088627458048", "966851088627458048")</f>
        <v/>
      </c>
      <c r="B2874" s="2" t="n">
        <v>43154.0721875</v>
      </c>
      <c r="C2874" t="n">
        <v>0</v>
      </c>
      <c r="D2874" t="n">
        <v>7586</v>
      </c>
      <c r="E2874" t="s">
        <v>2876</v>
      </c>
      <c r="F2874" t="s"/>
      <c r="G2874" t="s"/>
      <c r="H2874" t="s"/>
      <c r="I2874" t="s"/>
      <c r="J2874" t="n">
        <v>-0.6326000000000001</v>
      </c>
      <c r="K2874" t="n">
        <v>0.19</v>
      </c>
      <c r="L2874" t="n">
        <v>0.8100000000000001</v>
      </c>
      <c r="M2874" t="n">
        <v>0</v>
      </c>
    </row>
    <row r="2875" spans="1:13">
      <c r="A2875" s="1">
        <f>HYPERLINK("http://www.twitter.com/NathanBLawrence/status/966850644530298881", "966850644530298881")</f>
        <v/>
      </c>
      <c r="B2875" s="2" t="n">
        <v>43154.07096064815</v>
      </c>
      <c r="C2875" t="n">
        <v>0</v>
      </c>
      <c r="D2875" t="n">
        <v>50522</v>
      </c>
      <c r="E2875" t="s">
        <v>2877</v>
      </c>
      <c r="F2875" t="s"/>
      <c r="G2875" t="s"/>
      <c r="H2875" t="s"/>
      <c r="I2875" t="s"/>
      <c r="J2875" t="n">
        <v>0.4767</v>
      </c>
      <c r="K2875" t="n">
        <v>0.06</v>
      </c>
      <c r="L2875" t="n">
        <v>0.772</v>
      </c>
      <c r="M2875" t="n">
        <v>0.168</v>
      </c>
    </row>
    <row r="2876" spans="1:13">
      <c r="A2876" s="1">
        <f>HYPERLINK("http://www.twitter.com/NathanBLawrence/status/966850530013261824", "966850530013261824")</f>
        <v/>
      </c>
      <c r="B2876" s="2" t="n">
        <v>43154.07064814815</v>
      </c>
      <c r="C2876" t="n">
        <v>0</v>
      </c>
      <c r="D2876" t="n">
        <v>22021</v>
      </c>
      <c r="E2876" t="s">
        <v>2878</v>
      </c>
      <c r="F2876" t="s"/>
      <c r="G2876" t="s"/>
      <c r="H2876" t="s"/>
      <c r="I2876" t="s"/>
      <c r="J2876" t="n">
        <v>-0.6908</v>
      </c>
      <c r="K2876" t="n">
        <v>0.256</v>
      </c>
      <c r="L2876" t="n">
        <v>0.639</v>
      </c>
      <c r="M2876" t="n">
        <v>0.105</v>
      </c>
    </row>
    <row r="2877" spans="1:13">
      <c r="A2877" s="1">
        <f>HYPERLINK("http://www.twitter.com/NathanBLawrence/status/966850371254734848", "966850371254734848")</f>
        <v/>
      </c>
      <c r="B2877" s="2" t="n">
        <v>43154.07020833333</v>
      </c>
      <c r="C2877" t="n">
        <v>0</v>
      </c>
      <c r="D2877" t="n">
        <v>12822</v>
      </c>
      <c r="E2877" t="s">
        <v>2879</v>
      </c>
      <c r="F2877" t="s"/>
      <c r="G2877" t="s"/>
      <c r="H2877" t="s"/>
      <c r="I2877" t="s"/>
      <c r="J2877" t="n">
        <v>-0.9201</v>
      </c>
      <c r="K2877" t="n">
        <v>0.466</v>
      </c>
      <c r="L2877" t="n">
        <v>0.534</v>
      </c>
      <c r="M2877" t="n">
        <v>0</v>
      </c>
    </row>
    <row r="2878" spans="1:13">
      <c r="A2878" s="1">
        <f>HYPERLINK("http://www.twitter.com/NathanBLawrence/status/966849852264075265", "966849852264075265")</f>
        <v/>
      </c>
      <c r="B2878" s="2" t="n">
        <v>43154.06877314814</v>
      </c>
      <c r="C2878" t="n">
        <v>0</v>
      </c>
      <c r="D2878" t="n">
        <v>0</v>
      </c>
      <c r="E2878" t="s">
        <v>2880</v>
      </c>
      <c r="F2878" t="s"/>
      <c r="G2878" t="s"/>
      <c r="H2878" t="s"/>
      <c r="I2878" t="s"/>
      <c r="J2878" t="n">
        <v>0</v>
      </c>
      <c r="K2878" t="n">
        <v>0</v>
      </c>
      <c r="L2878" t="n">
        <v>1</v>
      </c>
      <c r="M2878" t="n">
        <v>0</v>
      </c>
    </row>
    <row r="2879" spans="1:13">
      <c r="A2879" s="1">
        <f>HYPERLINK("http://www.twitter.com/NathanBLawrence/status/966849686949777409", "966849686949777409")</f>
        <v/>
      </c>
      <c r="B2879" s="2" t="n">
        <v>43154.06832175926</v>
      </c>
      <c r="C2879" t="n">
        <v>0</v>
      </c>
      <c r="D2879" t="n">
        <v>295</v>
      </c>
      <c r="E2879" t="s">
        <v>2881</v>
      </c>
      <c r="F2879" t="s"/>
      <c r="G2879" t="s"/>
      <c r="H2879" t="s"/>
      <c r="I2879" t="s"/>
      <c r="J2879" t="n">
        <v>0.4939</v>
      </c>
      <c r="K2879" t="n">
        <v>0</v>
      </c>
      <c r="L2879" t="n">
        <v>0.824</v>
      </c>
      <c r="M2879" t="n">
        <v>0.176</v>
      </c>
    </row>
    <row r="2880" spans="1:13">
      <c r="A2880" s="1">
        <f>HYPERLINK("http://www.twitter.com/NathanBLawrence/status/966849628024004609", "966849628024004609")</f>
        <v/>
      </c>
      <c r="B2880" s="2" t="n">
        <v>43154.06815972222</v>
      </c>
      <c r="C2880" t="n">
        <v>0</v>
      </c>
      <c r="D2880" t="n">
        <v>584</v>
      </c>
      <c r="E2880" t="s">
        <v>2882</v>
      </c>
      <c r="F2880" t="s"/>
      <c r="G2880" t="s"/>
      <c r="H2880" t="s"/>
      <c r="I2880" t="s"/>
      <c r="J2880" t="n">
        <v>0.296</v>
      </c>
      <c r="K2880" t="n">
        <v>0.133</v>
      </c>
      <c r="L2880" t="n">
        <v>0.611</v>
      </c>
      <c r="M2880" t="n">
        <v>0.256</v>
      </c>
    </row>
    <row r="2881" spans="1:13">
      <c r="A2881" s="1">
        <f>HYPERLINK("http://www.twitter.com/NathanBLawrence/status/966849597149712384", "966849597149712384")</f>
        <v/>
      </c>
      <c r="B2881" s="2" t="n">
        <v>43154.06806712963</v>
      </c>
      <c r="C2881" t="n">
        <v>0</v>
      </c>
      <c r="D2881" t="n">
        <v>2204</v>
      </c>
      <c r="E2881" t="s">
        <v>2883</v>
      </c>
      <c r="F2881" t="s"/>
      <c r="G2881" t="s"/>
      <c r="H2881" t="s"/>
      <c r="I2881" t="s"/>
      <c r="J2881" t="n">
        <v>0</v>
      </c>
      <c r="K2881" t="n">
        <v>0</v>
      </c>
      <c r="L2881" t="n">
        <v>1</v>
      </c>
      <c r="M2881" t="n">
        <v>0</v>
      </c>
    </row>
    <row r="2882" spans="1:13">
      <c r="A2882" s="1">
        <f>HYPERLINK("http://www.twitter.com/NathanBLawrence/status/966849440479956992", "966849440479956992")</f>
        <v/>
      </c>
      <c r="B2882" s="2" t="n">
        <v>43154.06763888889</v>
      </c>
      <c r="C2882" t="n">
        <v>0</v>
      </c>
      <c r="D2882" t="n">
        <v>859</v>
      </c>
      <c r="E2882" t="s">
        <v>2884</v>
      </c>
      <c r="F2882" t="s"/>
      <c r="G2882" t="s"/>
      <c r="H2882" t="s"/>
      <c r="I2882" t="s"/>
      <c r="J2882" t="n">
        <v>0.2481</v>
      </c>
      <c r="K2882" t="n">
        <v>0.062</v>
      </c>
      <c r="L2882" t="n">
        <v>0.84</v>
      </c>
      <c r="M2882" t="n">
        <v>0.098</v>
      </c>
    </row>
    <row r="2883" spans="1:13">
      <c r="A2883" s="1">
        <f>HYPERLINK("http://www.twitter.com/NathanBLawrence/status/966849173470547968", "966849173470547968")</f>
        <v/>
      </c>
      <c r="B2883" s="2" t="n">
        <v>43154.06689814815</v>
      </c>
      <c r="C2883" t="n">
        <v>0</v>
      </c>
      <c r="D2883" t="n">
        <v>2</v>
      </c>
      <c r="E2883" t="s">
        <v>2885</v>
      </c>
      <c r="F2883">
        <f>HYPERLINK("http://pbs.twimg.com/media/DWrqSnDVAAAy_pU.jpg", "http://pbs.twimg.com/media/DWrqSnDVAAAy_pU.jpg")</f>
        <v/>
      </c>
      <c r="G2883" t="s"/>
      <c r="H2883" t="s"/>
      <c r="I2883" t="s"/>
      <c r="J2883" t="n">
        <v>0</v>
      </c>
      <c r="K2883" t="n">
        <v>0</v>
      </c>
      <c r="L2883" t="n">
        <v>1</v>
      </c>
      <c r="M2883" t="n">
        <v>0</v>
      </c>
    </row>
    <row r="2884" spans="1:13">
      <c r="A2884" s="1">
        <f>HYPERLINK("http://www.twitter.com/NathanBLawrence/status/966849005769633792", "966849005769633792")</f>
        <v/>
      </c>
      <c r="B2884" s="2" t="n">
        <v>43154.06643518519</v>
      </c>
      <c r="C2884" t="n">
        <v>0</v>
      </c>
      <c r="D2884" t="n">
        <v>2</v>
      </c>
      <c r="E2884" t="s">
        <v>2886</v>
      </c>
      <c r="F2884" t="s"/>
      <c r="G2884" t="s"/>
      <c r="H2884" t="s"/>
      <c r="I2884" t="s"/>
      <c r="J2884" t="n">
        <v>0</v>
      </c>
      <c r="K2884" t="n">
        <v>0</v>
      </c>
      <c r="L2884" t="n">
        <v>1</v>
      </c>
      <c r="M2884" t="n">
        <v>0</v>
      </c>
    </row>
    <row r="2885" spans="1:13">
      <c r="A2885" s="1">
        <f>HYPERLINK("http://www.twitter.com/NathanBLawrence/status/966848946239832064", "966848946239832064")</f>
        <v/>
      </c>
      <c r="B2885" s="2" t="n">
        <v>43154.06627314815</v>
      </c>
      <c r="C2885" t="n">
        <v>0</v>
      </c>
      <c r="D2885" t="n">
        <v>1</v>
      </c>
      <c r="E2885" t="s">
        <v>2887</v>
      </c>
      <c r="F2885" t="s"/>
      <c r="G2885" t="s"/>
      <c r="H2885" t="s"/>
      <c r="I2885" t="s"/>
      <c r="J2885" t="n">
        <v>0</v>
      </c>
      <c r="K2885" t="n">
        <v>0</v>
      </c>
      <c r="L2885" t="n">
        <v>1</v>
      </c>
      <c r="M2885" t="n">
        <v>0</v>
      </c>
    </row>
    <row r="2886" spans="1:13">
      <c r="A2886" s="1">
        <f>HYPERLINK("http://www.twitter.com/NathanBLawrence/status/966848868938809345", "966848868938809345")</f>
        <v/>
      </c>
      <c r="B2886" s="2" t="n">
        <v>43154.06606481481</v>
      </c>
      <c r="C2886" t="n">
        <v>0</v>
      </c>
      <c r="D2886" t="n">
        <v>3</v>
      </c>
      <c r="E2886" t="s">
        <v>2888</v>
      </c>
      <c r="F2886" t="s"/>
      <c r="G2886" t="s"/>
      <c r="H2886" t="s"/>
      <c r="I2886" t="s"/>
      <c r="J2886" t="n">
        <v>0</v>
      </c>
      <c r="K2886" t="n">
        <v>0</v>
      </c>
      <c r="L2886" t="n">
        <v>1</v>
      </c>
      <c r="M2886" t="n">
        <v>0</v>
      </c>
    </row>
    <row r="2887" spans="1:13">
      <c r="A2887" s="1">
        <f>HYPERLINK("http://www.twitter.com/NathanBLawrence/status/966848729620844544", "966848729620844544")</f>
        <v/>
      </c>
      <c r="B2887" s="2" t="n">
        <v>43154.0656712963</v>
      </c>
      <c r="C2887" t="n">
        <v>0</v>
      </c>
      <c r="D2887" t="n">
        <v>3</v>
      </c>
      <c r="E2887" t="s">
        <v>2889</v>
      </c>
      <c r="F2887" t="s"/>
      <c r="G2887" t="s"/>
      <c r="H2887" t="s"/>
      <c r="I2887" t="s"/>
      <c r="J2887" t="n">
        <v>0</v>
      </c>
      <c r="K2887" t="n">
        <v>0</v>
      </c>
      <c r="L2887" t="n">
        <v>1</v>
      </c>
      <c r="M2887" t="n">
        <v>0</v>
      </c>
    </row>
    <row r="2888" spans="1:13">
      <c r="A2888" s="1">
        <f>HYPERLINK("http://www.twitter.com/NathanBLawrence/status/966848683135373312", "966848683135373312")</f>
        <v/>
      </c>
      <c r="B2888" s="2" t="n">
        <v>43154.06554398148</v>
      </c>
      <c r="C2888" t="n">
        <v>0</v>
      </c>
      <c r="D2888" t="n">
        <v>4</v>
      </c>
      <c r="E2888" t="s">
        <v>2890</v>
      </c>
      <c r="F2888" t="s"/>
      <c r="G2888" t="s"/>
      <c r="H2888" t="s"/>
      <c r="I2888" t="s"/>
      <c r="J2888" t="n">
        <v>-0.1027</v>
      </c>
      <c r="K2888" t="n">
        <v>0.062</v>
      </c>
      <c r="L2888" t="n">
        <v>0.9379999999999999</v>
      </c>
      <c r="M2888" t="n">
        <v>0</v>
      </c>
    </row>
    <row r="2889" spans="1:13">
      <c r="A2889" s="1">
        <f>HYPERLINK("http://www.twitter.com/NathanBLawrence/status/966848527526715392", "966848527526715392")</f>
        <v/>
      </c>
      <c r="B2889" s="2" t="n">
        <v>43154.06511574074</v>
      </c>
      <c r="C2889" t="n">
        <v>0</v>
      </c>
      <c r="D2889" t="n">
        <v>7</v>
      </c>
      <c r="E2889" t="s">
        <v>2891</v>
      </c>
      <c r="F2889" t="s"/>
      <c r="G2889" t="s"/>
      <c r="H2889" t="s"/>
      <c r="I2889" t="s"/>
      <c r="J2889" t="n">
        <v>-0.25</v>
      </c>
      <c r="K2889" t="n">
        <v>0.125</v>
      </c>
      <c r="L2889" t="n">
        <v>0.875</v>
      </c>
      <c r="M2889" t="n">
        <v>0</v>
      </c>
    </row>
    <row r="2890" spans="1:13">
      <c r="A2890" s="1">
        <f>HYPERLINK("http://www.twitter.com/NathanBLawrence/status/966848398585450496", "966848398585450496")</f>
        <v/>
      </c>
      <c r="B2890" s="2" t="n">
        <v>43154.06476851852</v>
      </c>
      <c r="C2890" t="n">
        <v>0</v>
      </c>
      <c r="D2890" t="n">
        <v>23</v>
      </c>
      <c r="E2890" t="s">
        <v>2892</v>
      </c>
      <c r="F2890">
        <f>HYPERLINK("http://pbs.twimg.com/media/DWrPEzXWsAISiP1.jpg", "http://pbs.twimg.com/media/DWrPEzXWsAISiP1.jpg")</f>
        <v/>
      </c>
      <c r="G2890" t="s"/>
      <c r="H2890" t="s"/>
      <c r="I2890" t="s"/>
      <c r="J2890" t="n">
        <v>-0.4199</v>
      </c>
      <c r="K2890" t="n">
        <v>0.318</v>
      </c>
      <c r="L2890" t="n">
        <v>0.6820000000000001</v>
      </c>
      <c r="M2890" t="n">
        <v>0</v>
      </c>
    </row>
    <row r="2891" spans="1:13">
      <c r="A2891" s="1">
        <f>HYPERLINK("http://www.twitter.com/NathanBLawrence/status/966848345506570242", "966848345506570242")</f>
        <v/>
      </c>
      <c r="B2891" s="2" t="n">
        <v>43154.06461805556</v>
      </c>
      <c r="C2891" t="n">
        <v>0</v>
      </c>
      <c r="D2891" t="n">
        <v>12</v>
      </c>
      <c r="E2891" t="s">
        <v>2893</v>
      </c>
      <c r="F2891" t="s"/>
      <c r="G2891" t="s"/>
      <c r="H2891" t="s"/>
      <c r="I2891" t="s"/>
      <c r="J2891" t="n">
        <v>-0.4767</v>
      </c>
      <c r="K2891" t="n">
        <v>0.134</v>
      </c>
      <c r="L2891" t="n">
        <v>0.866</v>
      </c>
      <c r="M2891" t="n">
        <v>0</v>
      </c>
    </row>
    <row r="2892" spans="1:13">
      <c r="A2892" s="1">
        <f>HYPERLINK("http://www.twitter.com/NathanBLawrence/status/966848122268913666", "966848122268913666")</f>
        <v/>
      </c>
      <c r="B2892" s="2" t="n">
        <v>43154.06400462963</v>
      </c>
      <c r="C2892" t="n">
        <v>0</v>
      </c>
      <c r="D2892" t="n">
        <v>13</v>
      </c>
      <c r="E2892" t="s">
        <v>2894</v>
      </c>
      <c r="F2892" t="s"/>
      <c r="G2892" t="s"/>
      <c r="H2892" t="s"/>
      <c r="I2892" t="s"/>
      <c r="J2892" t="n">
        <v>-0.2481</v>
      </c>
      <c r="K2892" t="n">
        <v>0.132</v>
      </c>
      <c r="L2892" t="n">
        <v>0.775</v>
      </c>
      <c r="M2892" t="n">
        <v>0.093</v>
      </c>
    </row>
    <row r="2893" spans="1:13">
      <c r="A2893" s="1">
        <f>HYPERLINK("http://www.twitter.com/NathanBLawrence/status/966848025095294976", "966848025095294976")</f>
        <v/>
      </c>
      <c r="B2893" s="2" t="n">
        <v>43154.06373842592</v>
      </c>
      <c r="C2893" t="n">
        <v>0</v>
      </c>
      <c r="D2893" t="n">
        <v>1018</v>
      </c>
      <c r="E2893" t="s">
        <v>2895</v>
      </c>
      <c r="F2893" t="s"/>
      <c r="G2893" t="s"/>
      <c r="H2893" t="s"/>
      <c r="I2893" t="s"/>
      <c r="J2893" t="n">
        <v>-0.3749</v>
      </c>
      <c r="K2893" t="n">
        <v>0.266</v>
      </c>
      <c r="L2893" t="n">
        <v>0.521</v>
      </c>
      <c r="M2893" t="n">
        <v>0.212</v>
      </c>
    </row>
    <row r="2894" spans="1:13">
      <c r="A2894" s="1">
        <f>HYPERLINK("http://www.twitter.com/NathanBLawrence/status/966846752010788864", "966846752010788864")</f>
        <v/>
      </c>
      <c r="B2894" s="2" t="n">
        <v>43154.06021990741</v>
      </c>
      <c r="C2894" t="n">
        <v>0</v>
      </c>
      <c r="D2894" t="n">
        <v>5</v>
      </c>
      <c r="E2894" t="s">
        <v>2896</v>
      </c>
      <c r="F2894" t="s"/>
      <c r="G2894" t="s"/>
      <c r="H2894" t="s"/>
      <c r="I2894" t="s"/>
      <c r="J2894" t="n">
        <v>-0.2732</v>
      </c>
      <c r="K2894" t="n">
        <v>0.119</v>
      </c>
      <c r="L2894" t="n">
        <v>0.805</v>
      </c>
      <c r="M2894" t="n">
        <v>0.077</v>
      </c>
    </row>
    <row r="2895" spans="1:13">
      <c r="A2895" s="1">
        <f>HYPERLINK("http://www.twitter.com/NathanBLawrence/status/966846051046121473", "966846051046121473")</f>
        <v/>
      </c>
      <c r="B2895" s="2" t="n">
        <v>43154.05828703703</v>
      </c>
      <c r="C2895" t="n">
        <v>0</v>
      </c>
      <c r="D2895" t="n">
        <v>4</v>
      </c>
      <c r="E2895" t="s">
        <v>2897</v>
      </c>
      <c r="F2895" t="s"/>
      <c r="G2895" t="s"/>
      <c r="H2895" t="s"/>
      <c r="I2895" t="s"/>
      <c r="J2895" t="n">
        <v>0</v>
      </c>
      <c r="K2895" t="n">
        <v>0</v>
      </c>
      <c r="L2895" t="n">
        <v>1</v>
      </c>
      <c r="M2895" t="n">
        <v>0</v>
      </c>
    </row>
    <row r="2896" spans="1:13">
      <c r="A2896" s="1">
        <f>HYPERLINK("http://www.twitter.com/NathanBLawrence/status/966845688154902528", "966845688154902528")</f>
        <v/>
      </c>
      <c r="B2896" s="2" t="n">
        <v>43154.05728009259</v>
      </c>
      <c r="C2896" t="n">
        <v>0</v>
      </c>
      <c r="D2896" t="n">
        <v>40</v>
      </c>
      <c r="E2896" t="s">
        <v>2898</v>
      </c>
      <c r="F2896" t="s"/>
      <c r="G2896" t="s"/>
      <c r="H2896" t="s"/>
      <c r="I2896" t="s"/>
      <c r="J2896" t="n">
        <v>0.6369</v>
      </c>
      <c r="K2896" t="n">
        <v>0</v>
      </c>
      <c r="L2896" t="n">
        <v>0.766</v>
      </c>
      <c r="M2896" t="n">
        <v>0.234</v>
      </c>
    </row>
    <row r="2897" spans="1:13">
      <c r="A2897" s="1">
        <f>HYPERLINK("http://www.twitter.com/NathanBLawrence/status/966845631070425088", "966845631070425088")</f>
        <v/>
      </c>
      <c r="B2897" s="2" t="n">
        <v>43154.05712962963</v>
      </c>
      <c r="C2897" t="n">
        <v>0</v>
      </c>
      <c r="D2897" t="n">
        <v>23</v>
      </c>
      <c r="E2897" t="s">
        <v>2899</v>
      </c>
      <c r="F2897" t="s"/>
      <c r="G2897" t="s"/>
      <c r="H2897" t="s"/>
      <c r="I2897" t="s"/>
      <c r="J2897" t="n">
        <v>0</v>
      </c>
      <c r="K2897" t="n">
        <v>0</v>
      </c>
      <c r="L2897" t="n">
        <v>1</v>
      </c>
      <c r="M2897" t="n">
        <v>0</v>
      </c>
    </row>
    <row r="2898" spans="1:13">
      <c r="A2898" s="1">
        <f>HYPERLINK("http://www.twitter.com/NathanBLawrence/status/966845615115251712", "966845615115251712")</f>
        <v/>
      </c>
      <c r="B2898" s="2" t="n">
        <v>43154.05708333333</v>
      </c>
      <c r="C2898" t="n">
        <v>0</v>
      </c>
      <c r="D2898" t="n">
        <v>24</v>
      </c>
      <c r="E2898" t="s">
        <v>2900</v>
      </c>
      <c r="F2898" t="s"/>
      <c r="G2898" t="s"/>
      <c r="H2898" t="s"/>
      <c r="I2898" t="s"/>
      <c r="J2898" t="n">
        <v>0</v>
      </c>
      <c r="K2898" t="n">
        <v>0</v>
      </c>
      <c r="L2898" t="n">
        <v>1</v>
      </c>
      <c r="M2898" t="n">
        <v>0</v>
      </c>
    </row>
    <row r="2899" spans="1:13">
      <c r="A2899" s="1">
        <f>HYPERLINK("http://www.twitter.com/NathanBLawrence/status/966845567233069056", "966845567233069056")</f>
        <v/>
      </c>
      <c r="B2899" s="2" t="n">
        <v>43154.05695601852</v>
      </c>
      <c r="C2899" t="n">
        <v>0</v>
      </c>
      <c r="D2899" t="n">
        <v>58</v>
      </c>
      <c r="E2899" t="s">
        <v>2901</v>
      </c>
      <c r="F2899" t="s"/>
      <c r="G2899" t="s"/>
      <c r="H2899" t="s"/>
      <c r="I2899" t="s"/>
      <c r="J2899" t="n">
        <v>0.7026</v>
      </c>
      <c r="K2899" t="n">
        <v>0</v>
      </c>
      <c r="L2899" t="n">
        <v>0.791</v>
      </c>
      <c r="M2899" t="n">
        <v>0.209</v>
      </c>
    </row>
    <row r="2900" spans="1:13">
      <c r="A2900" s="1">
        <f>HYPERLINK("http://www.twitter.com/NathanBLawrence/status/966845476480999425", "966845476480999425")</f>
        <v/>
      </c>
      <c r="B2900" s="2" t="n">
        <v>43154.05670138889</v>
      </c>
      <c r="C2900" t="n">
        <v>0</v>
      </c>
      <c r="D2900" t="n">
        <v>1131</v>
      </c>
      <c r="E2900" t="s">
        <v>2902</v>
      </c>
      <c r="F2900" t="s"/>
      <c r="G2900" t="s"/>
      <c r="H2900" t="s"/>
      <c r="I2900" t="s"/>
      <c r="J2900" t="n">
        <v>-0.4588</v>
      </c>
      <c r="K2900" t="n">
        <v>0.13</v>
      </c>
      <c r="L2900" t="n">
        <v>0.87</v>
      </c>
      <c r="M2900" t="n">
        <v>0</v>
      </c>
    </row>
    <row r="2901" spans="1:13">
      <c r="A2901" s="1">
        <f>HYPERLINK("http://www.twitter.com/NathanBLawrence/status/966845370604105728", "966845370604105728")</f>
        <v/>
      </c>
      <c r="B2901" s="2" t="n">
        <v>43154.05641203704</v>
      </c>
      <c r="C2901" t="n">
        <v>0</v>
      </c>
      <c r="D2901" t="n">
        <v>29168</v>
      </c>
      <c r="E2901" t="s">
        <v>2903</v>
      </c>
      <c r="F2901" t="s"/>
      <c r="G2901" t="s"/>
      <c r="H2901" t="s"/>
      <c r="I2901" t="s"/>
      <c r="J2901" t="n">
        <v>0</v>
      </c>
      <c r="K2901" t="n">
        <v>0</v>
      </c>
      <c r="L2901" t="n">
        <v>1</v>
      </c>
      <c r="M2901" t="n">
        <v>0</v>
      </c>
    </row>
    <row r="2902" spans="1:13">
      <c r="A2902" s="1">
        <f>HYPERLINK("http://www.twitter.com/NathanBLawrence/status/966844394451152897", "966844394451152897")</f>
        <v/>
      </c>
      <c r="B2902" s="2" t="n">
        <v>43154.05371527778</v>
      </c>
      <c r="C2902" t="n">
        <v>0</v>
      </c>
      <c r="D2902" t="n">
        <v>1425</v>
      </c>
      <c r="E2902" t="s">
        <v>2904</v>
      </c>
      <c r="F2902" t="s"/>
      <c r="G2902" t="s"/>
      <c r="H2902" t="s"/>
      <c r="I2902" t="s"/>
      <c r="J2902" t="n">
        <v>0.8270999999999999</v>
      </c>
      <c r="K2902" t="n">
        <v>0</v>
      </c>
      <c r="L2902" t="n">
        <v>0.732</v>
      </c>
      <c r="M2902" t="n">
        <v>0.268</v>
      </c>
    </row>
    <row r="2903" spans="1:13">
      <c r="A2903" s="1">
        <f>HYPERLINK("http://www.twitter.com/NathanBLawrence/status/966756955174907904", "966756955174907904")</f>
        <v/>
      </c>
      <c r="B2903" s="2" t="n">
        <v>43153.81243055555</v>
      </c>
      <c r="C2903" t="n">
        <v>0</v>
      </c>
      <c r="D2903" t="n">
        <v>4</v>
      </c>
      <c r="E2903" t="s">
        <v>2905</v>
      </c>
      <c r="F2903" t="s"/>
      <c r="G2903" t="s"/>
      <c r="H2903" t="s"/>
      <c r="I2903" t="s"/>
      <c r="J2903" t="n">
        <v>-0.5574</v>
      </c>
      <c r="K2903" t="n">
        <v>0.161</v>
      </c>
      <c r="L2903" t="n">
        <v>0.839</v>
      </c>
      <c r="M2903" t="n">
        <v>0</v>
      </c>
    </row>
    <row r="2904" spans="1:13">
      <c r="A2904" s="1">
        <f>HYPERLINK("http://www.twitter.com/NathanBLawrence/status/966756847964352512", "966756847964352512")</f>
        <v/>
      </c>
      <c r="B2904" s="2" t="n">
        <v>43153.81212962963</v>
      </c>
      <c r="C2904" t="n">
        <v>0</v>
      </c>
      <c r="D2904" t="n">
        <v>1</v>
      </c>
      <c r="E2904" t="s">
        <v>2906</v>
      </c>
      <c r="F2904" t="s"/>
      <c r="G2904" t="s"/>
      <c r="H2904" t="s"/>
      <c r="I2904" t="s"/>
      <c r="J2904" t="n">
        <v>0.4939</v>
      </c>
      <c r="K2904" t="n">
        <v>0</v>
      </c>
      <c r="L2904" t="n">
        <v>0.819</v>
      </c>
      <c r="M2904" t="n">
        <v>0.181</v>
      </c>
    </row>
    <row r="2905" spans="1:13">
      <c r="A2905" s="1">
        <f>HYPERLINK("http://www.twitter.com/NathanBLawrence/status/966756735112314880", "966756735112314880")</f>
        <v/>
      </c>
      <c r="B2905" s="2" t="n">
        <v>43153.81181712963</v>
      </c>
      <c r="C2905" t="n">
        <v>0</v>
      </c>
      <c r="D2905" t="n">
        <v>2100</v>
      </c>
      <c r="E2905" t="s">
        <v>2907</v>
      </c>
      <c r="F2905" t="s"/>
      <c r="G2905" t="s"/>
      <c r="H2905" t="s"/>
      <c r="I2905" t="s"/>
      <c r="J2905" t="n">
        <v>0</v>
      </c>
      <c r="K2905" t="n">
        <v>0</v>
      </c>
      <c r="L2905" t="n">
        <v>1</v>
      </c>
      <c r="M2905" t="n">
        <v>0</v>
      </c>
    </row>
    <row r="2906" spans="1:13">
      <c r="A2906" s="1">
        <f>HYPERLINK("http://www.twitter.com/NathanBLawrence/status/966756612382785537", "966756612382785537")</f>
        <v/>
      </c>
      <c r="B2906" s="2" t="n">
        <v>43153.81148148148</v>
      </c>
      <c r="C2906" t="n">
        <v>0</v>
      </c>
      <c r="D2906" t="n">
        <v>1625</v>
      </c>
      <c r="E2906" t="s">
        <v>2908</v>
      </c>
      <c r="F2906">
        <f>HYPERLINK("http://pbs.twimg.com/media/DWpWe_mUQAYj1YG.jpg", "http://pbs.twimg.com/media/DWpWe_mUQAYj1YG.jpg")</f>
        <v/>
      </c>
      <c r="G2906" t="s"/>
      <c r="H2906" t="s"/>
      <c r="I2906" t="s"/>
      <c r="J2906" t="n">
        <v>-0.0772</v>
      </c>
      <c r="K2906" t="n">
        <v>0.051</v>
      </c>
      <c r="L2906" t="n">
        <v>0.949</v>
      </c>
      <c r="M2906" t="n">
        <v>0</v>
      </c>
    </row>
    <row r="2907" spans="1:13">
      <c r="A2907" s="1">
        <f>HYPERLINK("http://www.twitter.com/NathanBLawrence/status/966756504153001984", "966756504153001984")</f>
        <v/>
      </c>
      <c r="B2907" s="2" t="n">
        <v>43153.81118055555</v>
      </c>
      <c r="C2907" t="n">
        <v>0</v>
      </c>
      <c r="D2907" t="n">
        <v>673</v>
      </c>
      <c r="E2907" t="s">
        <v>2909</v>
      </c>
      <c r="F2907" t="s"/>
      <c r="G2907" t="s"/>
      <c r="H2907" t="s"/>
      <c r="I2907" t="s"/>
      <c r="J2907" t="n">
        <v>-0.2732</v>
      </c>
      <c r="K2907" t="n">
        <v>0.095</v>
      </c>
      <c r="L2907" t="n">
        <v>0.905</v>
      </c>
      <c r="M2907" t="n">
        <v>0</v>
      </c>
    </row>
    <row r="2908" spans="1:13">
      <c r="A2908" s="1">
        <f>HYPERLINK("http://www.twitter.com/NathanBLawrence/status/966756017664069632", "966756017664069632")</f>
        <v/>
      </c>
      <c r="B2908" s="2" t="n">
        <v>43153.80983796297</v>
      </c>
      <c r="C2908" t="n">
        <v>0</v>
      </c>
      <c r="D2908" t="n">
        <v>559</v>
      </c>
      <c r="E2908" t="s">
        <v>2910</v>
      </c>
      <c r="F2908" t="s"/>
      <c r="G2908" t="s"/>
      <c r="H2908" t="s"/>
      <c r="I2908" t="s"/>
      <c r="J2908" t="n">
        <v>-0.6908</v>
      </c>
      <c r="K2908" t="n">
        <v>0.333</v>
      </c>
      <c r="L2908" t="n">
        <v>0.55</v>
      </c>
      <c r="M2908" t="n">
        <v>0.117</v>
      </c>
    </row>
    <row r="2909" spans="1:13">
      <c r="A2909" s="1">
        <f>HYPERLINK("http://www.twitter.com/NathanBLawrence/status/966755888425066501", "966755888425066501")</f>
        <v/>
      </c>
      <c r="B2909" s="2" t="n">
        <v>43153.80947916667</v>
      </c>
      <c r="C2909" t="n">
        <v>0</v>
      </c>
      <c r="D2909" t="n">
        <v>803</v>
      </c>
      <c r="E2909" t="s">
        <v>2911</v>
      </c>
      <c r="F2909" t="s"/>
      <c r="G2909" t="s"/>
      <c r="H2909" t="s"/>
      <c r="I2909" t="s"/>
      <c r="J2909" t="n">
        <v>0.6249</v>
      </c>
      <c r="K2909" t="n">
        <v>0</v>
      </c>
      <c r="L2909" t="n">
        <v>0.8120000000000001</v>
      </c>
      <c r="M2909" t="n">
        <v>0.188</v>
      </c>
    </row>
    <row r="2910" spans="1:13">
      <c r="A2910" s="1">
        <f>HYPERLINK("http://www.twitter.com/NathanBLawrence/status/966755771626196992", "966755771626196992")</f>
        <v/>
      </c>
      <c r="B2910" s="2" t="n">
        <v>43153.80916666667</v>
      </c>
      <c r="C2910" t="n">
        <v>0</v>
      </c>
      <c r="D2910" t="n">
        <v>766</v>
      </c>
      <c r="E2910" t="s">
        <v>2912</v>
      </c>
      <c r="F2910" t="s"/>
      <c r="G2910" t="s"/>
      <c r="H2910" t="s"/>
      <c r="I2910" t="s"/>
      <c r="J2910" t="n">
        <v>-0.3875</v>
      </c>
      <c r="K2910" t="n">
        <v>0.122</v>
      </c>
      <c r="L2910" t="n">
        <v>0.878</v>
      </c>
      <c r="M2910" t="n">
        <v>0</v>
      </c>
    </row>
    <row r="2911" spans="1:13">
      <c r="A2911" s="1">
        <f>HYPERLINK("http://www.twitter.com/NathanBLawrence/status/966755661425053696", "966755661425053696")</f>
        <v/>
      </c>
      <c r="B2911" s="2" t="n">
        <v>43153.80885416667</v>
      </c>
      <c r="C2911" t="n">
        <v>0</v>
      </c>
      <c r="D2911" t="n">
        <v>5</v>
      </c>
      <c r="E2911" t="s">
        <v>2913</v>
      </c>
      <c r="F2911" t="s"/>
      <c r="G2911" t="s"/>
      <c r="H2911" t="s"/>
      <c r="I2911" t="s"/>
      <c r="J2911" t="n">
        <v>0.7579</v>
      </c>
      <c r="K2911" t="n">
        <v>0</v>
      </c>
      <c r="L2911" t="n">
        <v>0.711</v>
      </c>
      <c r="M2911" t="n">
        <v>0.289</v>
      </c>
    </row>
    <row r="2912" spans="1:13">
      <c r="A2912" s="1">
        <f>HYPERLINK("http://www.twitter.com/NathanBLawrence/status/966755594303655936", "966755594303655936")</f>
        <v/>
      </c>
      <c r="B2912" s="2" t="n">
        <v>43153.80866898148</v>
      </c>
      <c r="C2912" t="n">
        <v>0</v>
      </c>
      <c r="D2912" t="n">
        <v>362</v>
      </c>
      <c r="E2912" t="s">
        <v>2914</v>
      </c>
      <c r="F2912" t="s"/>
      <c r="G2912" t="s"/>
      <c r="H2912" t="s"/>
      <c r="I2912" t="s"/>
      <c r="J2912" t="n">
        <v>-0.0258</v>
      </c>
      <c r="K2912" t="n">
        <v>0.197</v>
      </c>
      <c r="L2912" t="n">
        <v>0.612</v>
      </c>
      <c r="M2912" t="n">
        <v>0.19</v>
      </c>
    </row>
    <row r="2913" spans="1:13">
      <c r="A2913" s="1">
        <f>HYPERLINK("http://www.twitter.com/NathanBLawrence/status/966755398123388928", "966755398123388928")</f>
        <v/>
      </c>
      <c r="B2913" s="2" t="n">
        <v>43153.80813657407</v>
      </c>
      <c r="C2913" t="n">
        <v>0</v>
      </c>
      <c r="D2913" t="n">
        <v>3</v>
      </c>
      <c r="E2913" t="s">
        <v>2915</v>
      </c>
      <c r="F2913" t="s"/>
      <c r="G2913" t="s"/>
      <c r="H2913" t="s"/>
      <c r="I2913" t="s"/>
      <c r="J2913" t="n">
        <v>0.4466</v>
      </c>
      <c r="K2913" t="n">
        <v>0</v>
      </c>
      <c r="L2913" t="n">
        <v>0.845</v>
      </c>
      <c r="M2913" t="n">
        <v>0.155</v>
      </c>
    </row>
    <row r="2914" spans="1:13">
      <c r="A2914" s="1">
        <f>HYPERLINK("http://www.twitter.com/NathanBLawrence/status/966753911079079941", "966753911079079941")</f>
        <v/>
      </c>
      <c r="B2914" s="2" t="n">
        <v>43153.80402777778</v>
      </c>
      <c r="C2914" t="n">
        <v>0</v>
      </c>
      <c r="D2914" t="n">
        <v>3709</v>
      </c>
      <c r="E2914" t="s">
        <v>2916</v>
      </c>
      <c r="F2914">
        <f>HYPERLINK("https://video.twimg.com/ext_tw_video/966684352519208960/pu/vid/640x360/l9J1SCs8o5FCoqBp.mp4", "https://video.twimg.com/ext_tw_video/966684352519208960/pu/vid/640x360/l9J1SCs8o5FCoqBp.mp4")</f>
        <v/>
      </c>
      <c r="G2914" t="s"/>
      <c r="H2914" t="s"/>
      <c r="I2914" t="s"/>
      <c r="J2914" t="n">
        <v>0</v>
      </c>
      <c r="K2914" t="n">
        <v>0</v>
      </c>
      <c r="L2914" t="n">
        <v>1</v>
      </c>
      <c r="M2914" t="n">
        <v>0</v>
      </c>
    </row>
    <row r="2915" spans="1:13">
      <c r="A2915" s="1">
        <f>HYPERLINK("http://www.twitter.com/NathanBLawrence/status/966753798034198530", "966753798034198530")</f>
        <v/>
      </c>
      <c r="B2915" s="2" t="n">
        <v>43153.80371527778</v>
      </c>
      <c r="C2915" t="n">
        <v>0</v>
      </c>
      <c r="D2915" t="n">
        <v>1</v>
      </c>
      <c r="E2915" t="s">
        <v>2917</v>
      </c>
      <c r="F2915" t="s"/>
      <c r="G2915" t="s"/>
      <c r="H2915" t="s"/>
      <c r="I2915" t="s"/>
      <c r="J2915" t="n">
        <v>0</v>
      </c>
      <c r="K2915" t="n">
        <v>0</v>
      </c>
      <c r="L2915" t="n">
        <v>1</v>
      </c>
      <c r="M2915" t="n">
        <v>0</v>
      </c>
    </row>
    <row r="2916" spans="1:13">
      <c r="A2916" s="1">
        <f>HYPERLINK("http://www.twitter.com/NathanBLawrence/status/966753133601918976", "966753133601918976")</f>
        <v/>
      </c>
      <c r="B2916" s="2" t="n">
        <v>43153.80188657407</v>
      </c>
      <c r="C2916" t="n">
        <v>0</v>
      </c>
      <c r="D2916" t="n">
        <v>0</v>
      </c>
      <c r="E2916" t="s">
        <v>2918</v>
      </c>
      <c r="F2916" t="s"/>
      <c r="G2916" t="s"/>
      <c r="H2916" t="s"/>
      <c r="I2916" t="s"/>
      <c r="J2916" t="n">
        <v>0.1027</v>
      </c>
      <c r="K2916" t="n">
        <v>0.121</v>
      </c>
      <c r="L2916" t="n">
        <v>0.749</v>
      </c>
      <c r="M2916" t="n">
        <v>0.13</v>
      </c>
    </row>
    <row r="2917" spans="1:13">
      <c r="A2917" s="1">
        <f>HYPERLINK("http://www.twitter.com/NathanBLawrence/status/966751543092539393", "966751543092539393")</f>
        <v/>
      </c>
      <c r="B2917" s="2" t="n">
        <v>43153.79748842592</v>
      </c>
      <c r="C2917" t="n">
        <v>0</v>
      </c>
      <c r="D2917" t="n">
        <v>7325</v>
      </c>
      <c r="E2917" t="s">
        <v>2919</v>
      </c>
      <c r="F2917" t="s"/>
      <c r="G2917" t="s"/>
      <c r="H2917" t="s"/>
      <c r="I2917" t="s"/>
      <c r="J2917" t="n">
        <v>0.4019</v>
      </c>
      <c r="K2917" t="n">
        <v>0</v>
      </c>
      <c r="L2917" t="n">
        <v>0.886</v>
      </c>
      <c r="M2917" t="n">
        <v>0.114</v>
      </c>
    </row>
    <row r="2918" spans="1:13">
      <c r="A2918" s="1">
        <f>HYPERLINK("http://www.twitter.com/NathanBLawrence/status/966522759592468480", "966522759592468480")</f>
        <v/>
      </c>
      <c r="B2918" s="2" t="n">
        <v>43153.16616898148</v>
      </c>
      <c r="C2918" t="n">
        <v>1</v>
      </c>
      <c r="D2918" t="n">
        <v>0</v>
      </c>
      <c r="E2918" t="s">
        <v>2920</v>
      </c>
      <c r="F2918" t="s"/>
      <c r="G2918" t="s"/>
      <c r="H2918" t="s"/>
      <c r="I2918" t="s"/>
      <c r="J2918" t="n">
        <v>0</v>
      </c>
      <c r="K2918" t="n">
        <v>0</v>
      </c>
      <c r="L2918" t="n">
        <v>1</v>
      </c>
      <c r="M2918" t="n">
        <v>0</v>
      </c>
    </row>
    <row r="2919" spans="1:13">
      <c r="A2919" s="1">
        <f>HYPERLINK("http://www.twitter.com/NathanBLawrence/status/966395071359864832", "966395071359864832")</f>
        <v/>
      </c>
      <c r="B2919" s="2" t="n">
        <v>43152.81381944445</v>
      </c>
      <c r="C2919" t="n">
        <v>0</v>
      </c>
      <c r="D2919" t="n">
        <v>10</v>
      </c>
      <c r="E2919" t="s">
        <v>2921</v>
      </c>
      <c r="F2919" t="s"/>
      <c r="G2919" t="s"/>
      <c r="H2919" t="s"/>
      <c r="I2919" t="s"/>
      <c r="J2919" t="n">
        <v>0</v>
      </c>
      <c r="K2919" t="n">
        <v>0</v>
      </c>
      <c r="L2919" t="n">
        <v>1</v>
      </c>
      <c r="M2919" t="n">
        <v>0</v>
      </c>
    </row>
    <row r="2920" spans="1:13">
      <c r="A2920" s="1">
        <f>HYPERLINK("http://www.twitter.com/NathanBLawrence/status/966394948529610752", "966394948529610752")</f>
        <v/>
      </c>
      <c r="B2920" s="2" t="n">
        <v>43152.81348379629</v>
      </c>
      <c r="C2920" t="n">
        <v>0</v>
      </c>
      <c r="D2920" t="n">
        <v>3</v>
      </c>
      <c r="E2920" t="s">
        <v>2922</v>
      </c>
      <c r="F2920" t="s"/>
      <c r="G2920" t="s"/>
      <c r="H2920" t="s"/>
      <c r="I2920" t="s"/>
      <c r="J2920" t="n">
        <v>0</v>
      </c>
      <c r="K2920" t="n">
        <v>0</v>
      </c>
      <c r="L2920" t="n">
        <v>1</v>
      </c>
      <c r="M2920" t="n">
        <v>0</v>
      </c>
    </row>
    <row r="2921" spans="1:13">
      <c r="A2921" s="1">
        <f>HYPERLINK("http://www.twitter.com/NathanBLawrence/status/966394561697337344", "966394561697337344")</f>
        <v/>
      </c>
      <c r="B2921" s="2" t="n">
        <v>43152.81240740741</v>
      </c>
      <c r="C2921" t="n">
        <v>0</v>
      </c>
      <c r="D2921" t="n">
        <v>2</v>
      </c>
      <c r="E2921" t="s">
        <v>2923</v>
      </c>
      <c r="F2921" t="s"/>
      <c r="G2921" t="s"/>
      <c r="H2921" t="s"/>
      <c r="I2921" t="s"/>
      <c r="J2921" t="n">
        <v>0</v>
      </c>
      <c r="K2921" t="n">
        <v>0</v>
      </c>
      <c r="L2921" t="n">
        <v>1</v>
      </c>
      <c r="M2921" t="n">
        <v>0</v>
      </c>
    </row>
    <row r="2922" spans="1:13">
      <c r="A2922" s="1">
        <f>HYPERLINK("http://www.twitter.com/NathanBLawrence/status/966394520979103748", "966394520979103748")</f>
        <v/>
      </c>
      <c r="B2922" s="2" t="n">
        <v>43152.81230324074</v>
      </c>
      <c r="C2922" t="n">
        <v>0</v>
      </c>
      <c r="D2922" t="n">
        <v>3</v>
      </c>
      <c r="E2922" t="s">
        <v>2924</v>
      </c>
      <c r="F2922" t="s"/>
      <c r="G2922" t="s"/>
      <c r="H2922" t="s"/>
      <c r="I2922" t="s"/>
      <c r="J2922" t="n">
        <v>0.2023</v>
      </c>
      <c r="K2922" t="n">
        <v>0.215</v>
      </c>
      <c r="L2922" t="n">
        <v>0.515</v>
      </c>
      <c r="M2922" t="n">
        <v>0.27</v>
      </c>
    </row>
    <row r="2923" spans="1:13">
      <c r="A2923" s="1">
        <f>HYPERLINK("http://www.twitter.com/NathanBLawrence/status/966394484660555781", "966394484660555781")</f>
        <v/>
      </c>
      <c r="B2923" s="2" t="n">
        <v>43152.81219907408</v>
      </c>
      <c r="C2923" t="n">
        <v>0</v>
      </c>
      <c r="D2923" t="n">
        <v>1</v>
      </c>
      <c r="E2923" t="s">
        <v>2925</v>
      </c>
      <c r="F2923" t="s"/>
      <c r="G2923" t="s"/>
      <c r="H2923" t="s"/>
      <c r="I2923" t="s"/>
      <c r="J2923" t="n">
        <v>-0.3612</v>
      </c>
      <c r="K2923" t="n">
        <v>0.2</v>
      </c>
      <c r="L2923" t="n">
        <v>0.8</v>
      </c>
      <c r="M2923" t="n">
        <v>0</v>
      </c>
    </row>
    <row r="2924" spans="1:13">
      <c r="A2924" s="1">
        <f>HYPERLINK("http://www.twitter.com/NathanBLawrence/status/966394118845992960", "966394118845992960")</f>
        <v/>
      </c>
      <c r="B2924" s="2" t="n">
        <v>43152.81119212963</v>
      </c>
      <c r="C2924" t="n">
        <v>0</v>
      </c>
      <c r="D2924" t="n">
        <v>1</v>
      </c>
      <c r="E2924" t="s">
        <v>2926</v>
      </c>
      <c r="F2924" t="s"/>
      <c r="G2924" t="s"/>
      <c r="H2924" t="s"/>
      <c r="I2924" t="s"/>
      <c r="J2924" t="n">
        <v>0.4173</v>
      </c>
      <c r="K2924" t="n">
        <v>0.096</v>
      </c>
      <c r="L2924" t="n">
        <v>0.6860000000000001</v>
      </c>
      <c r="M2924" t="n">
        <v>0.218</v>
      </c>
    </row>
    <row r="2925" spans="1:13">
      <c r="A2925" s="1">
        <f>HYPERLINK("http://www.twitter.com/NathanBLawrence/status/966391517882540032", "966391517882540032")</f>
        <v/>
      </c>
      <c r="B2925" s="2" t="n">
        <v>43152.80401620371</v>
      </c>
      <c r="C2925" t="n">
        <v>0</v>
      </c>
      <c r="D2925" t="n">
        <v>593</v>
      </c>
      <c r="E2925" t="s">
        <v>2927</v>
      </c>
      <c r="F2925" t="s"/>
      <c r="G2925" t="s"/>
      <c r="H2925" t="s"/>
      <c r="I2925" t="s"/>
      <c r="J2925" t="n">
        <v>0.0772</v>
      </c>
      <c r="K2925" t="n">
        <v>0</v>
      </c>
      <c r="L2925" t="n">
        <v>0.947</v>
      </c>
      <c r="M2925" t="n">
        <v>0.053</v>
      </c>
    </row>
    <row r="2926" spans="1:13">
      <c r="A2926" s="1">
        <f>HYPERLINK("http://www.twitter.com/NathanBLawrence/status/966390904473964544", "966390904473964544")</f>
        <v/>
      </c>
      <c r="B2926" s="2" t="n">
        <v>43152.80231481481</v>
      </c>
      <c r="C2926" t="n">
        <v>0</v>
      </c>
      <c r="D2926" t="n">
        <v>2</v>
      </c>
      <c r="E2926" t="s">
        <v>2928</v>
      </c>
      <c r="F2926" t="s"/>
      <c r="G2926" t="s"/>
      <c r="H2926" t="s"/>
      <c r="I2926" t="s"/>
      <c r="J2926" t="n">
        <v>-0.4926</v>
      </c>
      <c r="K2926" t="n">
        <v>0.188</v>
      </c>
      <c r="L2926" t="n">
        <v>0.723</v>
      </c>
      <c r="M2926" t="n">
        <v>0.08799999999999999</v>
      </c>
    </row>
    <row r="2927" spans="1:13">
      <c r="A2927" s="1">
        <f>HYPERLINK("http://www.twitter.com/NathanBLawrence/status/966389981865488386", "966389981865488386")</f>
        <v/>
      </c>
      <c r="B2927" s="2" t="n">
        <v>43152.79976851852</v>
      </c>
      <c r="C2927" t="n">
        <v>0</v>
      </c>
      <c r="D2927" t="n">
        <v>1</v>
      </c>
      <c r="E2927" t="s">
        <v>2929</v>
      </c>
      <c r="F2927" t="s"/>
      <c r="G2927" t="s"/>
      <c r="H2927" t="s"/>
      <c r="I2927" t="s"/>
      <c r="J2927" t="n">
        <v>-0.3382</v>
      </c>
      <c r="K2927" t="n">
        <v>0.318</v>
      </c>
      <c r="L2927" t="n">
        <v>0.52</v>
      </c>
      <c r="M2927" t="n">
        <v>0.162</v>
      </c>
    </row>
    <row r="2928" spans="1:13">
      <c r="A2928" s="1">
        <f>HYPERLINK("http://www.twitter.com/NathanBLawrence/status/966389854039953410", "966389854039953410")</f>
        <v/>
      </c>
      <c r="B2928" s="2" t="n">
        <v>43152.79942129629</v>
      </c>
      <c r="C2928" t="n">
        <v>0</v>
      </c>
      <c r="D2928" t="n">
        <v>2</v>
      </c>
      <c r="E2928" t="s">
        <v>2930</v>
      </c>
      <c r="F2928">
        <f>HYPERLINK("http://pbs.twimg.com/media/DWkk1hxX0AADQmP.jpg", "http://pbs.twimg.com/media/DWkk1hxX0AADQmP.jpg")</f>
        <v/>
      </c>
      <c r="G2928" t="s"/>
      <c r="H2928" t="s"/>
      <c r="I2928" t="s"/>
      <c r="J2928" t="n">
        <v>0</v>
      </c>
      <c r="K2928" t="n">
        <v>0</v>
      </c>
      <c r="L2928" t="n">
        <v>1</v>
      </c>
      <c r="M2928" t="n">
        <v>0</v>
      </c>
    </row>
    <row r="2929" spans="1:13">
      <c r="A2929" s="1">
        <f>HYPERLINK("http://www.twitter.com/NathanBLawrence/status/966389373792145410", "966389373792145410")</f>
        <v/>
      </c>
      <c r="B2929" s="2" t="n">
        <v>43152.79810185185</v>
      </c>
      <c r="C2929" t="n">
        <v>0</v>
      </c>
      <c r="D2929" t="n">
        <v>1</v>
      </c>
      <c r="E2929" t="s">
        <v>2931</v>
      </c>
      <c r="F2929" t="s"/>
      <c r="G2929" t="s"/>
      <c r="H2929" t="s"/>
      <c r="I2929" t="s"/>
      <c r="J2929" t="n">
        <v>0.3818</v>
      </c>
      <c r="K2929" t="n">
        <v>0</v>
      </c>
      <c r="L2929" t="n">
        <v>0.606</v>
      </c>
      <c r="M2929" t="n">
        <v>0.394</v>
      </c>
    </row>
    <row r="2930" spans="1:13">
      <c r="A2930" s="1">
        <f>HYPERLINK("http://www.twitter.com/NathanBLawrence/status/966389356650029056", "966389356650029056")</f>
        <v/>
      </c>
      <c r="B2930" s="2" t="n">
        <v>43152.79804398148</v>
      </c>
      <c r="C2930" t="n">
        <v>0</v>
      </c>
      <c r="D2930" t="n">
        <v>1</v>
      </c>
      <c r="E2930" t="s">
        <v>2932</v>
      </c>
      <c r="F2930" t="s"/>
      <c r="G2930" t="s"/>
      <c r="H2930" t="s"/>
      <c r="I2930" t="s"/>
      <c r="J2930" t="n">
        <v>0.5106000000000001</v>
      </c>
      <c r="K2930" t="n">
        <v>0</v>
      </c>
      <c r="L2930" t="n">
        <v>0.852</v>
      </c>
      <c r="M2930" t="n">
        <v>0.148</v>
      </c>
    </row>
    <row r="2931" spans="1:13">
      <c r="A2931" s="1">
        <f>HYPERLINK("http://www.twitter.com/NathanBLawrence/status/966389268737413121", "966389268737413121")</f>
        <v/>
      </c>
      <c r="B2931" s="2" t="n">
        <v>43152.79780092592</v>
      </c>
      <c r="C2931" t="n">
        <v>0</v>
      </c>
      <c r="D2931" t="n">
        <v>1</v>
      </c>
      <c r="E2931" t="s">
        <v>2933</v>
      </c>
      <c r="F2931" t="s"/>
      <c r="G2931" t="s"/>
      <c r="H2931" t="s"/>
      <c r="I2931" t="s"/>
      <c r="J2931" t="n">
        <v>0.25</v>
      </c>
      <c r="K2931" t="n">
        <v>0</v>
      </c>
      <c r="L2931" t="n">
        <v>0.909</v>
      </c>
      <c r="M2931" t="n">
        <v>0.091</v>
      </c>
    </row>
    <row r="2932" spans="1:13">
      <c r="A2932" s="1">
        <f>HYPERLINK("http://www.twitter.com/NathanBLawrence/status/966389026574905344", "966389026574905344")</f>
        <v/>
      </c>
      <c r="B2932" s="2" t="n">
        <v>43152.7971412037</v>
      </c>
      <c r="C2932" t="n">
        <v>0</v>
      </c>
      <c r="D2932" t="n">
        <v>5</v>
      </c>
      <c r="E2932" t="s">
        <v>2934</v>
      </c>
      <c r="F2932">
        <f>HYPERLINK("http://pbs.twimg.com/media/DWkiz3fV4AE4WGi.jpg", "http://pbs.twimg.com/media/DWkiz3fV4AE4WGi.jpg")</f>
        <v/>
      </c>
      <c r="G2932" t="s"/>
      <c r="H2932" t="s"/>
      <c r="I2932" t="s"/>
      <c r="J2932" t="n">
        <v>0</v>
      </c>
      <c r="K2932" t="n">
        <v>0</v>
      </c>
      <c r="L2932" t="n">
        <v>1</v>
      </c>
      <c r="M2932" t="n">
        <v>0</v>
      </c>
    </row>
    <row r="2933" spans="1:13">
      <c r="A2933" s="1">
        <f>HYPERLINK("http://www.twitter.com/NathanBLawrence/status/966388848870780928", "966388848870780928")</f>
        <v/>
      </c>
      <c r="B2933" s="2" t="n">
        <v>43152.79664351852</v>
      </c>
      <c r="C2933" t="n">
        <v>0</v>
      </c>
      <c r="D2933" t="n">
        <v>4</v>
      </c>
      <c r="E2933" t="s">
        <v>2935</v>
      </c>
      <c r="F2933">
        <f>HYPERLINK("http://pbs.twimg.com/media/DWkuej4VMAEHZ3S.jpg", "http://pbs.twimg.com/media/DWkuej4VMAEHZ3S.jpg")</f>
        <v/>
      </c>
      <c r="G2933" t="s"/>
      <c r="H2933" t="s"/>
      <c r="I2933" t="s"/>
      <c r="J2933" t="n">
        <v>0</v>
      </c>
      <c r="K2933" t="n">
        <v>0</v>
      </c>
      <c r="L2933" t="n">
        <v>1</v>
      </c>
      <c r="M2933" t="n">
        <v>0</v>
      </c>
    </row>
    <row r="2934" spans="1:13">
      <c r="A2934" s="1">
        <f>HYPERLINK("http://www.twitter.com/NathanBLawrence/status/966388582167531520", "966388582167531520")</f>
        <v/>
      </c>
      <c r="B2934" s="2" t="n">
        <v>43152.79591435185</v>
      </c>
      <c r="C2934" t="n">
        <v>11</v>
      </c>
      <c r="D2934" t="n">
        <v>1</v>
      </c>
      <c r="E2934" t="s">
        <v>2936</v>
      </c>
      <c r="F2934" t="s"/>
      <c r="G2934" t="s"/>
      <c r="H2934" t="s"/>
      <c r="I2934" t="s"/>
      <c r="J2934" t="n">
        <v>0.09</v>
      </c>
      <c r="K2934" t="n">
        <v>0</v>
      </c>
      <c r="L2934" t="n">
        <v>0.9370000000000001</v>
      </c>
      <c r="M2934" t="n">
        <v>0.063</v>
      </c>
    </row>
    <row r="2935" spans="1:13">
      <c r="A2935" s="1">
        <f>HYPERLINK("http://www.twitter.com/NathanBLawrence/status/966388082491748352", "966388082491748352")</f>
        <v/>
      </c>
      <c r="B2935" s="2" t="n">
        <v>43152.79453703704</v>
      </c>
      <c r="C2935" t="n">
        <v>0</v>
      </c>
      <c r="D2935" t="n">
        <v>751</v>
      </c>
      <c r="E2935" t="s">
        <v>2937</v>
      </c>
      <c r="F2935">
        <f>HYPERLINK("http://pbs.twimg.com/media/DWlLy9hU0AACBJA.jpg", "http://pbs.twimg.com/media/DWlLy9hU0AACBJA.jpg")</f>
        <v/>
      </c>
      <c r="G2935" t="s"/>
      <c r="H2935" t="s"/>
      <c r="I2935" t="s"/>
      <c r="J2935" t="n">
        <v>-0.7351</v>
      </c>
      <c r="K2935" t="n">
        <v>0.301</v>
      </c>
      <c r="L2935" t="n">
        <v>0.699</v>
      </c>
      <c r="M2935" t="n">
        <v>0</v>
      </c>
    </row>
    <row r="2936" spans="1:13">
      <c r="A2936" s="1">
        <f>HYPERLINK("http://www.twitter.com/NathanBLawrence/status/966340709316988928", "966340709316988928")</f>
        <v/>
      </c>
      <c r="B2936" s="2" t="n">
        <v>43152.66380787037</v>
      </c>
      <c r="C2936" t="n">
        <v>0</v>
      </c>
      <c r="D2936" t="n">
        <v>1</v>
      </c>
      <c r="E2936" t="s">
        <v>2938</v>
      </c>
      <c r="F2936" t="s"/>
      <c r="G2936" t="s"/>
      <c r="H2936" t="s"/>
      <c r="I2936" t="s"/>
      <c r="J2936" t="n">
        <v>0</v>
      </c>
      <c r="K2936" t="n">
        <v>0</v>
      </c>
      <c r="L2936" t="n">
        <v>1</v>
      </c>
      <c r="M2936" t="n">
        <v>0</v>
      </c>
    </row>
    <row r="2937" spans="1:13">
      <c r="A2937" s="1">
        <f>HYPERLINK("http://www.twitter.com/NathanBLawrence/status/966340686734864384", "966340686734864384")</f>
        <v/>
      </c>
      <c r="B2937" s="2" t="n">
        <v>43152.66375</v>
      </c>
      <c r="C2937" t="n">
        <v>0</v>
      </c>
      <c r="D2937" t="n">
        <v>2</v>
      </c>
      <c r="E2937" t="s">
        <v>2939</v>
      </c>
      <c r="F2937" t="s"/>
      <c r="G2937" t="s"/>
      <c r="H2937" t="s"/>
      <c r="I2937" t="s"/>
      <c r="J2937" t="n">
        <v>0.5719</v>
      </c>
      <c r="K2937" t="n">
        <v>0</v>
      </c>
      <c r="L2937" t="n">
        <v>0.861</v>
      </c>
      <c r="M2937" t="n">
        <v>0.139</v>
      </c>
    </row>
    <row r="2938" spans="1:13">
      <c r="A2938" s="1">
        <f>HYPERLINK("http://www.twitter.com/NathanBLawrence/status/966340637116260355", "966340637116260355")</f>
        <v/>
      </c>
      <c r="B2938" s="2" t="n">
        <v>43152.66361111111</v>
      </c>
      <c r="C2938" t="n">
        <v>0</v>
      </c>
      <c r="D2938" t="n">
        <v>3</v>
      </c>
      <c r="E2938" t="s">
        <v>2940</v>
      </c>
      <c r="F2938">
        <f>HYPERLINK("http://pbs.twimg.com/media/DWj5XM_WkAoAe3f.jpg", "http://pbs.twimg.com/media/DWj5XM_WkAoAe3f.jpg")</f>
        <v/>
      </c>
      <c r="G2938" t="s"/>
      <c r="H2938" t="s"/>
      <c r="I2938" t="s"/>
      <c r="J2938" t="n">
        <v>0</v>
      </c>
      <c r="K2938" t="n">
        <v>0</v>
      </c>
      <c r="L2938" t="n">
        <v>1</v>
      </c>
      <c r="M2938" t="n">
        <v>0</v>
      </c>
    </row>
    <row r="2939" spans="1:13">
      <c r="A2939" s="1">
        <f>HYPERLINK("http://www.twitter.com/NathanBLawrence/status/966340546364166144", "966340546364166144")</f>
        <v/>
      </c>
      <c r="B2939" s="2" t="n">
        <v>43152.66335648148</v>
      </c>
      <c r="C2939" t="n">
        <v>0</v>
      </c>
      <c r="D2939" t="n">
        <v>1</v>
      </c>
      <c r="E2939" t="s">
        <v>2941</v>
      </c>
      <c r="F2939">
        <f>HYPERLINK("http://pbs.twimg.com/media/DWj8IBqX4AEZPgD.jpg", "http://pbs.twimg.com/media/DWj8IBqX4AEZPgD.jpg")</f>
        <v/>
      </c>
      <c r="G2939" t="s"/>
      <c r="H2939" t="s"/>
      <c r="I2939" t="s"/>
      <c r="J2939" t="n">
        <v>0</v>
      </c>
      <c r="K2939" t="n">
        <v>0</v>
      </c>
      <c r="L2939" t="n">
        <v>1</v>
      </c>
      <c r="M2939" t="n">
        <v>0</v>
      </c>
    </row>
    <row r="2940" spans="1:13">
      <c r="A2940" s="1">
        <f>HYPERLINK("http://www.twitter.com/NathanBLawrence/status/966340473446191104", "966340473446191104")</f>
        <v/>
      </c>
      <c r="B2940" s="2" t="n">
        <v>43152.66315972222</v>
      </c>
      <c r="C2940" t="n">
        <v>0</v>
      </c>
      <c r="D2940" t="n">
        <v>1</v>
      </c>
      <c r="E2940" t="s">
        <v>2942</v>
      </c>
      <c r="F2940">
        <f>HYPERLINK("http://pbs.twimg.com/media/DWjkjmaXkAAtMdv.jpg", "http://pbs.twimg.com/media/DWjkjmaXkAAtMdv.jpg")</f>
        <v/>
      </c>
      <c r="G2940" t="s"/>
      <c r="H2940" t="s"/>
      <c r="I2940" t="s"/>
      <c r="J2940" t="n">
        <v>-0.3802</v>
      </c>
      <c r="K2940" t="n">
        <v>0.132</v>
      </c>
      <c r="L2940" t="n">
        <v>0.868</v>
      </c>
      <c r="M2940" t="n">
        <v>0</v>
      </c>
    </row>
    <row r="2941" spans="1:13">
      <c r="A2941" s="1">
        <f>HYPERLINK("http://www.twitter.com/NathanBLawrence/status/966340423626174465", "966340423626174465")</f>
        <v/>
      </c>
      <c r="B2941" s="2" t="n">
        <v>43152.66302083333</v>
      </c>
      <c r="C2941" t="n">
        <v>0</v>
      </c>
      <c r="D2941" t="n">
        <v>2</v>
      </c>
      <c r="E2941" t="s">
        <v>2943</v>
      </c>
      <c r="F2941" t="s"/>
      <c r="G2941" t="s"/>
      <c r="H2941" t="s"/>
      <c r="I2941" t="s"/>
      <c r="J2941" t="n">
        <v>0</v>
      </c>
      <c r="K2941" t="n">
        <v>0</v>
      </c>
      <c r="L2941" t="n">
        <v>1</v>
      </c>
      <c r="M2941" t="n">
        <v>0</v>
      </c>
    </row>
    <row r="2942" spans="1:13">
      <c r="A2942" s="1">
        <f>HYPERLINK("http://www.twitter.com/NathanBLawrence/status/966340372124389376", "966340372124389376")</f>
        <v/>
      </c>
      <c r="B2942" s="2" t="n">
        <v>43152.66288194444</v>
      </c>
      <c r="C2942" t="n">
        <v>0</v>
      </c>
      <c r="D2942" t="n">
        <v>2</v>
      </c>
      <c r="E2942" t="s">
        <v>2944</v>
      </c>
      <c r="F2942">
        <f>HYPERLINK("http://pbs.twimg.com/media/DWj6WDVWsAANmTq.jpg", "http://pbs.twimg.com/media/DWj6WDVWsAANmTq.jpg")</f>
        <v/>
      </c>
      <c r="G2942" t="s"/>
      <c r="H2942" t="s"/>
      <c r="I2942" t="s"/>
      <c r="J2942" t="n">
        <v>0</v>
      </c>
      <c r="K2942" t="n">
        <v>0</v>
      </c>
      <c r="L2942" t="n">
        <v>1</v>
      </c>
      <c r="M2942" t="n">
        <v>0</v>
      </c>
    </row>
    <row r="2943" spans="1:13">
      <c r="A2943" s="1">
        <f>HYPERLINK("http://www.twitter.com/NathanBLawrence/status/966339998067970048", "966339998067970048")</f>
        <v/>
      </c>
      <c r="B2943" s="2" t="n">
        <v>43152.66184027777</v>
      </c>
      <c r="C2943" t="n">
        <v>1</v>
      </c>
      <c r="D2943" t="n">
        <v>0</v>
      </c>
      <c r="E2943" t="s">
        <v>2945</v>
      </c>
      <c r="F2943" t="s"/>
      <c r="G2943" t="s"/>
      <c r="H2943" t="s"/>
      <c r="I2943" t="s"/>
      <c r="J2943" t="n">
        <v>0.3612</v>
      </c>
      <c r="K2943" t="n">
        <v>0</v>
      </c>
      <c r="L2943" t="n">
        <v>0.762</v>
      </c>
      <c r="M2943" t="n">
        <v>0.238</v>
      </c>
    </row>
    <row r="2944" spans="1:13">
      <c r="A2944" s="1">
        <f>HYPERLINK("http://www.twitter.com/NathanBLawrence/status/966339473360478209", "966339473360478209")</f>
        <v/>
      </c>
      <c r="B2944" s="2" t="n">
        <v>43152.66039351852</v>
      </c>
      <c r="C2944" t="n">
        <v>0</v>
      </c>
      <c r="D2944" t="n">
        <v>0</v>
      </c>
      <c r="E2944" t="s">
        <v>2946</v>
      </c>
      <c r="F2944" t="s"/>
      <c r="G2944" t="s"/>
      <c r="H2944" t="s"/>
      <c r="I2944" t="s"/>
      <c r="J2944" t="n">
        <v>0.6124000000000001</v>
      </c>
      <c r="K2944" t="n">
        <v>0</v>
      </c>
      <c r="L2944" t="n">
        <v>0.667</v>
      </c>
      <c r="M2944" t="n">
        <v>0.333</v>
      </c>
    </row>
    <row r="2945" spans="1:13">
      <c r="A2945" s="1">
        <f>HYPERLINK("http://www.twitter.com/NathanBLawrence/status/966338560210165760", "966338560210165760")</f>
        <v/>
      </c>
      <c r="B2945" s="2" t="n">
        <v>43152.65788194445</v>
      </c>
      <c r="C2945" t="n">
        <v>0</v>
      </c>
      <c r="D2945" t="n">
        <v>0</v>
      </c>
      <c r="E2945" t="s">
        <v>2947</v>
      </c>
      <c r="F2945" t="s"/>
      <c r="G2945" t="s"/>
      <c r="H2945" t="s"/>
      <c r="I2945" t="s"/>
      <c r="J2945" t="n">
        <v>0.34</v>
      </c>
      <c r="K2945" t="n">
        <v>0.275</v>
      </c>
      <c r="L2945" t="n">
        <v>0.25</v>
      </c>
      <c r="M2945" t="n">
        <v>0.475</v>
      </c>
    </row>
    <row r="2946" spans="1:13">
      <c r="A2946" s="1">
        <f>HYPERLINK("http://www.twitter.com/NathanBLawrence/status/966338382870794240", "966338382870794240")</f>
        <v/>
      </c>
      <c r="B2946" s="2" t="n">
        <v>43152.65738425926</v>
      </c>
      <c r="C2946" t="n">
        <v>0</v>
      </c>
      <c r="D2946" t="n">
        <v>0</v>
      </c>
      <c r="E2946" t="s">
        <v>2948</v>
      </c>
      <c r="F2946" t="s"/>
      <c r="G2946" t="s"/>
      <c r="H2946" t="s"/>
      <c r="I2946" t="s"/>
      <c r="J2946" t="n">
        <v>0.91</v>
      </c>
      <c r="K2946" t="n">
        <v>0.055</v>
      </c>
      <c r="L2946" t="n">
        <v>0.55</v>
      </c>
      <c r="M2946" t="n">
        <v>0.395</v>
      </c>
    </row>
    <row r="2947" spans="1:13">
      <c r="A2947" s="1">
        <f>HYPERLINK("http://www.twitter.com/NathanBLawrence/status/966336994161889280", "966336994161889280")</f>
        <v/>
      </c>
      <c r="B2947" s="2" t="n">
        <v>43152.65355324074</v>
      </c>
      <c r="C2947" t="n">
        <v>0</v>
      </c>
      <c r="D2947" t="n">
        <v>2</v>
      </c>
      <c r="E2947" t="s">
        <v>2949</v>
      </c>
      <c r="F2947" t="s"/>
      <c r="G2947" t="s"/>
      <c r="H2947" t="s"/>
      <c r="I2947" t="s"/>
      <c r="J2947" t="n">
        <v>0</v>
      </c>
      <c r="K2947" t="n">
        <v>0</v>
      </c>
      <c r="L2947" t="n">
        <v>1</v>
      </c>
      <c r="M2947" t="n">
        <v>0</v>
      </c>
    </row>
    <row r="2948" spans="1:13">
      <c r="A2948" s="1">
        <f>HYPERLINK("http://www.twitter.com/NathanBLawrence/status/966336921520803844", "966336921520803844")</f>
        <v/>
      </c>
      <c r="B2948" s="2" t="n">
        <v>43152.65335648148</v>
      </c>
      <c r="C2948" t="n">
        <v>0</v>
      </c>
      <c r="D2948" t="n">
        <v>2</v>
      </c>
      <c r="E2948" t="s">
        <v>2950</v>
      </c>
      <c r="F2948" t="s"/>
      <c r="G2948" t="s"/>
      <c r="H2948" t="s"/>
      <c r="I2948" t="s"/>
      <c r="J2948" t="n">
        <v>-0.5719</v>
      </c>
      <c r="K2948" t="n">
        <v>0.163</v>
      </c>
      <c r="L2948" t="n">
        <v>0.837</v>
      </c>
      <c r="M2948" t="n">
        <v>0</v>
      </c>
    </row>
    <row r="2949" spans="1:13">
      <c r="A2949" s="1">
        <f>HYPERLINK("http://www.twitter.com/NathanBLawrence/status/966336049176858624", "966336049176858624")</f>
        <v/>
      </c>
      <c r="B2949" s="2" t="n">
        <v>43152.65094907407</v>
      </c>
      <c r="C2949" t="n">
        <v>0</v>
      </c>
      <c r="D2949" t="n">
        <v>4262</v>
      </c>
      <c r="E2949" t="s">
        <v>2951</v>
      </c>
      <c r="F2949" t="s"/>
      <c r="G2949" t="s"/>
      <c r="H2949" t="s"/>
      <c r="I2949" t="s"/>
      <c r="J2949" t="n">
        <v>0.802</v>
      </c>
      <c r="K2949" t="n">
        <v>0</v>
      </c>
      <c r="L2949" t="n">
        <v>0.709</v>
      </c>
      <c r="M2949" t="n">
        <v>0.291</v>
      </c>
    </row>
    <row r="2950" spans="1:13">
      <c r="A2950" s="1">
        <f>HYPERLINK("http://www.twitter.com/NathanBLawrence/status/966335970131038209", "966335970131038209")</f>
        <v/>
      </c>
      <c r="B2950" s="2" t="n">
        <v>43152.65072916666</v>
      </c>
      <c r="C2950" t="n">
        <v>0</v>
      </c>
      <c r="D2950" t="n">
        <v>6215</v>
      </c>
      <c r="E2950" t="s">
        <v>2952</v>
      </c>
      <c r="F2950" t="s"/>
      <c r="G2950" t="s"/>
      <c r="H2950" t="s"/>
      <c r="I2950" t="s"/>
      <c r="J2950" t="n">
        <v>0.4767</v>
      </c>
      <c r="K2950" t="n">
        <v>0</v>
      </c>
      <c r="L2950" t="n">
        <v>0.837</v>
      </c>
      <c r="M2950" t="n">
        <v>0.163</v>
      </c>
    </row>
    <row r="2951" spans="1:13">
      <c r="A2951" s="1">
        <f>HYPERLINK("http://www.twitter.com/NathanBLawrence/status/966332858750128128", "966332858750128128")</f>
        <v/>
      </c>
      <c r="B2951" s="2" t="n">
        <v>43152.6421412037</v>
      </c>
      <c r="C2951" t="n">
        <v>0</v>
      </c>
      <c r="D2951" t="n">
        <v>2</v>
      </c>
      <c r="E2951" t="s">
        <v>2953</v>
      </c>
      <c r="F2951" t="s"/>
      <c r="G2951" t="s"/>
      <c r="H2951" t="s"/>
      <c r="I2951" t="s"/>
      <c r="J2951" t="n">
        <v>0</v>
      </c>
      <c r="K2951" t="n">
        <v>0</v>
      </c>
      <c r="L2951" t="n">
        <v>1</v>
      </c>
      <c r="M2951" t="n">
        <v>0</v>
      </c>
    </row>
    <row r="2952" spans="1:13">
      <c r="A2952" s="1">
        <f>HYPERLINK("http://www.twitter.com/NathanBLawrence/status/966331756742889473", "966331756742889473")</f>
        <v/>
      </c>
      <c r="B2952" s="2" t="n">
        <v>43152.6391087963</v>
      </c>
      <c r="C2952" t="n">
        <v>0</v>
      </c>
      <c r="D2952" t="n">
        <v>2</v>
      </c>
      <c r="E2952" t="s">
        <v>2954</v>
      </c>
      <c r="F2952" t="s"/>
      <c r="G2952" t="s"/>
      <c r="H2952" t="s"/>
      <c r="I2952" t="s"/>
      <c r="J2952" t="n">
        <v>-0.6103</v>
      </c>
      <c r="K2952" t="n">
        <v>0.166</v>
      </c>
      <c r="L2952" t="n">
        <v>0.834</v>
      </c>
      <c r="M2952" t="n">
        <v>0</v>
      </c>
    </row>
    <row r="2953" spans="1:13">
      <c r="A2953" s="1">
        <f>HYPERLINK("http://www.twitter.com/NathanBLawrence/status/966331666938630144", "966331666938630144")</f>
        <v/>
      </c>
      <c r="B2953" s="2" t="n">
        <v>43152.63885416667</v>
      </c>
      <c r="C2953" t="n">
        <v>2</v>
      </c>
      <c r="D2953" t="n">
        <v>0</v>
      </c>
      <c r="E2953" t="s">
        <v>2955</v>
      </c>
      <c r="F2953" t="s"/>
      <c r="G2953" t="s"/>
      <c r="H2953" t="s"/>
      <c r="I2953" t="s"/>
      <c r="J2953" t="n">
        <v>0.4019</v>
      </c>
      <c r="K2953" t="n">
        <v>0</v>
      </c>
      <c r="L2953" t="n">
        <v>0.649</v>
      </c>
      <c r="M2953" t="n">
        <v>0.351</v>
      </c>
    </row>
    <row r="2954" spans="1:13">
      <c r="A2954" s="1">
        <f>HYPERLINK("http://www.twitter.com/NathanBLawrence/status/966330216099536896", "966330216099536896")</f>
        <v/>
      </c>
      <c r="B2954" s="2" t="n">
        <v>43152.63484953704</v>
      </c>
      <c r="C2954" t="n">
        <v>0</v>
      </c>
      <c r="D2954" t="n">
        <v>1</v>
      </c>
      <c r="E2954" t="s">
        <v>2956</v>
      </c>
      <c r="F2954" t="s"/>
      <c r="G2954" t="s"/>
      <c r="H2954" t="s"/>
      <c r="I2954" t="s"/>
      <c r="J2954" t="n">
        <v>0</v>
      </c>
      <c r="K2954" t="n">
        <v>0</v>
      </c>
      <c r="L2954" t="n">
        <v>1</v>
      </c>
      <c r="M2954" t="n">
        <v>0</v>
      </c>
    </row>
    <row r="2955" spans="1:13">
      <c r="A2955" s="1">
        <f>HYPERLINK("http://www.twitter.com/NathanBLawrence/status/966330055310835712", "966330055310835712")</f>
        <v/>
      </c>
      <c r="B2955" s="2" t="n">
        <v>43152.63440972222</v>
      </c>
      <c r="C2955" t="n">
        <v>0</v>
      </c>
      <c r="D2955" t="n">
        <v>0</v>
      </c>
      <c r="E2955" t="s">
        <v>2957</v>
      </c>
      <c r="F2955" t="s"/>
      <c r="G2955" t="s"/>
      <c r="H2955" t="s"/>
      <c r="I2955" t="s"/>
      <c r="J2955" t="n">
        <v>0</v>
      </c>
      <c r="K2955" t="n">
        <v>0</v>
      </c>
      <c r="L2955" t="n">
        <v>1</v>
      </c>
      <c r="M2955" t="n">
        <v>0</v>
      </c>
    </row>
    <row r="2956" spans="1:13">
      <c r="A2956" s="1">
        <f>HYPERLINK("http://www.twitter.com/NathanBLawrence/status/966328650437218304", "966328650437218304")</f>
        <v/>
      </c>
      <c r="B2956" s="2" t="n">
        <v>43152.63053240741</v>
      </c>
      <c r="C2956" t="n">
        <v>0</v>
      </c>
      <c r="D2956" t="n">
        <v>0</v>
      </c>
      <c r="E2956" t="s">
        <v>2958</v>
      </c>
      <c r="F2956" t="s"/>
      <c r="G2956" t="s"/>
      <c r="H2956" t="s"/>
      <c r="I2956" t="s"/>
      <c r="J2956" t="n">
        <v>0.2942</v>
      </c>
      <c r="K2956" t="n">
        <v>0</v>
      </c>
      <c r="L2956" t="n">
        <v>0.8139999999999999</v>
      </c>
      <c r="M2956" t="n">
        <v>0.186</v>
      </c>
    </row>
    <row r="2957" spans="1:13">
      <c r="A2957" s="1">
        <f>HYPERLINK("http://www.twitter.com/NathanBLawrence/status/966325452011986944", "966325452011986944")</f>
        <v/>
      </c>
      <c r="B2957" s="2" t="n">
        <v>43152.62170138889</v>
      </c>
      <c r="C2957" t="n">
        <v>0</v>
      </c>
      <c r="D2957" t="n">
        <v>2</v>
      </c>
      <c r="E2957" t="s">
        <v>2959</v>
      </c>
      <c r="F2957" t="s"/>
      <c r="G2957" t="s"/>
      <c r="H2957" t="s"/>
      <c r="I2957" t="s"/>
      <c r="J2957" t="n">
        <v>0</v>
      </c>
      <c r="K2957" t="n">
        <v>0</v>
      </c>
      <c r="L2957" t="n">
        <v>1</v>
      </c>
      <c r="M2957" t="n">
        <v>0</v>
      </c>
    </row>
    <row r="2958" spans="1:13">
      <c r="A2958" s="1">
        <f>HYPERLINK("http://www.twitter.com/NathanBLawrence/status/966325399327256576", "966325399327256576")</f>
        <v/>
      </c>
      <c r="B2958" s="2" t="n">
        <v>43152.6215625</v>
      </c>
      <c r="C2958" t="n">
        <v>0</v>
      </c>
      <c r="D2958" t="n">
        <v>0</v>
      </c>
      <c r="E2958" t="s">
        <v>2960</v>
      </c>
      <c r="F2958" t="s"/>
      <c r="G2958" t="s"/>
      <c r="H2958" t="s"/>
      <c r="I2958" t="s"/>
      <c r="J2958" t="n">
        <v>0</v>
      </c>
      <c r="K2958" t="n">
        <v>0</v>
      </c>
      <c r="L2958" t="n">
        <v>1</v>
      </c>
      <c r="M2958" t="n">
        <v>0</v>
      </c>
    </row>
    <row r="2959" spans="1:13">
      <c r="A2959" s="1">
        <f>HYPERLINK("http://www.twitter.com/NathanBLawrence/status/966325293702139904", "966325293702139904")</f>
        <v/>
      </c>
      <c r="B2959" s="2" t="n">
        <v>43152.62127314815</v>
      </c>
      <c r="C2959" t="n">
        <v>1</v>
      </c>
      <c r="D2959" t="n">
        <v>0</v>
      </c>
      <c r="E2959" t="s">
        <v>2961</v>
      </c>
      <c r="F2959" t="s"/>
      <c r="G2959" t="s"/>
      <c r="H2959" t="s"/>
      <c r="I2959" t="s"/>
      <c r="J2959" t="n">
        <v>0.6369</v>
      </c>
      <c r="K2959" t="n">
        <v>0</v>
      </c>
      <c r="L2959" t="n">
        <v>0.769</v>
      </c>
      <c r="M2959" t="n">
        <v>0.231</v>
      </c>
    </row>
    <row r="2960" spans="1:13">
      <c r="A2960" s="1">
        <f>HYPERLINK("http://www.twitter.com/NathanBLawrence/status/966324796916142080", "966324796916142080")</f>
        <v/>
      </c>
      <c r="B2960" s="2" t="n">
        <v>43152.61989583333</v>
      </c>
      <c r="C2960" t="n">
        <v>0</v>
      </c>
      <c r="D2960" t="n">
        <v>1</v>
      </c>
      <c r="E2960" t="s">
        <v>2962</v>
      </c>
      <c r="F2960" t="s"/>
      <c r="G2960" t="s"/>
      <c r="H2960" t="s"/>
      <c r="I2960" t="s"/>
      <c r="J2960" t="n">
        <v>-0.2905</v>
      </c>
      <c r="K2960" t="n">
        <v>0.281</v>
      </c>
      <c r="L2960" t="n">
        <v>0.498</v>
      </c>
      <c r="M2960" t="n">
        <v>0.221</v>
      </c>
    </row>
    <row r="2961" spans="1:13">
      <c r="A2961" s="1">
        <f>HYPERLINK("http://www.twitter.com/NathanBLawrence/status/966324662589362178", "966324662589362178")</f>
        <v/>
      </c>
      <c r="B2961" s="2" t="n">
        <v>43152.61952546296</v>
      </c>
      <c r="C2961" t="n">
        <v>1</v>
      </c>
      <c r="D2961" t="n">
        <v>0</v>
      </c>
      <c r="E2961" t="s">
        <v>2963</v>
      </c>
      <c r="F2961" t="s"/>
      <c r="G2961" t="s"/>
      <c r="H2961" t="s"/>
      <c r="I2961" t="s"/>
      <c r="J2961" t="n">
        <v>0.0258</v>
      </c>
      <c r="K2961" t="n">
        <v>0.142</v>
      </c>
      <c r="L2961" t="n">
        <v>0.71</v>
      </c>
      <c r="M2961" t="n">
        <v>0.148</v>
      </c>
    </row>
    <row r="2962" spans="1:13">
      <c r="A2962" s="1">
        <f>HYPERLINK("http://www.twitter.com/NathanBLawrence/status/966324390001389568", "966324390001389568")</f>
        <v/>
      </c>
      <c r="B2962" s="2" t="n">
        <v>43152.61877314815</v>
      </c>
      <c r="C2962" t="n">
        <v>1</v>
      </c>
      <c r="D2962" t="n">
        <v>0</v>
      </c>
      <c r="E2962" t="s">
        <v>2964</v>
      </c>
      <c r="F2962" t="s"/>
      <c r="G2962" t="s"/>
      <c r="H2962" t="s"/>
      <c r="I2962" t="s"/>
      <c r="J2962" t="n">
        <v>0</v>
      </c>
      <c r="K2962" t="n">
        <v>0</v>
      </c>
      <c r="L2962" t="n">
        <v>1</v>
      </c>
      <c r="M2962" t="n">
        <v>0</v>
      </c>
    </row>
    <row r="2963" spans="1:13">
      <c r="A2963" s="1">
        <f>HYPERLINK("http://www.twitter.com/NathanBLawrence/status/966323952111976448", "966323952111976448")</f>
        <v/>
      </c>
      <c r="B2963" s="2" t="n">
        <v>43152.61756944445</v>
      </c>
      <c r="C2963" t="n">
        <v>1</v>
      </c>
      <c r="D2963" t="n">
        <v>0</v>
      </c>
      <c r="E2963" t="s">
        <v>2965</v>
      </c>
      <c r="F2963" t="s"/>
      <c r="G2963" t="s"/>
      <c r="H2963" t="s"/>
      <c r="I2963" t="s"/>
      <c r="J2963" t="n">
        <v>-0.2411</v>
      </c>
      <c r="K2963" t="n">
        <v>0.094</v>
      </c>
      <c r="L2963" t="n">
        <v>0.906</v>
      </c>
      <c r="M2963" t="n">
        <v>0</v>
      </c>
    </row>
    <row r="2964" spans="1:13">
      <c r="A2964" s="1">
        <f>HYPERLINK("http://www.twitter.com/NathanBLawrence/status/966323336493092864", "966323336493092864")</f>
        <v/>
      </c>
      <c r="B2964" s="2" t="n">
        <v>43152.61586805555</v>
      </c>
      <c r="C2964" t="n">
        <v>0</v>
      </c>
      <c r="D2964" t="n">
        <v>1</v>
      </c>
      <c r="E2964" t="s">
        <v>2966</v>
      </c>
      <c r="F2964" t="s"/>
      <c r="G2964" t="s"/>
      <c r="H2964" t="s"/>
      <c r="I2964" t="s"/>
      <c r="J2964" t="n">
        <v>-0.6571</v>
      </c>
      <c r="K2964" t="n">
        <v>0.195</v>
      </c>
      <c r="L2964" t="n">
        <v>0.751</v>
      </c>
      <c r="M2964" t="n">
        <v>0.054</v>
      </c>
    </row>
    <row r="2965" spans="1:13">
      <c r="A2965" s="1">
        <f>HYPERLINK("http://www.twitter.com/NathanBLawrence/status/966323209850286081", "966323209850286081")</f>
        <v/>
      </c>
      <c r="B2965" s="2" t="n">
        <v>43152.61552083334</v>
      </c>
      <c r="C2965" t="n">
        <v>0</v>
      </c>
      <c r="D2965" t="n">
        <v>2</v>
      </c>
      <c r="E2965" t="s">
        <v>2967</v>
      </c>
      <c r="F2965" t="s"/>
      <c r="G2965" t="s"/>
      <c r="H2965" t="s"/>
      <c r="I2965" t="s"/>
      <c r="J2965" t="n">
        <v>-0.2023</v>
      </c>
      <c r="K2965" t="n">
        <v>0.102</v>
      </c>
      <c r="L2965" t="n">
        <v>0.827</v>
      </c>
      <c r="M2965" t="n">
        <v>0.07099999999999999</v>
      </c>
    </row>
    <row r="2966" spans="1:13">
      <c r="A2966" s="1">
        <f>HYPERLINK("http://www.twitter.com/NathanBLawrence/status/966323178791456768", "966323178791456768")</f>
        <v/>
      </c>
      <c r="B2966" s="2" t="n">
        <v>43152.61542824074</v>
      </c>
      <c r="C2966" t="n">
        <v>1</v>
      </c>
      <c r="D2966" t="n">
        <v>0</v>
      </c>
      <c r="E2966" t="s">
        <v>2968</v>
      </c>
      <c r="F2966" t="s"/>
      <c r="G2966" t="s"/>
      <c r="H2966" t="s"/>
      <c r="I2966" t="s"/>
      <c r="J2966" t="n">
        <v>0</v>
      </c>
      <c r="K2966" t="n">
        <v>0</v>
      </c>
      <c r="L2966" t="n">
        <v>1</v>
      </c>
      <c r="M2966" t="n">
        <v>0</v>
      </c>
    </row>
    <row r="2967" spans="1:13">
      <c r="A2967" s="1">
        <f>HYPERLINK("http://www.twitter.com/NathanBLawrence/status/966322920925683712", "966322920925683712")</f>
        <v/>
      </c>
      <c r="B2967" s="2" t="n">
        <v>43152.61472222222</v>
      </c>
      <c r="C2967" t="n">
        <v>0</v>
      </c>
      <c r="D2967" t="n">
        <v>1</v>
      </c>
      <c r="E2967" t="s">
        <v>2969</v>
      </c>
      <c r="F2967" t="s"/>
      <c r="G2967" t="s"/>
      <c r="H2967" t="s"/>
      <c r="I2967" t="s"/>
      <c r="J2967" t="n">
        <v>0.8512999999999999</v>
      </c>
      <c r="K2967" t="n">
        <v>0</v>
      </c>
      <c r="L2967" t="n">
        <v>0.66</v>
      </c>
      <c r="M2967" t="n">
        <v>0.34</v>
      </c>
    </row>
    <row r="2968" spans="1:13">
      <c r="A2968" s="1">
        <f>HYPERLINK("http://www.twitter.com/NathanBLawrence/status/966322797764071424", "966322797764071424")</f>
        <v/>
      </c>
      <c r="B2968" s="2" t="n">
        <v>43152.61438657407</v>
      </c>
      <c r="C2968" t="n">
        <v>0</v>
      </c>
      <c r="D2968" t="n">
        <v>1</v>
      </c>
      <c r="E2968" t="s">
        <v>2970</v>
      </c>
      <c r="F2968" t="s"/>
      <c r="G2968" t="s"/>
      <c r="H2968" t="s"/>
      <c r="I2968" t="s"/>
      <c r="J2968" t="n">
        <v>-0.6948</v>
      </c>
      <c r="K2968" t="n">
        <v>0.2</v>
      </c>
      <c r="L2968" t="n">
        <v>0.8</v>
      </c>
      <c r="M2968" t="n">
        <v>0</v>
      </c>
    </row>
    <row r="2969" spans="1:13">
      <c r="A2969" s="1">
        <f>HYPERLINK("http://www.twitter.com/NathanBLawrence/status/966322567782060034", "966322567782060034")</f>
        <v/>
      </c>
      <c r="B2969" s="2" t="n">
        <v>43152.61375</v>
      </c>
      <c r="C2969" t="n">
        <v>0</v>
      </c>
      <c r="D2969" t="n">
        <v>1</v>
      </c>
      <c r="E2969" t="s">
        <v>2971</v>
      </c>
      <c r="F2969" t="s"/>
      <c r="G2969" t="s"/>
      <c r="H2969" t="s"/>
      <c r="I2969" t="s"/>
      <c r="J2969" t="n">
        <v>0</v>
      </c>
      <c r="K2969" t="n">
        <v>0</v>
      </c>
      <c r="L2969" t="n">
        <v>1</v>
      </c>
      <c r="M2969" t="n">
        <v>0</v>
      </c>
    </row>
    <row r="2970" spans="1:13">
      <c r="A2970" s="1">
        <f>HYPERLINK("http://www.twitter.com/NathanBLawrence/status/966314305992962048", "966314305992962048")</f>
        <v/>
      </c>
      <c r="B2970" s="2" t="n">
        <v>43152.59094907407</v>
      </c>
      <c r="C2970" t="n">
        <v>1</v>
      </c>
      <c r="D2970" t="n">
        <v>0</v>
      </c>
      <c r="E2970" t="s">
        <v>2972</v>
      </c>
      <c r="F2970" t="s"/>
      <c r="G2970" t="s"/>
      <c r="H2970" t="s"/>
      <c r="I2970" t="s"/>
      <c r="J2970" t="n">
        <v>-0.743</v>
      </c>
      <c r="K2970" t="n">
        <v>0.177</v>
      </c>
      <c r="L2970" t="n">
        <v>0.715</v>
      </c>
      <c r="M2970" t="n">
        <v>0.107</v>
      </c>
    </row>
    <row r="2971" spans="1:13">
      <c r="A2971" s="1">
        <f>HYPERLINK("http://www.twitter.com/NathanBLawrence/status/966312596466032641", "966312596466032641")</f>
        <v/>
      </c>
      <c r="B2971" s="2" t="n">
        <v>43152.58622685185</v>
      </c>
      <c r="C2971" t="n">
        <v>0</v>
      </c>
      <c r="D2971" t="n">
        <v>0</v>
      </c>
      <c r="E2971" t="s">
        <v>2973</v>
      </c>
      <c r="F2971" t="s"/>
      <c r="G2971" t="s"/>
      <c r="H2971" t="s"/>
      <c r="I2971" t="s"/>
      <c r="J2971" t="n">
        <v>0</v>
      </c>
      <c r="K2971" t="n">
        <v>0</v>
      </c>
      <c r="L2971" t="n">
        <v>1</v>
      </c>
      <c r="M2971" t="n">
        <v>0</v>
      </c>
    </row>
    <row r="2972" spans="1:13">
      <c r="A2972" s="1">
        <f>HYPERLINK("http://www.twitter.com/NathanBLawrence/status/966312156961673216", "966312156961673216")</f>
        <v/>
      </c>
      <c r="B2972" s="2" t="n">
        <v>43152.58502314815</v>
      </c>
      <c r="C2972" t="n">
        <v>0</v>
      </c>
      <c r="D2972" t="n">
        <v>5</v>
      </c>
      <c r="E2972" t="s">
        <v>2974</v>
      </c>
      <c r="F2972" t="s"/>
      <c r="G2972" t="s"/>
      <c r="H2972" t="s"/>
      <c r="I2972" t="s"/>
      <c r="J2972" t="n">
        <v>-0.8173</v>
      </c>
      <c r="K2972" t="n">
        <v>0.246</v>
      </c>
      <c r="L2972" t="n">
        <v>0.754</v>
      </c>
      <c r="M2972" t="n">
        <v>0</v>
      </c>
    </row>
    <row r="2973" spans="1:13">
      <c r="A2973" s="1">
        <f>HYPERLINK("http://www.twitter.com/NathanBLawrence/status/966311984621899776", "966311984621899776")</f>
        <v/>
      </c>
      <c r="B2973" s="2" t="n">
        <v>43152.58453703704</v>
      </c>
      <c r="C2973" t="n">
        <v>0</v>
      </c>
      <c r="D2973" t="n">
        <v>0</v>
      </c>
      <c r="E2973" t="s">
        <v>2975</v>
      </c>
      <c r="F2973" t="s"/>
      <c r="G2973" t="s"/>
      <c r="H2973" t="s"/>
      <c r="I2973" t="s"/>
      <c r="J2973" t="n">
        <v>0</v>
      </c>
      <c r="K2973" t="n">
        <v>0</v>
      </c>
      <c r="L2973" t="n">
        <v>1</v>
      </c>
      <c r="M2973" t="n">
        <v>0</v>
      </c>
    </row>
    <row r="2974" spans="1:13">
      <c r="A2974" s="1">
        <f>HYPERLINK("http://www.twitter.com/NathanBLawrence/status/966309917433958406", "966309917433958406")</f>
        <v/>
      </c>
      <c r="B2974" s="2" t="n">
        <v>43152.57884259259</v>
      </c>
      <c r="C2974" t="n">
        <v>1</v>
      </c>
      <c r="D2974" t="n">
        <v>0</v>
      </c>
      <c r="E2974" t="s">
        <v>2976</v>
      </c>
      <c r="F2974" t="s"/>
      <c r="G2974" t="s"/>
      <c r="H2974" t="s"/>
      <c r="I2974" t="s"/>
      <c r="J2974" t="n">
        <v>0</v>
      </c>
      <c r="K2974" t="n">
        <v>0</v>
      </c>
      <c r="L2974" t="n">
        <v>1</v>
      </c>
      <c r="M2974" t="n">
        <v>0</v>
      </c>
    </row>
    <row r="2975" spans="1:13">
      <c r="A2975" s="1">
        <f>HYPERLINK("http://www.twitter.com/NathanBLawrence/status/966309460095455232", "966309460095455232")</f>
        <v/>
      </c>
      <c r="B2975" s="2" t="n">
        <v>43152.57758101852</v>
      </c>
      <c r="C2975" t="n">
        <v>2</v>
      </c>
      <c r="D2975" t="n">
        <v>0</v>
      </c>
      <c r="E2975" t="s">
        <v>2977</v>
      </c>
      <c r="F2975" t="s"/>
      <c r="G2975" t="s"/>
      <c r="H2975" t="s"/>
      <c r="I2975" t="s"/>
      <c r="J2975" t="n">
        <v>0</v>
      </c>
      <c r="K2975" t="n">
        <v>0</v>
      </c>
      <c r="L2975" t="n">
        <v>1</v>
      </c>
      <c r="M2975" t="n">
        <v>0</v>
      </c>
    </row>
    <row r="2976" spans="1:13">
      <c r="A2976" s="1">
        <f>HYPERLINK("http://www.twitter.com/NathanBLawrence/status/966308916597575680", "966308916597575680")</f>
        <v/>
      </c>
      <c r="B2976" s="2" t="n">
        <v>43152.57607638889</v>
      </c>
      <c r="C2976" t="n">
        <v>0</v>
      </c>
      <c r="D2976" t="n">
        <v>7</v>
      </c>
      <c r="E2976" t="s">
        <v>2978</v>
      </c>
      <c r="F2976" t="s"/>
      <c r="G2976" t="s"/>
      <c r="H2976" t="s"/>
      <c r="I2976" t="s"/>
      <c r="J2976" t="n">
        <v>-0.802</v>
      </c>
      <c r="K2976" t="n">
        <v>0.29</v>
      </c>
      <c r="L2976" t="n">
        <v>0.64</v>
      </c>
      <c r="M2976" t="n">
        <v>0.07000000000000001</v>
      </c>
    </row>
    <row r="2977" spans="1:13">
      <c r="A2977" s="1">
        <f>HYPERLINK("http://www.twitter.com/NathanBLawrence/status/966292518655623169", "966292518655623169")</f>
        <v/>
      </c>
      <c r="B2977" s="2" t="n">
        <v>43152.53082175926</v>
      </c>
      <c r="C2977" t="n">
        <v>0</v>
      </c>
      <c r="D2977" t="n">
        <v>1</v>
      </c>
      <c r="E2977" t="s">
        <v>2979</v>
      </c>
      <c r="F2977" t="s"/>
      <c r="G2977" t="s"/>
      <c r="H2977" t="s"/>
      <c r="I2977" t="s"/>
      <c r="J2977" t="n">
        <v>0.4404</v>
      </c>
      <c r="K2977" t="n">
        <v>0</v>
      </c>
      <c r="L2977" t="n">
        <v>0.854</v>
      </c>
      <c r="M2977" t="n">
        <v>0.146</v>
      </c>
    </row>
    <row r="2978" spans="1:13">
      <c r="A2978" s="1">
        <f>HYPERLINK("http://www.twitter.com/NathanBLawrence/status/966292480281989121", "966292480281989121")</f>
        <v/>
      </c>
      <c r="B2978" s="2" t="n">
        <v>43152.53071759259</v>
      </c>
      <c r="C2978" t="n">
        <v>0</v>
      </c>
      <c r="D2978" t="n">
        <v>0</v>
      </c>
      <c r="E2978" t="s">
        <v>2980</v>
      </c>
      <c r="F2978" t="s"/>
      <c r="G2978" t="s"/>
      <c r="H2978" t="s"/>
      <c r="I2978" t="s"/>
      <c r="J2978" t="n">
        <v>0.296</v>
      </c>
      <c r="K2978" t="n">
        <v>0</v>
      </c>
      <c r="L2978" t="n">
        <v>0.845</v>
      </c>
      <c r="M2978" t="n">
        <v>0.155</v>
      </c>
    </row>
    <row r="2979" spans="1:13">
      <c r="A2979" s="1">
        <f>HYPERLINK("http://www.twitter.com/NathanBLawrence/status/966291408297619456", "966291408297619456")</f>
        <v/>
      </c>
      <c r="B2979" s="2" t="n">
        <v>43152.5277662037</v>
      </c>
      <c r="C2979" t="n">
        <v>0</v>
      </c>
      <c r="D2979" t="n">
        <v>1</v>
      </c>
      <c r="E2979" t="s">
        <v>2981</v>
      </c>
      <c r="F2979" t="s"/>
      <c r="G2979" t="s"/>
      <c r="H2979" t="s"/>
      <c r="I2979" t="s"/>
      <c r="J2979" t="n">
        <v>0.5473</v>
      </c>
      <c r="K2979" t="n">
        <v>0</v>
      </c>
      <c r="L2979" t="n">
        <v>0.798</v>
      </c>
      <c r="M2979" t="n">
        <v>0.202</v>
      </c>
    </row>
    <row r="2980" spans="1:13">
      <c r="A2980" s="1">
        <f>HYPERLINK("http://www.twitter.com/NathanBLawrence/status/966291292023074816", "966291292023074816")</f>
        <v/>
      </c>
      <c r="B2980" s="2" t="n">
        <v>43152.52744212963</v>
      </c>
      <c r="C2980" t="n">
        <v>2</v>
      </c>
      <c r="D2980" t="n">
        <v>0</v>
      </c>
      <c r="E2980" t="s">
        <v>2982</v>
      </c>
      <c r="F2980" t="s"/>
      <c r="G2980" t="s"/>
      <c r="H2980" t="s"/>
      <c r="I2980" t="s"/>
      <c r="J2980" t="n">
        <v>0.2023</v>
      </c>
      <c r="K2980" t="n">
        <v>0.1</v>
      </c>
      <c r="L2980" t="n">
        <v>0.774</v>
      </c>
      <c r="M2980" t="n">
        <v>0.126</v>
      </c>
    </row>
    <row r="2981" spans="1:13">
      <c r="A2981" s="1">
        <f>HYPERLINK("http://www.twitter.com/NathanBLawrence/status/966290543591424002", "966290543591424002")</f>
        <v/>
      </c>
      <c r="B2981" s="2" t="n">
        <v>43152.52538194445</v>
      </c>
      <c r="C2981" t="n">
        <v>0</v>
      </c>
      <c r="D2981" t="n">
        <v>0</v>
      </c>
      <c r="E2981" t="s">
        <v>2983</v>
      </c>
      <c r="F2981" t="s"/>
      <c r="G2981" t="s"/>
      <c r="H2981" t="s"/>
      <c r="I2981" t="s"/>
      <c r="J2981" t="n">
        <v>-0.765</v>
      </c>
      <c r="K2981" t="n">
        <v>0.398</v>
      </c>
      <c r="L2981" t="n">
        <v>0.602</v>
      </c>
      <c r="M2981" t="n">
        <v>0</v>
      </c>
    </row>
    <row r="2982" spans="1:13">
      <c r="A2982" s="1">
        <f>HYPERLINK("http://www.twitter.com/NathanBLawrence/status/966290149888929799", "966290149888929799")</f>
        <v/>
      </c>
      <c r="B2982" s="2" t="n">
        <v>43152.52429398148</v>
      </c>
      <c r="C2982" t="n">
        <v>0</v>
      </c>
      <c r="D2982" t="n">
        <v>1</v>
      </c>
      <c r="E2982" t="s">
        <v>2984</v>
      </c>
      <c r="F2982" t="s"/>
      <c r="G2982" t="s"/>
      <c r="H2982" t="s"/>
      <c r="I2982" t="s"/>
      <c r="J2982" t="n">
        <v>0.1007</v>
      </c>
      <c r="K2982" t="n">
        <v>0.101</v>
      </c>
      <c r="L2982" t="n">
        <v>0.78</v>
      </c>
      <c r="M2982" t="n">
        <v>0.119</v>
      </c>
    </row>
    <row r="2983" spans="1:13">
      <c r="A2983" s="1">
        <f>HYPERLINK("http://www.twitter.com/NathanBLawrence/status/966286870081622016", "966286870081622016")</f>
        <v/>
      </c>
      <c r="B2983" s="2" t="n">
        <v>43152.51524305555</v>
      </c>
      <c r="C2983" t="n">
        <v>0</v>
      </c>
      <c r="D2983" t="n">
        <v>3</v>
      </c>
      <c r="E2983" t="s">
        <v>2985</v>
      </c>
      <c r="F2983">
        <f>HYPERLINK("http://pbs.twimg.com/media/DUqhuuhVAAU1mMo.jpg", "http://pbs.twimg.com/media/DUqhuuhVAAU1mMo.jpg")</f>
        <v/>
      </c>
      <c r="G2983" t="s"/>
      <c r="H2983" t="s"/>
      <c r="I2983" t="s"/>
      <c r="J2983" t="n">
        <v>0</v>
      </c>
      <c r="K2983" t="n">
        <v>0</v>
      </c>
      <c r="L2983" t="n">
        <v>1</v>
      </c>
      <c r="M2983" t="n">
        <v>0</v>
      </c>
    </row>
    <row r="2984" spans="1:13">
      <c r="A2984" s="1">
        <f>HYPERLINK("http://www.twitter.com/NathanBLawrence/status/966286694864519168", "966286694864519168")</f>
        <v/>
      </c>
      <c r="B2984" s="2" t="n">
        <v>43152.51475694445</v>
      </c>
      <c r="C2984" t="n">
        <v>0</v>
      </c>
      <c r="D2984" t="n">
        <v>162</v>
      </c>
      <c r="E2984" t="s">
        <v>2986</v>
      </c>
      <c r="F2984" t="s"/>
      <c r="G2984" t="s"/>
      <c r="H2984" t="s"/>
      <c r="I2984" t="s"/>
      <c r="J2984" t="n">
        <v>0</v>
      </c>
      <c r="K2984" t="n">
        <v>0</v>
      </c>
      <c r="L2984" t="n">
        <v>1</v>
      </c>
      <c r="M2984" t="n">
        <v>0</v>
      </c>
    </row>
    <row r="2985" spans="1:13">
      <c r="A2985" s="1">
        <f>HYPERLINK("http://www.twitter.com/NathanBLawrence/status/966285968314642440", "966285968314642440")</f>
        <v/>
      </c>
      <c r="B2985" s="2" t="n">
        <v>43152.51275462963</v>
      </c>
      <c r="C2985" t="n">
        <v>1</v>
      </c>
      <c r="D2985" t="n">
        <v>0</v>
      </c>
      <c r="E2985" t="s">
        <v>2987</v>
      </c>
      <c r="F2985" t="s"/>
      <c r="G2985" t="s"/>
      <c r="H2985" t="s"/>
      <c r="I2985" t="s"/>
      <c r="J2985" t="n">
        <v>-0.2401</v>
      </c>
      <c r="K2985" t="n">
        <v>0.129</v>
      </c>
      <c r="L2985" t="n">
        <v>0.797</v>
      </c>
      <c r="M2985" t="n">
        <v>0.074</v>
      </c>
    </row>
    <row r="2986" spans="1:13">
      <c r="A2986" s="1">
        <f>HYPERLINK("http://www.twitter.com/NathanBLawrence/status/966285589984301057", "966285589984301057")</f>
        <v/>
      </c>
      <c r="B2986" s="2" t="n">
        <v>43152.51171296297</v>
      </c>
      <c r="C2986" t="n">
        <v>0</v>
      </c>
      <c r="D2986" t="n">
        <v>3</v>
      </c>
      <c r="E2986" t="s">
        <v>2988</v>
      </c>
      <c r="F2986" t="s"/>
      <c r="G2986" t="s"/>
      <c r="H2986" t="s"/>
      <c r="I2986" t="s"/>
      <c r="J2986" t="n">
        <v>-0.4265</v>
      </c>
      <c r="K2986" t="n">
        <v>0.119</v>
      </c>
      <c r="L2986" t="n">
        <v>0.881</v>
      </c>
      <c r="M2986" t="n">
        <v>0</v>
      </c>
    </row>
    <row r="2987" spans="1:13">
      <c r="A2987" s="1">
        <f>HYPERLINK("http://www.twitter.com/NathanBLawrence/status/966285216124932096", "966285216124932096")</f>
        <v/>
      </c>
      <c r="B2987" s="2" t="n">
        <v>43152.5106712963</v>
      </c>
      <c r="C2987" t="n">
        <v>0</v>
      </c>
      <c r="D2987" t="n">
        <v>0</v>
      </c>
      <c r="E2987" t="s">
        <v>2989</v>
      </c>
      <c r="F2987" t="s"/>
      <c r="G2987" t="s"/>
      <c r="H2987" t="s"/>
      <c r="I2987" t="s"/>
      <c r="J2987" t="n">
        <v>-0.765</v>
      </c>
      <c r="K2987" t="n">
        <v>0.303</v>
      </c>
      <c r="L2987" t="n">
        <v>0.605</v>
      </c>
      <c r="M2987" t="n">
        <v>0.092</v>
      </c>
    </row>
    <row r="2988" spans="1:13">
      <c r="A2988" s="1">
        <f>HYPERLINK("http://www.twitter.com/NathanBLawrence/status/966283387135766528", "966283387135766528")</f>
        <v/>
      </c>
      <c r="B2988" s="2" t="n">
        <v>43152.505625</v>
      </c>
      <c r="C2988" t="n">
        <v>0</v>
      </c>
      <c r="D2988" t="n">
        <v>0</v>
      </c>
      <c r="E2988" t="s">
        <v>2990</v>
      </c>
      <c r="F2988" t="s"/>
      <c r="G2988" t="s"/>
      <c r="H2988" t="s"/>
      <c r="I2988" t="s"/>
      <c r="J2988" t="n">
        <v>0</v>
      </c>
      <c r="K2988" t="n">
        <v>0</v>
      </c>
      <c r="L2988" t="n">
        <v>1</v>
      </c>
      <c r="M2988" t="n">
        <v>0</v>
      </c>
    </row>
    <row r="2989" spans="1:13">
      <c r="A2989" s="1">
        <f>HYPERLINK("http://www.twitter.com/NathanBLawrence/status/966282440384962560", "966282440384962560")</f>
        <v/>
      </c>
      <c r="B2989" s="2" t="n">
        <v>43152.50302083333</v>
      </c>
      <c r="C2989" t="n">
        <v>1</v>
      </c>
      <c r="D2989" t="n">
        <v>0</v>
      </c>
      <c r="E2989" t="s">
        <v>2991</v>
      </c>
      <c r="F2989" t="s"/>
      <c r="G2989" t="s"/>
      <c r="H2989" t="s"/>
      <c r="I2989" t="s"/>
      <c r="J2989" t="n">
        <v>-0.7501</v>
      </c>
      <c r="K2989" t="n">
        <v>0.242</v>
      </c>
      <c r="L2989" t="n">
        <v>0.758</v>
      </c>
      <c r="M2989" t="n">
        <v>0</v>
      </c>
    </row>
    <row r="2990" spans="1:13">
      <c r="A2990" s="1">
        <f>HYPERLINK("http://www.twitter.com/NathanBLawrence/status/966281650257752064", "966281650257752064")</f>
        <v/>
      </c>
      <c r="B2990" s="2" t="n">
        <v>43152.50083333333</v>
      </c>
      <c r="C2990" t="n">
        <v>0</v>
      </c>
      <c r="D2990" t="n">
        <v>0</v>
      </c>
      <c r="E2990" t="s">
        <v>2992</v>
      </c>
      <c r="F2990" t="s"/>
      <c r="G2990" t="s"/>
      <c r="H2990" t="s"/>
      <c r="I2990" t="s"/>
      <c r="J2990" t="n">
        <v>0.6249</v>
      </c>
      <c r="K2990" t="n">
        <v>0.108</v>
      </c>
      <c r="L2990" t="n">
        <v>0.606</v>
      </c>
      <c r="M2990" t="n">
        <v>0.286</v>
      </c>
    </row>
    <row r="2991" spans="1:13">
      <c r="A2991" s="1">
        <f>HYPERLINK("http://www.twitter.com/NathanBLawrence/status/966278233200218112", "966278233200218112")</f>
        <v/>
      </c>
      <c r="B2991" s="2" t="n">
        <v>43152.49141203704</v>
      </c>
      <c r="C2991" t="n">
        <v>0</v>
      </c>
      <c r="D2991" t="n">
        <v>106</v>
      </c>
      <c r="E2991" t="s">
        <v>2993</v>
      </c>
      <c r="F2991">
        <f>HYPERLINK("https://video.twimg.com/amplify_video/966275408990744576/vid/1280x720/fitnf_OOO9cVqp6b.mp4", "https://video.twimg.com/amplify_video/966275408990744576/vid/1280x720/fitnf_OOO9cVqp6b.mp4")</f>
        <v/>
      </c>
      <c r="G2991" t="s"/>
      <c r="H2991" t="s"/>
      <c r="I2991" t="s"/>
      <c r="J2991" t="n">
        <v>0.4767</v>
      </c>
      <c r="K2991" t="n">
        <v>0</v>
      </c>
      <c r="L2991" t="n">
        <v>0.886</v>
      </c>
      <c r="M2991" t="n">
        <v>0.114</v>
      </c>
    </row>
    <row r="2992" spans="1:13">
      <c r="A2992" s="1">
        <f>HYPERLINK("http://www.twitter.com/NathanBLawrence/status/966278134613135360", "966278134613135360")</f>
        <v/>
      </c>
      <c r="B2992" s="2" t="n">
        <v>43152.49113425926</v>
      </c>
      <c r="C2992" t="n">
        <v>0</v>
      </c>
      <c r="D2992" t="n">
        <v>20</v>
      </c>
      <c r="E2992" t="s">
        <v>2994</v>
      </c>
      <c r="F2992" t="s"/>
      <c r="G2992" t="s"/>
      <c r="H2992" t="s"/>
      <c r="I2992" t="s"/>
      <c r="J2992" t="n">
        <v>-0.7845</v>
      </c>
      <c r="K2992" t="n">
        <v>0.347</v>
      </c>
      <c r="L2992" t="n">
        <v>0.653</v>
      </c>
      <c r="M2992" t="n">
        <v>0</v>
      </c>
    </row>
    <row r="2993" spans="1:13">
      <c r="A2993" s="1">
        <f>HYPERLINK("http://www.twitter.com/NathanBLawrence/status/966277662036684800", "966277662036684800")</f>
        <v/>
      </c>
      <c r="B2993" s="2" t="n">
        <v>43152.48982638889</v>
      </c>
      <c r="C2993" t="n">
        <v>0</v>
      </c>
      <c r="D2993" t="n">
        <v>3617</v>
      </c>
      <c r="E2993" t="s">
        <v>2995</v>
      </c>
      <c r="F2993" t="s"/>
      <c r="G2993" t="s"/>
      <c r="H2993" t="s"/>
      <c r="I2993" t="s"/>
      <c r="J2993" t="n">
        <v>0</v>
      </c>
      <c r="K2993" t="n">
        <v>0</v>
      </c>
      <c r="L2993" t="n">
        <v>1</v>
      </c>
      <c r="M2993" t="n">
        <v>0</v>
      </c>
    </row>
    <row r="2994" spans="1:13">
      <c r="A2994" s="1">
        <f>HYPERLINK("http://www.twitter.com/NathanBLawrence/status/966277290408730626", "966277290408730626")</f>
        <v/>
      </c>
      <c r="B2994" s="2" t="n">
        <v>43152.48880787037</v>
      </c>
      <c r="C2994" t="n">
        <v>0</v>
      </c>
      <c r="D2994" t="n">
        <v>29</v>
      </c>
      <c r="E2994" t="s">
        <v>2996</v>
      </c>
      <c r="F2994">
        <f>HYPERLINK("https://video.twimg.com/amplify_video/966271295192289285/vid/640x360/YH_wbupVSRNA0XES.mp4", "https://video.twimg.com/amplify_video/966271295192289285/vid/640x360/YH_wbupVSRNA0XES.mp4")</f>
        <v/>
      </c>
      <c r="G2994" t="s"/>
      <c r="H2994" t="s"/>
      <c r="I2994" t="s"/>
      <c r="J2994" t="n">
        <v>0</v>
      </c>
      <c r="K2994" t="n">
        <v>0</v>
      </c>
      <c r="L2994" t="n">
        <v>1</v>
      </c>
      <c r="M2994" t="n">
        <v>0</v>
      </c>
    </row>
    <row r="2995" spans="1:13">
      <c r="A2995" s="1">
        <f>HYPERLINK("http://www.twitter.com/NathanBLawrence/status/966277209227964416", "966277209227964416")</f>
        <v/>
      </c>
      <c r="B2995" s="2" t="n">
        <v>43152.48857638889</v>
      </c>
      <c r="C2995" t="n">
        <v>0</v>
      </c>
      <c r="D2995" t="n">
        <v>17</v>
      </c>
      <c r="E2995" t="s">
        <v>2997</v>
      </c>
      <c r="F2995" t="s"/>
      <c r="G2995" t="s"/>
      <c r="H2995" t="s"/>
      <c r="I2995" t="s"/>
      <c r="J2995" t="n">
        <v>0.5106000000000001</v>
      </c>
      <c r="K2995" t="n">
        <v>0.111</v>
      </c>
      <c r="L2995" t="n">
        <v>0.643</v>
      </c>
      <c r="M2995" t="n">
        <v>0.246</v>
      </c>
    </row>
    <row r="2996" spans="1:13">
      <c r="A2996" s="1">
        <f>HYPERLINK("http://www.twitter.com/NathanBLawrence/status/966277143117418498", "966277143117418498")</f>
        <v/>
      </c>
      <c r="B2996" s="2" t="n">
        <v>43152.48840277778</v>
      </c>
      <c r="C2996" t="n">
        <v>0</v>
      </c>
      <c r="D2996" t="n">
        <v>12</v>
      </c>
      <c r="E2996" t="s">
        <v>2998</v>
      </c>
      <c r="F2996">
        <f>HYPERLINK("http://pbs.twimg.com/media/DWjgzmUXkAEh_wP.jpg", "http://pbs.twimg.com/media/DWjgzmUXkAEh_wP.jpg")</f>
        <v/>
      </c>
      <c r="G2996" t="s"/>
      <c r="H2996" t="s"/>
      <c r="I2996" t="s"/>
      <c r="J2996" t="n">
        <v>-0.3802</v>
      </c>
      <c r="K2996" t="n">
        <v>0.139</v>
      </c>
      <c r="L2996" t="n">
        <v>0.861</v>
      </c>
      <c r="M2996" t="n">
        <v>0</v>
      </c>
    </row>
    <row r="2997" spans="1:13">
      <c r="A2997" s="1">
        <f>HYPERLINK("http://www.twitter.com/NathanBLawrence/status/966276995083620352", "966276995083620352")</f>
        <v/>
      </c>
      <c r="B2997" s="2" t="n">
        <v>43152.48798611111</v>
      </c>
      <c r="C2997" t="n">
        <v>0</v>
      </c>
      <c r="D2997" t="n">
        <v>595</v>
      </c>
      <c r="E2997" t="s">
        <v>2999</v>
      </c>
      <c r="F2997" t="s"/>
      <c r="G2997" t="s"/>
      <c r="H2997" t="s"/>
      <c r="I2997" t="s"/>
      <c r="J2997" t="n">
        <v>-0.1531</v>
      </c>
      <c r="K2997" t="n">
        <v>0.206</v>
      </c>
      <c r="L2997" t="n">
        <v>0.6870000000000001</v>
      </c>
      <c r="M2997" t="n">
        <v>0.107</v>
      </c>
    </row>
    <row r="2998" spans="1:13">
      <c r="A2998" s="1">
        <f>HYPERLINK("http://www.twitter.com/NathanBLawrence/status/966275957307904000", "966275957307904000")</f>
        <v/>
      </c>
      <c r="B2998" s="2" t="n">
        <v>43152.48512731482</v>
      </c>
      <c r="C2998" t="n">
        <v>0</v>
      </c>
      <c r="D2998" t="n">
        <v>337</v>
      </c>
      <c r="E2998" t="s">
        <v>3000</v>
      </c>
      <c r="F2998" t="s"/>
      <c r="G2998" t="s"/>
      <c r="H2998" t="s"/>
      <c r="I2998" t="s"/>
      <c r="J2998" t="n">
        <v>0.5719</v>
      </c>
      <c r="K2998" t="n">
        <v>0</v>
      </c>
      <c r="L2998" t="n">
        <v>0.8169999999999999</v>
      </c>
      <c r="M2998" t="n">
        <v>0.183</v>
      </c>
    </row>
    <row r="2999" spans="1:13">
      <c r="A2999" s="1">
        <f>HYPERLINK("http://www.twitter.com/NathanBLawrence/status/966275800583557120", "966275800583557120")</f>
        <v/>
      </c>
      <c r="B2999" s="2" t="n">
        <v>43152.48469907408</v>
      </c>
      <c r="C2999" t="n">
        <v>0</v>
      </c>
      <c r="D2999" t="n">
        <v>1261</v>
      </c>
      <c r="E2999" t="s">
        <v>3001</v>
      </c>
      <c r="F2999">
        <f>HYPERLINK("http://pbs.twimg.com/media/DWjVfPYVoAAx4BN.jpg", "http://pbs.twimg.com/media/DWjVfPYVoAAx4BN.jpg")</f>
        <v/>
      </c>
      <c r="G2999" t="s"/>
      <c r="H2999" t="s"/>
      <c r="I2999" t="s"/>
      <c r="J2999" t="n">
        <v>-0.3182</v>
      </c>
      <c r="K2999" t="n">
        <v>0.108</v>
      </c>
      <c r="L2999" t="n">
        <v>0.892</v>
      </c>
      <c r="M2999" t="n">
        <v>0</v>
      </c>
    </row>
    <row r="3000" spans="1:13">
      <c r="A3000" s="1">
        <f>HYPERLINK("http://www.twitter.com/NathanBLawrence/status/966275629724372992", "966275629724372992")</f>
        <v/>
      </c>
      <c r="B3000" s="2" t="n">
        <v>43152.48422453704</v>
      </c>
      <c r="C3000" t="n">
        <v>0</v>
      </c>
      <c r="D3000" t="n">
        <v>460</v>
      </c>
      <c r="E3000" t="s">
        <v>3002</v>
      </c>
      <c r="F3000" t="s"/>
      <c r="G3000" t="s"/>
      <c r="H3000" t="s"/>
      <c r="I3000" t="s"/>
      <c r="J3000" t="n">
        <v>-0.5709</v>
      </c>
      <c r="K3000" t="n">
        <v>0.178</v>
      </c>
      <c r="L3000" t="n">
        <v>0.822</v>
      </c>
      <c r="M3000" t="n">
        <v>0</v>
      </c>
    </row>
    <row r="3001" spans="1:13">
      <c r="A3001" s="1">
        <f>HYPERLINK("http://www.twitter.com/NathanBLawrence/status/966275411754799105", "966275411754799105")</f>
        <v/>
      </c>
      <c r="B3001" s="2" t="n">
        <v>43152.48362268518</v>
      </c>
      <c r="C3001" t="n">
        <v>0</v>
      </c>
      <c r="D3001" t="n">
        <v>1149</v>
      </c>
      <c r="E3001" t="s">
        <v>3003</v>
      </c>
      <c r="F3001">
        <f>HYPERLINK("http://pbs.twimg.com/media/DWjcaNWWsAAYJg9.jpg", "http://pbs.twimg.com/media/DWjcaNWWsAAYJg9.jpg")</f>
        <v/>
      </c>
      <c r="G3001" t="s"/>
      <c r="H3001" t="s"/>
      <c r="I3001" t="s"/>
      <c r="J3001" t="n">
        <v>-0.4753</v>
      </c>
      <c r="K3001" t="n">
        <v>0.185</v>
      </c>
      <c r="L3001" t="n">
        <v>0.8149999999999999</v>
      </c>
      <c r="M3001" t="n">
        <v>0</v>
      </c>
    </row>
    <row r="3002" spans="1:13">
      <c r="A3002" s="1">
        <f>HYPERLINK("http://www.twitter.com/NathanBLawrence/status/966275348177539073", "966275348177539073")</f>
        <v/>
      </c>
      <c r="B3002" s="2" t="n">
        <v>43152.48344907408</v>
      </c>
      <c r="C3002" t="n">
        <v>0</v>
      </c>
      <c r="D3002" t="n">
        <v>2090</v>
      </c>
      <c r="E3002" t="s">
        <v>3004</v>
      </c>
      <c r="F3002" t="s"/>
      <c r="G3002" t="s"/>
      <c r="H3002" t="s"/>
      <c r="I3002" t="s"/>
      <c r="J3002" t="n">
        <v>-0.7845</v>
      </c>
      <c r="K3002" t="n">
        <v>0.365</v>
      </c>
      <c r="L3002" t="n">
        <v>0.635</v>
      </c>
      <c r="M3002" t="n">
        <v>0</v>
      </c>
    </row>
    <row r="3003" spans="1:13">
      <c r="A3003" s="1">
        <f>HYPERLINK("http://www.twitter.com/NathanBLawrence/status/966275325436063744", "966275325436063744")</f>
        <v/>
      </c>
      <c r="B3003" s="2" t="n">
        <v>43152.48337962963</v>
      </c>
      <c r="C3003" t="n">
        <v>0</v>
      </c>
      <c r="D3003" t="n">
        <v>615</v>
      </c>
      <c r="E3003" t="s">
        <v>3005</v>
      </c>
      <c r="F3003">
        <f>HYPERLINK("http://pbs.twimg.com/media/DWjCItjWsAAvDVG.jpg", "http://pbs.twimg.com/media/DWjCItjWsAAvDVG.jpg")</f>
        <v/>
      </c>
      <c r="G3003" t="s"/>
      <c r="H3003" t="s"/>
      <c r="I3003" t="s"/>
      <c r="J3003" t="n">
        <v>0.6917</v>
      </c>
      <c r="K3003" t="n">
        <v>0</v>
      </c>
      <c r="L3003" t="n">
        <v>0.773</v>
      </c>
      <c r="M3003" t="n">
        <v>0.227</v>
      </c>
    </row>
    <row r="3004" spans="1:13">
      <c r="A3004" s="1">
        <f>HYPERLINK("http://www.twitter.com/NathanBLawrence/status/966275245169573888", "966275245169573888")</f>
        <v/>
      </c>
      <c r="B3004" s="2" t="n">
        <v>43152.48315972222</v>
      </c>
      <c r="C3004" t="n">
        <v>0</v>
      </c>
      <c r="D3004" t="n">
        <v>8553</v>
      </c>
      <c r="E3004" t="s">
        <v>3006</v>
      </c>
      <c r="F3004" t="s"/>
      <c r="G3004" t="s"/>
      <c r="H3004" t="s"/>
      <c r="I3004" t="s"/>
      <c r="J3004" t="n">
        <v>0.2023</v>
      </c>
      <c r="K3004" t="n">
        <v>0</v>
      </c>
      <c r="L3004" t="n">
        <v>0.893</v>
      </c>
      <c r="M3004" t="n">
        <v>0.107</v>
      </c>
    </row>
    <row r="3005" spans="1:13">
      <c r="A3005" s="1">
        <f>HYPERLINK("http://www.twitter.com/NathanBLawrence/status/966275139288657921", "966275139288657921")</f>
        <v/>
      </c>
      <c r="B3005" s="2" t="n">
        <v>43152.48287037037</v>
      </c>
      <c r="C3005" t="n">
        <v>0</v>
      </c>
      <c r="D3005" t="n">
        <v>5992</v>
      </c>
      <c r="E3005" t="s">
        <v>3007</v>
      </c>
      <c r="F3005" t="s"/>
      <c r="G3005" t="s"/>
      <c r="H3005" t="s"/>
      <c r="I3005" t="s"/>
      <c r="J3005" t="n">
        <v>0.1695</v>
      </c>
      <c r="K3005" t="n">
        <v>0</v>
      </c>
      <c r="L3005" t="n">
        <v>0.911</v>
      </c>
      <c r="M3005" t="n">
        <v>0.089</v>
      </c>
    </row>
    <row r="3006" spans="1:13">
      <c r="A3006" s="1">
        <f>HYPERLINK("http://www.twitter.com/NathanBLawrence/status/966274877568282624", "966274877568282624")</f>
        <v/>
      </c>
      <c r="B3006" s="2" t="n">
        <v>43152.48214120371</v>
      </c>
      <c r="C3006" t="n">
        <v>0</v>
      </c>
      <c r="D3006" t="n">
        <v>809</v>
      </c>
      <c r="E3006" t="s">
        <v>3008</v>
      </c>
      <c r="F3006">
        <f>HYPERLINK("http://pbs.twimg.com/media/DWjU3VGXkAAbpns.jpg", "http://pbs.twimg.com/media/DWjU3VGXkAAbpns.jpg")</f>
        <v/>
      </c>
      <c r="G3006" t="s"/>
      <c r="H3006" t="s"/>
      <c r="I3006" t="s"/>
      <c r="J3006" t="n">
        <v>0</v>
      </c>
      <c r="K3006" t="n">
        <v>0</v>
      </c>
      <c r="L3006" t="n">
        <v>1</v>
      </c>
      <c r="M3006" t="n">
        <v>0</v>
      </c>
    </row>
    <row r="3007" spans="1:13">
      <c r="A3007" s="1">
        <f>HYPERLINK("http://www.twitter.com/NathanBLawrence/status/966274736882946049", "966274736882946049")</f>
        <v/>
      </c>
      <c r="B3007" s="2" t="n">
        <v>43152.48175925926</v>
      </c>
      <c r="C3007" t="n">
        <v>0</v>
      </c>
      <c r="D3007" t="n">
        <v>755</v>
      </c>
      <c r="E3007" t="s">
        <v>3009</v>
      </c>
      <c r="F3007">
        <f>HYPERLINK("http://pbs.twimg.com/media/DWjMbCUU8AAYb34.jpg", "http://pbs.twimg.com/media/DWjMbCUU8AAYb34.jpg")</f>
        <v/>
      </c>
      <c r="G3007" t="s"/>
      <c r="H3007" t="s"/>
      <c r="I3007" t="s"/>
      <c r="J3007" t="n">
        <v>-0.4939</v>
      </c>
      <c r="K3007" t="n">
        <v>0.231</v>
      </c>
      <c r="L3007" t="n">
        <v>0.769</v>
      </c>
      <c r="M3007" t="n">
        <v>0</v>
      </c>
    </row>
    <row r="3008" spans="1:13">
      <c r="A3008" s="1">
        <f>HYPERLINK("http://www.twitter.com/NathanBLawrence/status/966273145563963392", "966273145563963392")</f>
        <v/>
      </c>
      <c r="B3008" s="2" t="n">
        <v>43152.47737268519</v>
      </c>
      <c r="C3008" t="n">
        <v>0</v>
      </c>
      <c r="D3008" t="n">
        <v>62</v>
      </c>
      <c r="E3008" t="s">
        <v>3010</v>
      </c>
      <c r="F3008" t="s"/>
      <c r="G3008" t="s"/>
      <c r="H3008" t="s"/>
      <c r="I3008" t="s"/>
      <c r="J3008" t="n">
        <v>-0.3802</v>
      </c>
      <c r="K3008" t="n">
        <v>0.126</v>
      </c>
      <c r="L3008" t="n">
        <v>0.874</v>
      </c>
      <c r="M3008" t="n">
        <v>0</v>
      </c>
    </row>
    <row r="3009" spans="1:13">
      <c r="A3009" s="1">
        <f>HYPERLINK("http://www.twitter.com/NathanBLawrence/status/966271983972487168", "966271983972487168")</f>
        <v/>
      </c>
      <c r="B3009" s="2" t="n">
        <v>43152.47416666667</v>
      </c>
      <c r="C3009" t="n">
        <v>0</v>
      </c>
      <c r="D3009" t="n">
        <v>8</v>
      </c>
      <c r="E3009" t="s">
        <v>3011</v>
      </c>
      <c r="F3009" t="s"/>
      <c r="G3009" t="s"/>
      <c r="H3009" t="s"/>
      <c r="I3009" t="s"/>
      <c r="J3009" t="n">
        <v>0.1511</v>
      </c>
      <c r="K3009" t="n">
        <v>0</v>
      </c>
      <c r="L3009" t="n">
        <v>0.923</v>
      </c>
      <c r="M3009" t="n">
        <v>0.077</v>
      </c>
    </row>
    <row r="3010" spans="1:13">
      <c r="A3010" s="1">
        <f>HYPERLINK("http://www.twitter.com/NathanBLawrence/status/966173060381466626", "966173060381466626")</f>
        <v/>
      </c>
      <c r="B3010" s="2" t="n">
        <v>43152.20118055555</v>
      </c>
      <c r="C3010" t="n">
        <v>0</v>
      </c>
      <c r="D3010" t="n">
        <v>4</v>
      </c>
      <c r="E3010" t="s">
        <v>3012</v>
      </c>
      <c r="F3010" t="s"/>
      <c r="G3010" t="s"/>
      <c r="H3010" t="s"/>
      <c r="I3010" t="s"/>
      <c r="J3010" t="n">
        <v>0</v>
      </c>
      <c r="K3010" t="n">
        <v>0</v>
      </c>
      <c r="L3010" t="n">
        <v>1</v>
      </c>
      <c r="M3010" t="n">
        <v>0</v>
      </c>
    </row>
    <row r="3011" spans="1:13">
      <c r="A3011" s="1">
        <f>HYPERLINK("http://www.twitter.com/NathanBLawrence/status/966172370888265728", "966172370888265728")</f>
        <v/>
      </c>
      <c r="B3011" s="2" t="n">
        <v>43152.1992824074</v>
      </c>
      <c r="C3011" t="n">
        <v>0</v>
      </c>
      <c r="D3011" t="n">
        <v>24</v>
      </c>
      <c r="E3011" t="s">
        <v>3013</v>
      </c>
      <c r="F3011" t="s"/>
      <c r="G3011" t="s"/>
      <c r="H3011" t="s"/>
      <c r="I3011" t="s"/>
      <c r="J3011" t="n">
        <v>0.5266999999999999</v>
      </c>
      <c r="K3011" t="n">
        <v>0</v>
      </c>
      <c r="L3011" t="n">
        <v>0.714</v>
      </c>
      <c r="M3011" t="n">
        <v>0.286</v>
      </c>
    </row>
    <row r="3012" spans="1:13">
      <c r="A3012" s="1">
        <f>HYPERLINK("http://www.twitter.com/NathanBLawrence/status/966172252076208128", "966172252076208128")</f>
        <v/>
      </c>
      <c r="B3012" s="2" t="n">
        <v>43152.19895833333</v>
      </c>
      <c r="C3012" t="n">
        <v>0</v>
      </c>
      <c r="D3012" t="n">
        <v>56</v>
      </c>
      <c r="E3012" t="s">
        <v>3014</v>
      </c>
      <c r="F3012" t="s"/>
      <c r="G3012" t="s"/>
      <c r="H3012" t="s"/>
      <c r="I3012" t="s"/>
      <c r="J3012" t="n">
        <v>0.5994</v>
      </c>
      <c r="K3012" t="n">
        <v>0</v>
      </c>
      <c r="L3012" t="n">
        <v>0.755</v>
      </c>
      <c r="M3012" t="n">
        <v>0.245</v>
      </c>
    </row>
    <row r="3013" spans="1:13">
      <c r="A3013" s="1">
        <f>HYPERLINK("http://www.twitter.com/NathanBLawrence/status/966171391891529728", "966171391891529728")</f>
        <v/>
      </c>
      <c r="B3013" s="2" t="n">
        <v>43152.19658564815</v>
      </c>
      <c r="C3013" t="n">
        <v>1</v>
      </c>
      <c r="D3013" t="n">
        <v>0</v>
      </c>
      <c r="E3013" t="s">
        <v>3015</v>
      </c>
      <c r="F3013" t="s"/>
      <c r="G3013" t="s"/>
      <c r="H3013" t="s"/>
      <c r="I3013" t="s"/>
      <c r="J3013" t="n">
        <v>0</v>
      </c>
      <c r="K3013" t="n">
        <v>0</v>
      </c>
      <c r="L3013" t="n">
        <v>1</v>
      </c>
      <c r="M3013" t="n">
        <v>0</v>
      </c>
    </row>
    <row r="3014" spans="1:13">
      <c r="A3014" s="1">
        <f>HYPERLINK("http://www.twitter.com/NathanBLawrence/status/966170437494431744", "966170437494431744")</f>
        <v/>
      </c>
      <c r="B3014" s="2" t="n">
        <v>43152.19394675926</v>
      </c>
      <c r="C3014" t="n">
        <v>0</v>
      </c>
      <c r="D3014" t="n">
        <v>0</v>
      </c>
      <c r="E3014" t="s">
        <v>3016</v>
      </c>
      <c r="F3014" t="s"/>
      <c r="G3014" t="s"/>
      <c r="H3014" t="s"/>
      <c r="I3014" t="s"/>
      <c r="J3014" t="n">
        <v>0.3818</v>
      </c>
      <c r="K3014" t="n">
        <v>0</v>
      </c>
      <c r="L3014" t="n">
        <v>0.8090000000000001</v>
      </c>
      <c r="M3014" t="n">
        <v>0.191</v>
      </c>
    </row>
    <row r="3015" spans="1:13">
      <c r="A3015" s="1">
        <f>HYPERLINK("http://www.twitter.com/NathanBLawrence/status/966169761863405568", "966169761863405568")</f>
        <v/>
      </c>
      <c r="B3015" s="2" t="n">
        <v>43152.19208333334</v>
      </c>
      <c r="C3015" t="n">
        <v>1</v>
      </c>
      <c r="D3015" t="n">
        <v>0</v>
      </c>
      <c r="E3015" t="s">
        <v>3017</v>
      </c>
      <c r="F3015" t="s"/>
      <c r="G3015" t="s"/>
      <c r="H3015" t="s"/>
      <c r="I3015" t="s"/>
      <c r="J3015" t="n">
        <v>0.4215</v>
      </c>
      <c r="K3015" t="n">
        <v>0</v>
      </c>
      <c r="L3015" t="n">
        <v>0.714</v>
      </c>
      <c r="M3015" t="n">
        <v>0.286</v>
      </c>
    </row>
    <row r="3016" spans="1:13">
      <c r="A3016" s="1">
        <f>HYPERLINK("http://www.twitter.com/NathanBLawrence/status/966169356060299264", "966169356060299264")</f>
        <v/>
      </c>
      <c r="B3016" s="2" t="n">
        <v>43152.19096064815</v>
      </c>
      <c r="C3016" t="n">
        <v>0</v>
      </c>
      <c r="D3016" t="n">
        <v>0</v>
      </c>
      <c r="E3016" t="s">
        <v>3018</v>
      </c>
      <c r="F3016" t="s"/>
      <c r="G3016" t="s"/>
      <c r="H3016" t="s"/>
      <c r="I3016" t="s"/>
      <c r="J3016" t="n">
        <v>-0.25</v>
      </c>
      <c r="K3016" t="n">
        <v>0.132</v>
      </c>
      <c r="L3016" t="n">
        <v>0.759</v>
      </c>
      <c r="M3016" t="n">
        <v>0.109</v>
      </c>
    </row>
    <row r="3017" spans="1:13">
      <c r="A3017" s="1">
        <f>HYPERLINK("http://www.twitter.com/NathanBLawrence/status/966167952570667009", "966167952570667009")</f>
        <v/>
      </c>
      <c r="B3017" s="2" t="n">
        <v>43152.18709490741</v>
      </c>
      <c r="C3017" t="n">
        <v>0</v>
      </c>
      <c r="D3017" t="n">
        <v>0</v>
      </c>
      <c r="E3017" t="s">
        <v>3019</v>
      </c>
      <c r="F3017" t="s"/>
      <c r="G3017" t="s"/>
      <c r="H3017" t="s"/>
      <c r="I3017" t="s"/>
      <c r="J3017" t="n">
        <v>0.1398</v>
      </c>
      <c r="K3017" t="n">
        <v>0.118</v>
      </c>
      <c r="L3017" t="n">
        <v>0.755</v>
      </c>
      <c r="M3017" t="n">
        <v>0.128</v>
      </c>
    </row>
    <row r="3018" spans="1:13">
      <c r="A3018" s="1">
        <f>HYPERLINK("http://www.twitter.com/NathanBLawrence/status/966166362111528962", "966166362111528962")</f>
        <v/>
      </c>
      <c r="B3018" s="2" t="n">
        <v>43152.18269675926</v>
      </c>
      <c r="C3018" t="n">
        <v>1</v>
      </c>
      <c r="D3018" t="n">
        <v>0</v>
      </c>
      <c r="E3018" t="s">
        <v>3020</v>
      </c>
      <c r="F3018" t="s"/>
      <c r="G3018" t="s"/>
      <c r="H3018" t="s"/>
      <c r="I3018" t="s"/>
      <c r="J3018" t="n">
        <v>0.0275</v>
      </c>
      <c r="K3018" t="n">
        <v>0.229</v>
      </c>
      <c r="L3018" t="n">
        <v>0.538</v>
      </c>
      <c r="M3018" t="n">
        <v>0.233</v>
      </c>
    </row>
    <row r="3019" spans="1:13">
      <c r="A3019" s="1">
        <f>HYPERLINK("http://www.twitter.com/NathanBLawrence/status/966162824211910656", "966162824211910656")</f>
        <v/>
      </c>
      <c r="B3019" s="2" t="n">
        <v>43152.17293981482</v>
      </c>
      <c r="C3019" t="n">
        <v>1</v>
      </c>
      <c r="D3019" t="n">
        <v>0</v>
      </c>
      <c r="E3019" t="s">
        <v>3021</v>
      </c>
      <c r="F3019" t="s"/>
      <c r="G3019" t="s"/>
      <c r="H3019" t="s"/>
      <c r="I3019" t="s"/>
      <c r="J3019" t="n">
        <v>-0.3574</v>
      </c>
      <c r="K3019" t="n">
        <v>0.142</v>
      </c>
      <c r="L3019" t="n">
        <v>0.858</v>
      </c>
      <c r="M3019" t="n">
        <v>0</v>
      </c>
    </row>
    <row r="3020" spans="1:13">
      <c r="A3020" s="1">
        <f>HYPERLINK("http://www.twitter.com/NathanBLawrence/status/966162276490366976", "966162276490366976")</f>
        <v/>
      </c>
      <c r="B3020" s="2" t="n">
        <v>43152.17142361111</v>
      </c>
      <c r="C3020" t="n">
        <v>1</v>
      </c>
      <c r="D3020" t="n">
        <v>0</v>
      </c>
      <c r="E3020" t="s">
        <v>3022</v>
      </c>
      <c r="F3020" t="s"/>
      <c r="G3020" t="s"/>
      <c r="H3020" t="s"/>
      <c r="I3020" t="s"/>
      <c r="J3020" t="n">
        <v>0</v>
      </c>
      <c r="K3020" t="n">
        <v>0</v>
      </c>
      <c r="L3020" t="n">
        <v>1</v>
      </c>
      <c r="M3020" t="n">
        <v>0</v>
      </c>
    </row>
    <row r="3021" spans="1:13">
      <c r="A3021" s="1">
        <f>HYPERLINK("http://www.twitter.com/NathanBLawrence/status/966151651248746496", "966151651248746496")</f>
        <v/>
      </c>
      <c r="B3021" s="2" t="n">
        <v>43152.14210648148</v>
      </c>
      <c r="C3021" t="n">
        <v>0</v>
      </c>
      <c r="D3021" t="n">
        <v>0</v>
      </c>
      <c r="E3021" t="s">
        <v>3023</v>
      </c>
      <c r="F3021" t="s"/>
      <c r="G3021" t="s"/>
      <c r="H3021" t="s"/>
      <c r="I3021" t="s"/>
      <c r="J3021" t="n">
        <v>0.2732</v>
      </c>
      <c r="K3021" t="n">
        <v>0.139</v>
      </c>
      <c r="L3021" t="n">
        <v>0.673</v>
      </c>
      <c r="M3021" t="n">
        <v>0.188</v>
      </c>
    </row>
    <row r="3022" spans="1:13">
      <c r="A3022" s="1">
        <f>HYPERLINK("http://www.twitter.com/NathanBLawrence/status/966151269219028997", "966151269219028997")</f>
        <v/>
      </c>
      <c r="B3022" s="2" t="n">
        <v>43152.14105324074</v>
      </c>
      <c r="C3022" t="n">
        <v>1</v>
      </c>
      <c r="D3022" t="n">
        <v>0</v>
      </c>
      <c r="E3022" t="s">
        <v>3024</v>
      </c>
      <c r="F3022" t="s"/>
      <c r="G3022" t="s"/>
      <c r="H3022" t="s"/>
      <c r="I3022" t="s"/>
      <c r="J3022" t="n">
        <v>0.6652</v>
      </c>
      <c r="K3022" t="n">
        <v>0.121</v>
      </c>
      <c r="L3022" t="n">
        <v>0.662</v>
      </c>
      <c r="M3022" t="n">
        <v>0.217</v>
      </c>
    </row>
    <row r="3023" spans="1:13">
      <c r="A3023" s="1">
        <f>HYPERLINK("http://www.twitter.com/NathanBLawrence/status/966150449450635264", "966150449450635264")</f>
        <v/>
      </c>
      <c r="B3023" s="2" t="n">
        <v>43152.1387962963</v>
      </c>
      <c r="C3023" t="n">
        <v>2</v>
      </c>
      <c r="D3023" t="n">
        <v>0</v>
      </c>
      <c r="E3023" t="s">
        <v>3025</v>
      </c>
      <c r="F3023" t="s"/>
      <c r="G3023" t="s"/>
      <c r="H3023" t="s"/>
      <c r="I3023" t="s"/>
      <c r="J3023" t="n">
        <v>0.4019</v>
      </c>
      <c r="K3023" t="n">
        <v>0.103</v>
      </c>
      <c r="L3023" t="n">
        <v>0.6899999999999999</v>
      </c>
      <c r="M3023" t="n">
        <v>0.207</v>
      </c>
    </row>
    <row r="3024" spans="1:13">
      <c r="A3024" s="1">
        <f>HYPERLINK("http://www.twitter.com/NathanBLawrence/status/966141076464721920", "966141076464721920")</f>
        <v/>
      </c>
      <c r="B3024" s="2" t="n">
        <v>43152.11292824074</v>
      </c>
      <c r="C3024" t="n">
        <v>0</v>
      </c>
      <c r="D3024" t="n">
        <v>0</v>
      </c>
      <c r="E3024" t="s">
        <v>3026</v>
      </c>
      <c r="F3024" t="s"/>
      <c r="G3024" t="s"/>
      <c r="H3024" t="s"/>
      <c r="I3024" t="s"/>
      <c r="J3024" t="n">
        <v>-0.264</v>
      </c>
      <c r="K3024" t="n">
        <v>0.175</v>
      </c>
      <c r="L3024" t="n">
        <v>0.729</v>
      </c>
      <c r="M3024" t="n">
        <v>0.096</v>
      </c>
    </row>
    <row r="3025" spans="1:13">
      <c r="A3025" s="1">
        <f>HYPERLINK("http://www.twitter.com/NathanBLawrence/status/966012321515503616", "966012321515503616")</f>
        <v/>
      </c>
      <c r="B3025" s="2" t="n">
        <v>43151.75762731482</v>
      </c>
      <c r="C3025" t="n">
        <v>0</v>
      </c>
      <c r="D3025" t="n">
        <v>2</v>
      </c>
      <c r="E3025" t="s">
        <v>3027</v>
      </c>
      <c r="F3025" t="s"/>
      <c r="G3025" t="s"/>
      <c r="H3025" t="s"/>
      <c r="I3025" t="s"/>
      <c r="J3025" t="n">
        <v>0.877</v>
      </c>
      <c r="K3025" t="n">
        <v>0</v>
      </c>
      <c r="L3025" t="n">
        <v>0.5639999999999999</v>
      </c>
      <c r="M3025" t="n">
        <v>0.436</v>
      </c>
    </row>
    <row r="3026" spans="1:13">
      <c r="A3026" s="1">
        <f>HYPERLINK("http://www.twitter.com/NathanBLawrence/status/966012177743339520", "966012177743339520")</f>
        <v/>
      </c>
      <c r="B3026" s="2" t="n">
        <v>43151.7572337963</v>
      </c>
      <c r="C3026" t="n">
        <v>1</v>
      </c>
      <c r="D3026" t="n">
        <v>0</v>
      </c>
      <c r="E3026" t="s">
        <v>3028</v>
      </c>
      <c r="F3026" t="s"/>
      <c r="G3026" t="s"/>
      <c r="H3026" t="s"/>
      <c r="I3026" t="s"/>
      <c r="J3026" t="n">
        <v>0.4118</v>
      </c>
      <c r="K3026" t="n">
        <v>0.151</v>
      </c>
      <c r="L3026" t="n">
        <v>0.576</v>
      </c>
      <c r="M3026" t="n">
        <v>0.273</v>
      </c>
    </row>
    <row r="3027" spans="1:13">
      <c r="A3027" s="1">
        <f>HYPERLINK("http://www.twitter.com/NathanBLawrence/status/966011504825896963", "966011504825896963")</f>
        <v/>
      </c>
      <c r="B3027" s="2" t="n">
        <v>43151.75538194444</v>
      </c>
      <c r="C3027" t="n">
        <v>0</v>
      </c>
      <c r="D3027" t="n">
        <v>0</v>
      </c>
      <c r="E3027" t="s">
        <v>3029</v>
      </c>
      <c r="F3027" t="s"/>
      <c r="G3027" t="s"/>
      <c r="H3027" t="s"/>
      <c r="I3027" t="s"/>
      <c r="J3027" t="n">
        <v>0.4404</v>
      </c>
      <c r="K3027" t="n">
        <v>0</v>
      </c>
      <c r="L3027" t="n">
        <v>0.756</v>
      </c>
      <c r="M3027" t="n">
        <v>0.244</v>
      </c>
    </row>
    <row r="3028" spans="1:13">
      <c r="A3028" s="1">
        <f>HYPERLINK("http://www.twitter.com/NathanBLawrence/status/966010891824189440", "966010891824189440")</f>
        <v/>
      </c>
      <c r="B3028" s="2" t="n">
        <v>43151.75368055556</v>
      </c>
      <c r="C3028" t="n">
        <v>0</v>
      </c>
      <c r="D3028" t="n">
        <v>2</v>
      </c>
      <c r="E3028" t="s">
        <v>3030</v>
      </c>
      <c r="F3028" t="s"/>
      <c r="G3028" t="s"/>
      <c r="H3028" t="s"/>
      <c r="I3028" t="s"/>
      <c r="J3028" t="n">
        <v>-0.5266999999999999</v>
      </c>
      <c r="K3028" t="n">
        <v>0.221</v>
      </c>
      <c r="L3028" t="n">
        <v>0.779</v>
      </c>
      <c r="M3028" t="n">
        <v>0</v>
      </c>
    </row>
    <row r="3029" spans="1:13">
      <c r="A3029" s="1">
        <f>HYPERLINK("http://www.twitter.com/NathanBLawrence/status/966010361131479041", "966010361131479041")</f>
        <v/>
      </c>
      <c r="B3029" s="2" t="n">
        <v>43151.75222222223</v>
      </c>
      <c r="C3029" t="n">
        <v>0</v>
      </c>
      <c r="D3029" t="n">
        <v>2</v>
      </c>
      <c r="E3029" t="s">
        <v>3031</v>
      </c>
      <c r="F3029" t="s"/>
      <c r="G3029" t="s"/>
      <c r="H3029" t="s"/>
      <c r="I3029" t="s"/>
      <c r="J3029" t="n">
        <v>0</v>
      </c>
      <c r="K3029" t="n">
        <v>0</v>
      </c>
      <c r="L3029" t="n">
        <v>1</v>
      </c>
      <c r="M3029" t="n">
        <v>0</v>
      </c>
    </row>
    <row r="3030" spans="1:13">
      <c r="A3030" s="1">
        <f>HYPERLINK("http://www.twitter.com/NathanBLawrence/status/966010211017416705", "966010211017416705")</f>
        <v/>
      </c>
      <c r="B3030" s="2" t="n">
        <v>43151.75180555556</v>
      </c>
      <c r="C3030" t="n">
        <v>0</v>
      </c>
      <c r="D3030" t="n">
        <v>4</v>
      </c>
      <c r="E3030" t="s">
        <v>3032</v>
      </c>
      <c r="F3030" t="s"/>
      <c r="G3030" t="s"/>
      <c r="H3030" t="s"/>
      <c r="I3030" t="s"/>
      <c r="J3030" t="n">
        <v>-0.1759</v>
      </c>
      <c r="K3030" t="n">
        <v>0.113</v>
      </c>
      <c r="L3030" t="n">
        <v>0.798</v>
      </c>
      <c r="M3030" t="n">
        <v>0.09</v>
      </c>
    </row>
    <row r="3031" spans="1:13">
      <c r="A3031" s="1">
        <f>HYPERLINK("http://www.twitter.com/NathanBLawrence/status/966010106256248832", "966010106256248832")</f>
        <v/>
      </c>
      <c r="B3031" s="2" t="n">
        <v>43151.7515162037</v>
      </c>
      <c r="C3031" t="n">
        <v>1</v>
      </c>
      <c r="D3031" t="n">
        <v>0</v>
      </c>
      <c r="E3031" t="s">
        <v>3033</v>
      </c>
      <c r="F3031" t="s"/>
      <c r="G3031" t="s"/>
      <c r="H3031" t="s"/>
      <c r="I3031" t="s"/>
      <c r="J3031" t="n">
        <v>0</v>
      </c>
      <c r="K3031" t="n">
        <v>0</v>
      </c>
      <c r="L3031" t="n">
        <v>1</v>
      </c>
      <c r="M3031" t="n">
        <v>0</v>
      </c>
    </row>
    <row r="3032" spans="1:13">
      <c r="A3032" s="1">
        <f>HYPERLINK("http://www.twitter.com/NathanBLawrence/status/966009907349741570", "966009907349741570")</f>
        <v/>
      </c>
      <c r="B3032" s="2" t="n">
        <v>43151.75097222222</v>
      </c>
      <c r="C3032" t="n">
        <v>0</v>
      </c>
      <c r="D3032" t="n">
        <v>8</v>
      </c>
      <c r="E3032" t="s">
        <v>3034</v>
      </c>
      <c r="F3032" t="s"/>
      <c r="G3032" t="s"/>
      <c r="H3032" t="s"/>
      <c r="I3032" t="s"/>
      <c r="J3032" t="n">
        <v>0.0225</v>
      </c>
      <c r="K3032" t="n">
        <v>0.17</v>
      </c>
      <c r="L3032" t="n">
        <v>0.656</v>
      </c>
      <c r="M3032" t="n">
        <v>0.173</v>
      </c>
    </row>
    <row r="3033" spans="1:13">
      <c r="A3033" s="1">
        <f>HYPERLINK("http://www.twitter.com/NathanBLawrence/status/966009770321809410", "966009770321809410")</f>
        <v/>
      </c>
      <c r="B3033" s="2" t="n">
        <v>43151.75059027778</v>
      </c>
      <c r="C3033" t="n">
        <v>5</v>
      </c>
      <c r="D3033" t="n">
        <v>0</v>
      </c>
      <c r="E3033" t="s">
        <v>3035</v>
      </c>
      <c r="F3033" t="s"/>
      <c r="G3033" t="s"/>
      <c r="H3033" t="s"/>
      <c r="I3033" t="s"/>
      <c r="J3033" t="n">
        <v>-0.7858000000000001</v>
      </c>
      <c r="K3033" t="n">
        <v>0.435</v>
      </c>
      <c r="L3033" t="n">
        <v>0.5649999999999999</v>
      </c>
      <c r="M3033" t="n">
        <v>0</v>
      </c>
    </row>
    <row r="3034" spans="1:13">
      <c r="A3034" s="1">
        <f>HYPERLINK("http://www.twitter.com/NathanBLawrence/status/966009168514740224", "966009168514740224")</f>
        <v/>
      </c>
      <c r="B3034" s="2" t="n">
        <v>43151.74893518518</v>
      </c>
      <c r="C3034" t="n">
        <v>0</v>
      </c>
      <c r="D3034" t="n">
        <v>0</v>
      </c>
      <c r="E3034" t="s">
        <v>3036</v>
      </c>
      <c r="F3034" t="s"/>
      <c r="G3034" t="s"/>
      <c r="H3034" t="s"/>
      <c r="I3034" t="s"/>
      <c r="J3034" t="n">
        <v>-0.34</v>
      </c>
      <c r="K3034" t="n">
        <v>0.375</v>
      </c>
      <c r="L3034" t="n">
        <v>0.625</v>
      </c>
      <c r="M3034" t="n">
        <v>0</v>
      </c>
    </row>
    <row r="3035" spans="1:13">
      <c r="A3035" s="1">
        <f>HYPERLINK("http://www.twitter.com/NathanBLawrence/status/966008435539050496", "966008435539050496")</f>
        <v/>
      </c>
      <c r="B3035" s="2" t="n">
        <v>43151.74690972222</v>
      </c>
      <c r="C3035" t="n">
        <v>0</v>
      </c>
      <c r="D3035" t="n">
        <v>0</v>
      </c>
      <c r="E3035" t="s">
        <v>3037</v>
      </c>
      <c r="F3035" t="s"/>
      <c r="G3035" t="s"/>
      <c r="H3035" t="s"/>
      <c r="I3035" t="s"/>
      <c r="J3035" t="n">
        <v>0.4019</v>
      </c>
      <c r="K3035" t="n">
        <v>0</v>
      </c>
      <c r="L3035" t="n">
        <v>0.526</v>
      </c>
      <c r="M3035" t="n">
        <v>0.474</v>
      </c>
    </row>
    <row r="3036" spans="1:13">
      <c r="A3036" s="1">
        <f>HYPERLINK("http://www.twitter.com/NathanBLawrence/status/966007998152892416", "966007998152892416")</f>
        <v/>
      </c>
      <c r="B3036" s="2" t="n">
        <v>43151.74569444444</v>
      </c>
      <c r="C3036" t="n">
        <v>9</v>
      </c>
      <c r="D3036" t="n">
        <v>0</v>
      </c>
      <c r="E3036" t="s">
        <v>3038</v>
      </c>
      <c r="F3036" t="s"/>
      <c r="G3036" t="s"/>
      <c r="H3036" t="s"/>
      <c r="I3036" t="s"/>
      <c r="J3036" t="n">
        <v>-0.4576</v>
      </c>
      <c r="K3036" t="n">
        <v>0.176</v>
      </c>
      <c r="L3036" t="n">
        <v>0.824</v>
      </c>
      <c r="M3036" t="n">
        <v>0</v>
      </c>
    </row>
    <row r="3037" spans="1:13">
      <c r="A3037" s="1">
        <f>HYPERLINK("http://www.twitter.com/NathanBLawrence/status/965963235068465153", "965963235068465153")</f>
        <v/>
      </c>
      <c r="B3037" s="2" t="n">
        <v>43151.62217592593</v>
      </c>
      <c r="C3037" t="n">
        <v>0</v>
      </c>
      <c r="D3037" t="n">
        <v>235</v>
      </c>
      <c r="E3037" t="s">
        <v>3039</v>
      </c>
      <c r="F3037">
        <f>HYPERLINK("https://video.twimg.com/ext_tw_video/965722157094395904/pu/vid/480x360/p9GseZctPgaQKvwi.mp4", "https://video.twimg.com/ext_tw_video/965722157094395904/pu/vid/480x360/p9GseZctPgaQKvwi.mp4")</f>
        <v/>
      </c>
      <c r="G3037" t="s"/>
      <c r="H3037" t="s"/>
      <c r="I3037" t="s"/>
      <c r="J3037" t="n">
        <v>0.8934</v>
      </c>
      <c r="K3037" t="n">
        <v>0</v>
      </c>
      <c r="L3037" t="n">
        <v>0.619</v>
      </c>
      <c r="M3037" t="n">
        <v>0.381</v>
      </c>
    </row>
    <row r="3038" spans="1:13">
      <c r="A3038" s="1">
        <f>HYPERLINK("http://www.twitter.com/NathanBLawrence/status/965963164759351297", "965963164759351297")</f>
        <v/>
      </c>
      <c r="B3038" s="2" t="n">
        <v>43151.62197916667</v>
      </c>
      <c r="C3038" t="n">
        <v>0</v>
      </c>
      <c r="D3038" t="n">
        <v>361</v>
      </c>
      <c r="E3038" t="s">
        <v>3040</v>
      </c>
      <c r="F3038">
        <f>HYPERLINK("http://pbs.twimg.com/media/DTbyKt5VMAISvIj.jpg", "http://pbs.twimg.com/media/DTbyKt5VMAISvIj.jpg")</f>
        <v/>
      </c>
      <c r="G3038" t="s"/>
      <c r="H3038" t="s"/>
      <c r="I3038" t="s"/>
      <c r="J3038" t="n">
        <v>0</v>
      </c>
      <c r="K3038" t="n">
        <v>0</v>
      </c>
      <c r="L3038" t="n">
        <v>1</v>
      </c>
      <c r="M3038" t="n">
        <v>0</v>
      </c>
    </row>
    <row r="3039" spans="1:13">
      <c r="A3039" s="1">
        <f>HYPERLINK("http://www.twitter.com/NathanBLawrence/status/965962803185057792", "965962803185057792")</f>
        <v/>
      </c>
      <c r="B3039" s="2" t="n">
        <v>43151.6209837963</v>
      </c>
      <c r="C3039" t="n">
        <v>0</v>
      </c>
      <c r="D3039" t="n">
        <v>1</v>
      </c>
      <c r="E3039" t="s">
        <v>3041</v>
      </c>
      <c r="F3039" t="s"/>
      <c r="G3039" t="s"/>
      <c r="H3039" t="s"/>
      <c r="I3039" t="s"/>
      <c r="J3039" t="n">
        <v>0.6808</v>
      </c>
      <c r="K3039" t="n">
        <v>0</v>
      </c>
      <c r="L3039" t="n">
        <v>0.781</v>
      </c>
      <c r="M3039" t="n">
        <v>0.219</v>
      </c>
    </row>
    <row r="3040" spans="1:13">
      <c r="A3040" s="1">
        <f>HYPERLINK("http://www.twitter.com/NathanBLawrence/status/965962691159515136", "965962691159515136")</f>
        <v/>
      </c>
      <c r="B3040" s="2" t="n">
        <v>43151.6206712963</v>
      </c>
      <c r="C3040" t="n">
        <v>0</v>
      </c>
      <c r="D3040" t="n">
        <v>204</v>
      </c>
      <c r="E3040" t="s">
        <v>3042</v>
      </c>
      <c r="F3040">
        <f>HYPERLINK("http://pbs.twimg.com/media/DWcgfhwVMAAhfis.jpg", "http://pbs.twimg.com/media/DWcgfhwVMAAhfis.jpg")</f>
        <v/>
      </c>
      <c r="G3040" t="s"/>
      <c r="H3040" t="s"/>
      <c r="I3040" t="s"/>
      <c r="J3040" t="n">
        <v>0.4588</v>
      </c>
      <c r="K3040" t="n">
        <v>0</v>
      </c>
      <c r="L3040" t="n">
        <v>0.8120000000000001</v>
      </c>
      <c r="M3040" t="n">
        <v>0.188</v>
      </c>
    </row>
    <row r="3041" spans="1:13">
      <c r="A3041" s="1">
        <f>HYPERLINK("http://www.twitter.com/NathanBLawrence/status/965962662961205248", "965962662961205248")</f>
        <v/>
      </c>
      <c r="B3041" s="2" t="n">
        <v>43151.62060185185</v>
      </c>
      <c r="C3041" t="n">
        <v>0</v>
      </c>
      <c r="D3041" t="n">
        <v>16</v>
      </c>
      <c r="E3041" t="s">
        <v>3043</v>
      </c>
      <c r="F3041" t="s"/>
      <c r="G3041" t="s"/>
      <c r="H3041" t="s"/>
      <c r="I3041" t="s"/>
      <c r="J3041" t="n">
        <v>-0.6899999999999999</v>
      </c>
      <c r="K3041" t="n">
        <v>0.363</v>
      </c>
      <c r="L3041" t="n">
        <v>0.637</v>
      </c>
      <c r="M3041" t="n">
        <v>0</v>
      </c>
    </row>
    <row r="3042" spans="1:13">
      <c r="A3042" s="1">
        <f>HYPERLINK("http://www.twitter.com/NathanBLawrence/status/965962597651664896", "965962597651664896")</f>
        <v/>
      </c>
      <c r="B3042" s="2" t="n">
        <v>43151.62041666666</v>
      </c>
      <c r="C3042" t="n">
        <v>0</v>
      </c>
      <c r="D3042" t="n">
        <v>280</v>
      </c>
      <c r="E3042" t="s">
        <v>3044</v>
      </c>
      <c r="F3042" t="s"/>
      <c r="G3042" t="s"/>
      <c r="H3042" t="s"/>
      <c r="I3042" t="s"/>
      <c r="J3042" t="n">
        <v>-0.7096</v>
      </c>
      <c r="K3042" t="n">
        <v>0.337</v>
      </c>
      <c r="L3042" t="n">
        <v>0.5620000000000001</v>
      </c>
      <c r="M3042" t="n">
        <v>0.1</v>
      </c>
    </row>
    <row r="3043" spans="1:13">
      <c r="A3043" s="1">
        <f>HYPERLINK("http://www.twitter.com/NathanBLawrence/status/965962557533184000", "965962557533184000")</f>
        <v/>
      </c>
      <c r="B3043" s="2" t="n">
        <v>43151.6203125</v>
      </c>
      <c r="C3043" t="n">
        <v>0</v>
      </c>
      <c r="D3043" t="n">
        <v>557</v>
      </c>
      <c r="E3043" t="s">
        <v>3045</v>
      </c>
      <c r="F3043">
        <f>HYPERLINK("https://video.twimg.com/ext_tw_video/965729769256927238/pu/vid/640x360/KfTZPWwrApK22vHe.mp4", "https://video.twimg.com/ext_tw_video/965729769256927238/pu/vid/640x360/KfTZPWwrApK22vHe.mp4")</f>
        <v/>
      </c>
      <c r="G3043" t="s"/>
      <c r="H3043" t="s"/>
      <c r="I3043" t="s"/>
      <c r="J3043" t="n">
        <v>-0.6369</v>
      </c>
      <c r="K3043" t="n">
        <v>0.224</v>
      </c>
      <c r="L3043" t="n">
        <v>0.776</v>
      </c>
      <c r="M3043" t="n">
        <v>0</v>
      </c>
    </row>
    <row r="3044" spans="1:13">
      <c r="A3044" s="1">
        <f>HYPERLINK("http://www.twitter.com/NathanBLawrence/status/965859093721354240", "965859093721354240")</f>
        <v/>
      </c>
      <c r="B3044" s="2" t="n">
        <v>43151.33480324074</v>
      </c>
      <c r="C3044" t="n">
        <v>0</v>
      </c>
      <c r="D3044" t="n">
        <v>0</v>
      </c>
      <c r="E3044" t="s">
        <v>3046</v>
      </c>
      <c r="F3044" t="s"/>
      <c r="G3044" t="s"/>
      <c r="H3044" t="s"/>
      <c r="I3044" t="s"/>
      <c r="J3044" t="n">
        <v>0</v>
      </c>
      <c r="K3044" t="n">
        <v>0</v>
      </c>
      <c r="L3044" t="n">
        <v>1</v>
      </c>
      <c r="M3044" t="n">
        <v>0</v>
      </c>
    </row>
    <row r="3045" spans="1:13">
      <c r="A3045" s="1">
        <f>HYPERLINK("http://www.twitter.com/NathanBLawrence/status/965858966294220800", "965858966294220800")</f>
        <v/>
      </c>
      <c r="B3045" s="2" t="n">
        <v>43151.33445601852</v>
      </c>
      <c r="C3045" t="n">
        <v>0</v>
      </c>
      <c r="D3045" t="n">
        <v>0</v>
      </c>
      <c r="E3045" t="s">
        <v>3047</v>
      </c>
      <c r="F3045" t="s"/>
      <c r="G3045" t="s"/>
      <c r="H3045" t="s"/>
      <c r="I3045" t="s"/>
      <c r="J3045" t="n">
        <v>0</v>
      </c>
      <c r="K3045" t="n">
        <v>0</v>
      </c>
      <c r="L3045" t="n">
        <v>1</v>
      </c>
      <c r="M3045" t="n">
        <v>0</v>
      </c>
    </row>
    <row r="3046" spans="1:13">
      <c r="A3046" s="1">
        <f>HYPERLINK("http://www.twitter.com/NathanBLawrence/status/965857898982191105", "965857898982191105")</f>
        <v/>
      </c>
      <c r="B3046" s="2" t="n">
        <v>43151.33150462963</v>
      </c>
      <c r="C3046" t="n">
        <v>4</v>
      </c>
      <c r="D3046" t="n">
        <v>0</v>
      </c>
      <c r="E3046" t="s">
        <v>3048</v>
      </c>
      <c r="F3046" t="s"/>
      <c r="G3046" t="s"/>
      <c r="H3046" t="s"/>
      <c r="I3046" t="s"/>
      <c r="J3046" t="n">
        <v>0</v>
      </c>
      <c r="K3046" t="n">
        <v>0</v>
      </c>
      <c r="L3046" t="n">
        <v>1</v>
      </c>
      <c r="M3046" t="n">
        <v>0</v>
      </c>
    </row>
    <row r="3047" spans="1:13">
      <c r="A3047" s="1">
        <f>HYPERLINK("http://www.twitter.com/NathanBLawrence/status/965857564629094400", "965857564629094400")</f>
        <v/>
      </c>
      <c r="B3047" s="2" t="n">
        <v>43151.3305787037</v>
      </c>
      <c r="C3047" t="n">
        <v>1</v>
      </c>
      <c r="D3047" t="n">
        <v>0</v>
      </c>
      <c r="E3047" t="s">
        <v>3049</v>
      </c>
      <c r="F3047" t="s"/>
      <c r="G3047" t="s"/>
      <c r="H3047" t="s"/>
      <c r="I3047" t="s"/>
      <c r="J3047" t="n">
        <v>0</v>
      </c>
      <c r="K3047" t="n">
        <v>0</v>
      </c>
      <c r="L3047" t="n">
        <v>1</v>
      </c>
      <c r="M3047" t="n">
        <v>0</v>
      </c>
    </row>
    <row r="3048" spans="1:13">
      <c r="A3048" s="1">
        <f>HYPERLINK("http://www.twitter.com/NathanBLawrence/status/965857063585959936", "965857063585959936")</f>
        <v/>
      </c>
      <c r="B3048" s="2" t="n">
        <v>43151.32920138889</v>
      </c>
      <c r="C3048" t="n">
        <v>0</v>
      </c>
      <c r="D3048" t="n">
        <v>0</v>
      </c>
      <c r="E3048" t="s">
        <v>3050</v>
      </c>
      <c r="F3048" t="s"/>
      <c r="G3048" t="s"/>
      <c r="H3048" t="s"/>
      <c r="I3048" t="s"/>
      <c r="J3048" t="n">
        <v>0</v>
      </c>
      <c r="K3048" t="n">
        <v>0</v>
      </c>
      <c r="L3048" t="n">
        <v>1</v>
      </c>
      <c r="M3048" t="n">
        <v>0</v>
      </c>
    </row>
    <row r="3049" spans="1:13">
      <c r="A3049" s="1">
        <f>HYPERLINK("http://www.twitter.com/NathanBLawrence/status/965856940231446528", "965856940231446528")</f>
        <v/>
      </c>
      <c r="B3049" s="2" t="n">
        <v>43151.32885416667</v>
      </c>
      <c r="C3049" t="n">
        <v>0</v>
      </c>
      <c r="D3049" t="n">
        <v>0</v>
      </c>
      <c r="E3049" t="s">
        <v>3051</v>
      </c>
      <c r="F3049" t="s"/>
      <c r="G3049" t="s"/>
      <c r="H3049" t="s"/>
      <c r="I3049" t="s"/>
      <c r="J3049" t="n">
        <v>0</v>
      </c>
      <c r="K3049" t="n">
        <v>0.08</v>
      </c>
      <c r="L3049" t="n">
        <v>0.8179999999999999</v>
      </c>
      <c r="M3049" t="n">
        <v>0.102</v>
      </c>
    </row>
    <row r="3050" spans="1:13">
      <c r="A3050" s="1">
        <f>HYPERLINK("http://www.twitter.com/NathanBLawrence/status/965850323913932801", "965850323913932801")</f>
        <v/>
      </c>
      <c r="B3050" s="2" t="n">
        <v>43151.31060185185</v>
      </c>
      <c r="C3050" t="n">
        <v>0</v>
      </c>
      <c r="D3050" t="n">
        <v>347</v>
      </c>
      <c r="E3050" t="s">
        <v>3052</v>
      </c>
      <c r="F3050" t="s"/>
      <c r="G3050" t="s"/>
      <c r="H3050" t="s"/>
      <c r="I3050" t="s"/>
      <c r="J3050" t="n">
        <v>-0.1027</v>
      </c>
      <c r="K3050" t="n">
        <v>0.119</v>
      </c>
      <c r="L3050" t="n">
        <v>0.779</v>
      </c>
      <c r="M3050" t="n">
        <v>0.102</v>
      </c>
    </row>
    <row r="3051" spans="1:13">
      <c r="A3051" s="1">
        <f>HYPERLINK("http://www.twitter.com/NathanBLawrence/status/965850194498727936", "965850194498727936")</f>
        <v/>
      </c>
      <c r="B3051" s="2" t="n">
        <v>43151.31024305556</v>
      </c>
      <c r="C3051" t="n">
        <v>0</v>
      </c>
      <c r="D3051" t="n">
        <v>3498</v>
      </c>
      <c r="E3051" t="s">
        <v>3053</v>
      </c>
      <c r="F3051" t="s"/>
      <c r="G3051" t="s"/>
      <c r="H3051" t="s"/>
      <c r="I3051" t="s"/>
      <c r="J3051" t="n">
        <v>-0.6249</v>
      </c>
      <c r="K3051" t="n">
        <v>0.195</v>
      </c>
      <c r="L3051" t="n">
        <v>0.805</v>
      </c>
      <c r="M3051" t="n">
        <v>0</v>
      </c>
    </row>
    <row r="3052" spans="1:13">
      <c r="A3052" s="1">
        <f>HYPERLINK("http://www.twitter.com/NathanBLawrence/status/964724749061558273", "964724749061558273")</f>
        <v/>
      </c>
      <c r="B3052" s="2" t="n">
        <v>43148.20460648148</v>
      </c>
      <c r="C3052" t="n">
        <v>0</v>
      </c>
      <c r="D3052" t="n">
        <v>4</v>
      </c>
      <c r="E3052" t="s">
        <v>3054</v>
      </c>
      <c r="F3052" t="s"/>
      <c r="G3052" t="s"/>
      <c r="H3052" t="s"/>
      <c r="I3052" t="s"/>
      <c r="J3052" t="n">
        <v>0</v>
      </c>
      <c r="K3052" t="n">
        <v>0</v>
      </c>
      <c r="L3052" t="n">
        <v>1</v>
      </c>
      <c r="M3052" t="n">
        <v>0</v>
      </c>
    </row>
    <row r="3053" spans="1:13">
      <c r="A3053" s="1">
        <f>HYPERLINK("http://www.twitter.com/NathanBLawrence/status/964723764859727872", "964723764859727872")</f>
        <v/>
      </c>
      <c r="B3053" s="2" t="n">
        <v>43148.20188657408</v>
      </c>
      <c r="C3053" t="n">
        <v>0</v>
      </c>
      <c r="D3053" t="n">
        <v>12972</v>
      </c>
      <c r="E3053" t="s">
        <v>3055</v>
      </c>
      <c r="F3053" t="s"/>
      <c r="G3053" t="s"/>
      <c r="H3053" t="s"/>
      <c r="I3053" t="s"/>
      <c r="J3053" t="n">
        <v>-0.2263</v>
      </c>
      <c r="K3053" t="n">
        <v>0.152</v>
      </c>
      <c r="L3053" t="n">
        <v>0.736</v>
      </c>
      <c r="M3053" t="n">
        <v>0.113</v>
      </c>
    </row>
    <row r="3054" spans="1:13">
      <c r="A3054" s="1">
        <f>HYPERLINK("http://www.twitter.com/NathanBLawrence/status/963917373064581121", "963917373064581121")</f>
        <v/>
      </c>
      <c r="B3054" s="2" t="n">
        <v>43145.97667824074</v>
      </c>
      <c r="C3054" t="n">
        <v>0</v>
      </c>
      <c r="D3054" t="n">
        <v>1</v>
      </c>
      <c r="E3054" t="s">
        <v>3056</v>
      </c>
      <c r="F3054" t="s"/>
      <c r="G3054" t="s"/>
      <c r="H3054" t="s"/>
      <c r="I3054" t="s"/>
      <c r="J3054" t="n">
        <v>-0.296</v>
      </c>
      <c r="K3054" t="n">
        <v>0.109</v>
      </c>
      <c r="L3054" t="n">
        <v>0.891</v>
      </c>
      <c r="M3054" t="n">
        <v>0</v>
      </c>
    </row>
    <row r="3055" spans="1:13">
      <c r="A3055" s="1">
        <f>HYPERLINK("http://www.twitter.com/NathanBLawrence/status/963917229732622336", "963917229732622336")</f>
        <v/>
      </c>
      <c r="B3055" s="2" t="n">
        <v>43145.97627314815</v>
      </c>
      <c r="C3055" t="n">
        <v>0</v>
      </c>
      <c r="D3055" t="n">
        <v>0</v>
      </c>
      <c r="E3055" t="s">
        <v>3057</v>
      </c>
      <c r="F3055" t="s"/>
      <c r="G3055" t="s"/>
      <c r="H3055" t="s"/>
      <c r="I3055" t="s"/>
      <c r="J3055" t="n">
        <v>-0.2755</v>
      </c>
      <c r="K3055" t="n">
        <v>0.345</v>
      </c>
      <c r="L3055" t="n">
        <v>0.655</v>
      </c>
      <c r="M3055" t="n">
        <v>0</v>
      </c>
    </row>
    <row r="3056" spans="1:13">
      <c r="A3056" s="1">
        <f>HYPERLINK("http://www.twitter.com/NathanBLawrence/status/963917156239978497", "963917156239978497")</f>
        <v/>
      </c>
      <c r="B3056" s="2" t="n">
        <v>43145.97607638889</v>
      </c>
      <c r="C3056" t="n">
        <v>0</v>
      </c>
      <c r="D3056" t="n">
        <v>1</v>
      </c>
      <c r="E3056" t="s">
        <v>3058</v>
      </c>
      <c r="F3056" t="s"/>
      <c r="G3056" t="s"/>
      <c r="H3056" t="s"/>
      <c r="I3056" t="s"/>
      <c r="J3056" t="n">
        <v>0</v>
      </c>
      <c r="K3056" t="n">
        <v>0</v>
      </c>
      <c r="L3056" t="n">
        <v>1</v>
      </c>
      <c r="M3056" t="n">
        <v>0</v>
      </c>
    </row>
    <row r="3057" spans="1:13">
      <c r="A3057" s="1">
        <f>HYPERLINK("http://www.twitter.com/NathanBLawrence/status/963917000073457664", "963917000073457664")</f>
        <v/>
      </c>
      <c r="B3057" s="2" t="n">
        <v>43145.97564814815</v>
      </c>
      <c r="C3057" t="n">
        <v>0</v>
      </c>
      <c r="D3057" t="n">
        <v>0</v>
      </c>
      <c r="E3057" t="s">
        <v>3059</v>
      </c>
      <c r="F3057" t="s"/>
      <c r="G3057" t="s"/>
      <c r="H3057" t="s"/>
      <c r="I3057" t="s"/>
      <c r="J3057" t="n">
        <v>-0.1779</v>
      </c>
      <c r="K3057" t="n">
        <v>0.078</v>
      </c>
      <c r="L3057" t="n">
        <v>0.864</v>
      </c>
      <c r="M3057" t="n">
        <v>0.058</v>
      </c>
    </row>
    <row r="3058" spans="1:13">
      <c r="A3058" s="1">
        <f>HYPERLINK("http://www.twitter.com/NathanBLawrence/status/963915218328973312", "963915218328973312")</f>
        <v/>
      </c>
      <c r="B3058" s="2" t="n">
        <v>43145.97072916666</v>
      </c>
      <c r="C3058" t="n">
        <v>1</v>
      </c>
      <c r="D3058" t="n">
        <v>0</v>
      </c>
      <c r="E3058" t="s">
        <v>3060</v>
      </c>
      <c r="F3058" t="s"/>
      <c r="G3058" t="s"/>
      <c r="H3058" t="s"/>
      <c r="I3058" t="s"/>
      <c r="J3058" t="n">
        <v>-0.5106000000000001</v>
      </c>
      <c r="K3058" t="n">
        <v>0.269</v>
      </c>
      <c r="L3058" t="n">
        <v>0.64</v>
      </c>
      <c r="M3058" t="n">
        <v>0.091</v>
      </c>
    </row>
    <row r="3059" spans="1:13">
      <c r="A3059" s="1">
        <f>HYPERLINK("http://www.twitter.com/NathanBLawrence/status/963914385705066497", "963914385705066497")</f>
        <v/>
      </c>
      <c r="B3059" s="2" t="n">
        <v>43145.96842592592</v>
      </c>
      <c r="C3059" t="n">
        <v>0</v>
      </c>
      <c r="D3059" t="n">
        <v>7779</v>
      </c>
      <c r="E3059" t="s">
        <v>3061</v>
      </c>
      <c r="F3059" t="s"/>
      <c r="G3059" t="s"/>
      <c r="H3059" t="s"/>
      <c r="I3059" t="s"/>
      <c r="J3059" t="n">
        <v>-0.5423</v>
      </c>
      <c r="K3059" t="n">
        <v>0.199</v>
      </c>
      <c r="L3059" t="n">
        <v>0.747</v>
      </c>
      <c r="M3059" t="n">
        <v>0.054</v>
      </c>
    </row>
    <row r="3060" spans="1:13">
      <c r="A3060" s="1">
        <f>HYPERLINK("http://www.twitter.com/NathanBLawrence/status/963914034142699522", "963914034142699522")</f>
        <v/>
      </c>
      <c r="B3060" s="2" t="n">
        <v>43145.96746527778</v>
      </c>
      <c r="C3060" t="n">
        <v>0</v>
      </c>
      <c r="D3060" t="n">
        <v>0</v>
      </c>
      <c r="E3060" t="s">
        <v>3062</v>
      </c>
      <c r="F3060" t="s"/>
      <c r="G3060" t="s"/>
      <c r="H3060" t="s"/>
      <c r="I3060" t="s"/>
      <c r="J3060" t="n">
        <v>0</v>
      </c>
      <c r="K3060" t="n">
        <v>0</v>
      </c>
      <c r="L3060" t="n">
        <v>1</v>
      </c>
      <c r="M3060" t="n">
        <v>0</v>
      </c>
    </row>
    <row r="3061" spans="1:13">
      <c r="A3061" s="1">
        <f>HYPERLINK("http://www.twitter.com/NathanBLawrence/status/963911700041920512", "963911700041920512")</f>
        <v/>
      </c>
      <c r="B3061" s="2" t="n">
        <v>43145.96101851852</v>
      </c>
      <c r="C3061" t="n">
        <v>0</v>
      </c>
      <c r="D3061" t="n">
        <v>28</v>
      </c>
      <c r="E3061" t="s">
        <v>3063</v>
      </c>
      <c r="F3061" t="s"/>
      <c r="G3061" t="s"/>
      <c r="H3061" t="s"/>
      <c r="I3061" t="s"/>
      <c r="J3061" t="n">
        <v>0</v>
      </c>
      <c r="K3061" t="n">
        <v>0</v>
      </c>
      <c r="L3061" t="n">
        <v>1</v>
      </c>
      <c r="M3061" t="n">
        <v>0</v>
      </c>
    </row>
    <row r="3062" spans="1:13">
      <c r="A3062" s="1">
        <f>HYPERLINK("http://www.twitter.com/NathanBLawrence/status/963908779258589186", "963908779258589186")</f>
        <v/>
      </c>
      <c r="B3062" s="2" t="n">
        <v>43145.95296296296</v>
      </c>
      <c r="C3062" t="n">
        <v>0</v>
      </c>
      <c r="D3062" t="n">
        <v>0</v>
      </c>
      <c r="E3062" t="s">
        <v>3064</v>
      </c>
      <c r="F3062" t="s"/>
      <c r="G3062" t="s"/>
      <c r="H3062" t="s"/>
      <c r="I3062" t="s"/>
      <c r="J3062" t="n">
        <v>-0.3182</v>
      </c>
      <c r="K3062" t="n">
        <v>0.223</v>
      </c>
      <c r="L3062" t="n">
        <v>0.777</v>
      </c>
      <c r="M3062" t="n">
        <v>0</v>
      </c>
    </row>
    <row r="3063" spans="1:13">
      <c r="A3063" s="1">
        <f>HYPERLINK("http://www.twitter.com/NathanBLawrence/status/963908369873539072", "963908369873539072")</f>
        <v/>
      </c>
      <c r="B3063" s="2" t="n">
        <v>43145.95182870371</v>
      </c>
      <c r="C3063" t="n">
        <v>0</v>
      </c>
      <c r="D3063" t="n">
        <v>322</v>
      </c>
      <c r="E3063" t="s">
        <v>3065</v>
      </c>
      <c r="F3063" t="s"/>
      <c r="G3063" t="s"/>
      <c r="H3063" t="s"/>
      <c r="I3063" t="s"/>
      <c r="J3063" t="n">
        <v>0.6705</v>
      </c>
      <c r="K3063" t="n">
        <v>0.096</v>
      </c>
      <c r="L3063" t="n">
        <v>0.611</v>
      </c>
      <c r="M3063" t="n">
        <v>0.293</v>
      </c>
    </row>
    <row r="3064" spans="1:13">
      <c r="A3064" s="1">
        <f>HYPERLINK("http://www.twitter.com/NathanBLawrence/status/963908294866800642", "963908294866800642")</f>
        <v/>
      </c>
      <c r="B3064" s="2" t="n">
        <v>43145.95162037037</v>
      </c>
      <c r="C3064" t="n">
        <v>0</v>
      </c>
      <c r="D3064" t="n">
        <v>88</v>
      </c>
      <c r="E3064" t="s">
        <v>3066</v>
      </c>
      <c r="F3064" t="s"/>
      <c r="G3064" t="s"/>
      <c r="H3064" t="s"/>
      <c r="I3064" t="s"/>
      <c r="J3064" t="n">
        <v>0</v>
      </c>
      <c r="K3064" t="n">
        <v>0</v>
      </c>
      <c r="L3064" t="n">
        <v>1</v>
      </c>
      <c r="M3064" t="n">
        <v>0</v>
      </c>
    </row>
    <row r="3065" spans="1:13">
      <c r="A3065" s="1">
        <f>HYPERLINK("http://www.twitter.com/NathanBLawrence/status/963908229074956290", "963908229074956290")</f>
        <v/>
      </c>
      <c r="B3065" s="2" t="n">
        <v>43145.95144675926</v>
      </c>
      <c r="C3065" t="n">
        <v>0</v>
      </c>
      <c r="D3065" t="n">
        <v>1771</v>
      </c>
      <c r="E3065" t="s">
        <v>3067</v>
      </c>
      <c r="F3065" t="s"/>
      <c r="G3065" t="s"/>
      <c r="H3065" t="s"/>
      <c r="I3065" t="s"/>
      <c r="J3065" t="n">
        <v>0.5106000000000001</v>
      </c>
      <c r="K3065" t="n">
        <v>0</v>
      </c>
      <c r="L3065" t="n">
        <v>0.82</v>
      </c>
      <c r="M3065" t="n">
        <v>0.18</v>
      </c>
    </row>
    <row r="3066" spans="1:13">
      <c r="A3066" s="1">
        <f>HYPERLINK("http://www.twitter.com/NathanBLawrence/status/963908191540170752", "963908191540170752")</f>
        <v/>
      </c>
      <c r="B3066" s="2" t="n">
        <v>43145.95134259259</v>
      </c>
      <c r="C3066" t="n">
        <v>1</v>
      </c>
      <c r="D3066" t="n">
        <v>0</v>
      </c>
      <c r="E3066" t="s">
        <v>3068</v>
      </c>
      <c r="F3066" t="s"/>
      <c r="G3066" t="s"/>
      <c r="H3066" t="s"/>
      <c r="I3066" t="s"/>
      <c r="J3066" t="n">
        <v>0</v>
      </c>
      <c r="K3066" t="n">
        <v>0</v>
      </c>
      <c r="L3066" t="n">
        <v>1</v>
      </c>
      <c r="M3066" t="n">
        <v>0</v>
      </c>
    </row>
    <row r="3067" spans="1:13">
      <c r="A3067" s="1">
        <f>HYPERLINK("http://www.twitter.com/NathanBLawrence/status/963907730225418240", "963907730225418240")</f>
        <v/>
      </c>
      <c r="B3067" s="2" t="n">
        <v>43145.95006944444</v>
      </c>
      <c r="C3067" t="n">
        <v>0</v>
      </c>
      <c r="D3067" t="n">
        <v>14</v>
      </c>
      <c r="E3067" t="s">
        <v>3069</v>
      </c>
      <c r="F3067" t="s"/>
      <c r="G3067" t="s"/>
      <c r="H3067" t="s"/>
      <c r="I3067" t="s"/>
      <c r="J3067" t="n">
        <v>0.2885</v>
      </c>
      <c r="K3067" t="n">
        <v>0.091</v>
      </c>
      <c r="L3067" t="n">
        <v>0.771</v>
      </c>
      <c r="M3067" t="n">
        <v>0.138</v>
      </c>
    </row>
    <row r="3068" spans="1:13">
      <c r="A3068" s="1">
        <f>HYPERLINK("http://www.twitter.com/NathanBLawrence/status/963907654182686720", "963907654182686720")</f>
        <v/>
      </c>
      <c r="B3068" s="2" t="n">
        <v>43145.94984953704</v>
      </c>
      <c r="C3068" t="n">
        <v>0</v>
      </c>
      <c r="D3068" t="n">
        <v>491</v>
      </c>
      <c r="E3068" t="s">
        <v>3070</v>
      </c>
      <c r="F3068">
        <f>HYPERLINK("http://pbs.twimg.com/media/DWB4QbmVMAAs1nx.jpg", "http://pbs.twimg.com/media/DWB4QbmVMAAs1nx.jpg")</f>
        <v/>
      </c>
      <c r="G3068" t="s"/>
      <c r="H3068" t="s"/>
      <c r="I3068" t="s"/>
      <c r="J3068" t="n">
        <v>0</v>
      </c>
      <c r="K3068" t="n">
        <v>0</v>
      </c>
      <c r="L3068" t="n">
        <v>1</v>
      </c>
      <c r="M3068" t="n">
        <v>0</v>
      </c>
    </row>
    <row r="3069" spans="1:13">
      <c r="A3069" s="1">
        <f>HYPERLINK("http://www.twitter.com/NathanBLawrence/status/963906865154453504", "963906865154453504")</f>
        <v/>
      </c>
      <c r="B3069" s="2" t="n">
        <v>43145.94767361111</v>
      </c>
      <c r="C3069" t="n">
        <v>0</v>
      </c>
      <c r="D3069" t="n">
        <v>755</v>
      </c>
      <c r="E3069" t="s">
        <v>3071</v>
      </c>
      <c r="F3069" t="s"/>
      <c r="G3069" t="s"/>
      <c r="H3069" t="s"/>
      <c r="I3069" t="s"/>
      <c r="J3069" t="n">
        <v>0</v>
      </c>
      <c r="K3069" t="n">
        <v>0</v>
      </c>
      <c r="L3069" t="n">
        <v>1</v>
      </c>
      <c r="M3069" t="n">
        <v>0</v>
      </c>
    </row>
    <row r="3070" spans="1:13">
      <c r="A3070" s="1">
        <f>HYPERLINK("http://www.twitter.com/NathanBLawrence/status/963906101497532416", "963906101497532416")</f>
        <v/>
      </c>
      <c r="B3070" s="2" t="n">
        <v>43145.94556712963</v>
      </c>
      <c r="C3070" t="n">
        <v>1</v>
      </c>
      <c r="D3070" t="n">
        <v>0</v>
      </c>
      <c r="E3070" t="s">
        <v>3072</v>
      </c>
      <c r="F3070" t="s"/>
      <c r="G3070" t="s"/>
      <c r="H3070" t="s"/>
      <c r="I3070" t="s"/>
      <c r="J3070" t="n">
        <v>0.4927</v>
      </c>
      <c r="K3070" t="n">
        <v>0.116</v>
      </c>
      <c r="L3070" t="n">
        <v>0.699</v>
      </c>
      <c r="M3070" t="n">
        <v>0.185</v>
      </c>
    </row>
    <row r="3071" spans="1:13">
      <c r="A3071" s="1">
        <f>HYPERLINK("http://www.twitter.com/NathanBLawrence/status/963904781256359938", "963904781256359938")</f>
        <v/>
      </c>
      <c r="B3071" s="2" t="n">
        <v>43145.9419212963</v>
      </c>
      <c r="C3071" t="n">
        <v>0</v>
      </c>
      <c r="D3071" t="n">
        <v>3</v>
      </c>
      <c r="E3071" t="s">
        <v>3073</v>
      </c>
      <c r="F3071" t="s"/>
      <c r="G3071" t="s"/>
      <c r="H3071" t="s"/>
      <c r="I3071" t="s"/>
      <c r="J3071" t="n">
        <v>-0.5106000000000001</v>
      </c>
      <c r="K3071" t="n">
        <v>0.225</v>
      </c>
      <c r="L3071" t="n">
        <v>0.6830000000000001</v>
      </c>
      <c r="M3071" t="n">
        <v>0.092</v>
      </c>
    </row>
    <row r="3072" spans="1:13">
      <c r="A3072" s="1">
        <f>HYPERLINK("http://www.twitter.com/NathanBLawrence/status/963904698163126272", "963904698163126272")</f>
        <v/>
      </c>
      <c r="B3072" s="2" t="n">
        <v>43145.94170138889</v>
      </c>
      <c r="C3072" t="n">
        <v>0</v>
      </c>
      <c r="D3072" t="n">
        <v>3</v>
      </c>
      <c r="E3072" t="s">
        <v>3074</v>
      </c>
      <c r="F3072" t="s"/>
      <c r="G3072" t="s"/>
      <c r="H3072" t="s"/>
      <c r="I3072" t="s"/>
      <c r="J3072" t="n">
        <v>0.0772</v>
      </c>
      <c r="K3072" t="n">
        <v>0</v>
      </c>
      <c r="L3072" t="n">
        <v>0.9360000000000001</v>
      </c>
      <c r="M3072" t="n">
        <v>0.064</v>
      </c>
    </row>
    <row r="3073" spans="1:13">
      <c r="A3073" s="1">
        <f>HYPERLINK("http://www.twitter.com/NathanBLawrence/status/963904584908500992", "963904584908500992")</f>
        <v/>
      </c>
      <c r="B3073" s="2" t="n">
        <v>43145.94138888889</v>
      </c>
      <c r="C3073" t="n">
        <v>0</v>
      </c>
      <c r="D3073" t="n">
        <v>636</v>
      </c>
      <c r="E3073" t="s">
        <v>3075</v>
      </c>
      <c r="F3073">
        <f>HYPERLINK("http://pbs.twimg.com/media/C31i4ujUkAA8dzA.jpg", "http://pbs.twimg.com/media/C31i4ujUkAA8dzA.jpg")</f>
        <v/>
      </c>
      <c r="G3073">
        <f>HYPERLINK("http://pbs.twimg.com/media/C31i44IVcAEs808.jpg", "http://pbs.twimg.com/media/C31i44IVcAEs808.jpg")</f>
        <v/>
      </c>
      <c r="H3073">
        <f>HYPERLINK("http://pbs.twimg.com/media/C31i49GUoAEN5IO.jpg", "http://pbs.twimg.com/media/C31i49GUoAEN5IO.jpg")</f>
        <v/>
      </c>
      <c r="I3073">
        <f>HYPERLINK("http://pbs.twimg.com/media/C31i49HUkAEIDiG.jpg", "http://pbs.twimg.com/media/C31i49HUkAEIDiG.jpg")</f>
        <v/>
      </c>
      <c r="J3073" t="n">
        <v>0.9382</v>
      </c>
      <c r="K3073" t="n">
        <v>0</v>
      </c>
      <c r="L3073" t="n">
        <v>0.508</v>
      </c>
      <c r="M3073" t="n">
        <v>0.492</v>
      </c>
    </row>
    <row r="3074" spans="1:13">
      <c r="A3074" s="1">
        <f>HYPERLINK("http://www.twitter.com/NathanBLawrence/status/963903689562972160", "963903689562972160")</f>
        <v/>
      </c>
      <c r="B3074" s="2" t="n">
        <v>43145.93891203704</v>
      </c>
      <c r="C3074" t="n">
        <v>1</v>
      </c>
      <c r="D3074" t="n">
        <v>0</v>
      </c>
      <c r="E3074" t="s">
        <v>3076</v>
      </c>
      <c r="F3074" t="s"/>
      <c r="G3074" t="s"/>
      <c r="H3074" t="s"/>
      <c r="I3074" t="s"/>
      <c r="J3074" t="n">
        <v>-0.2716</v>
      </c>
      <c r="K3074" t="n">
        <v>0.153</v>
      </c>
      <c r="L3074" t="n">
        <v>0.764</v>
      </c>
      <c r="M3074" t="n">
        <v>0.083</v>
      </c>
    </row>
    <row r="3075" spans="1:13">
      <c r="A3075" s="1">
        <f>HYPERLINK("http://www.twitter.com/NathanBLawrence/status/963893281447972865", "963893281447972865")</f>
        <v/>
      </c>
      <c r="B3075" s="2" t="n">
        <v>43145.91019675926</v>
      </c>
      <c r="C3075" t="n">
        <v>0</v>
      </c>
      <c r="D3075" t="n">
        <v>0</v>
      </c>
      <c r="E3075" t="s">
        <v>3077</v>
      </c>
      <c r="F3075" t="s"/>
      <c r="G3075" t="s"/>
      <c r="H3075" t="s"/>
      <c r="I3075" t="s"/>
      <c r="J3075" t="n">
        <v>-0.5859</v>
      </c>
      <c r="K3075" t="n">
        <v>0.286</v>
      </c>
      <c r="L3075" t="n">
        <v>0.714</v>
      </c>
      <c r="M3075" t="n">
        <v>0</v>
      </c>
    </row>
    <row r="3076" spans="1:13">
      <c r="A3076" s="1">
        <f>HYPERLINK("http://www.twitter.com/NathanBLawrence/status/963892814596714497", "963892814596714497")</f>
        <v/>
      </c>
      <c r="B3076" s="2" t="n">
        <v>43145.90890046296</v>
      </c>
      <c r="C3076" t="n">
        <v>0</v>
      </c>
      <c r="D3076" t="n">
        <v>1269</v>
      </c>
      <c r="E3076" t="s">
        <v>3078</v>
      </c>
      <c r="F3076">
        <f>HYPERLINK("https://video.twimg.com/amplify_video/963543278061805570/vid/1280x720/PGBi8aKti7HCGBwz.mp4", "https://video.twimg.com/amplify_video/963543278061805570/vid/1280x720/PGBi8aKti7HCGBwz.mp4")</f>
        <v/>
      </c>
      <c r="G3076" t="s"/>
      <c r="H3076" t="s"/>
      <c r="I3076" t="s"/>
      <c r="J3076" t="n">
        <v>-0.7579</v>
      </c>
      <c r="K3076" t="n">
        <v>0.228</v>
      </c>
      <c r="L3076" t="n">
        <v>0.772</v>
      </c>
      <c r="M3076" t="n">
        <v>0</v>
      </c>
    </row>
    <row r="3077" spans="1:13">
      <c r="A3077" s="1">
        <f>HYPERLINK("http://www.twitter.com/NathanBLawrence/status/963892620920524801", "963892620920524801")</f>
        <v/>
      </c>
      <c r="B3077" s="2" t="n">
        <v>43145.90836805556</v>
      </c>
      <c r="C3077" t="n">
        <v>0</v>
      </c>
      <c r="D3077" t="n">
        <v>1049</v>
      </c>
      <c r="E3077" t="s">
        <v>3079</v>
      </c>
      <c r="F3077">
        <f>HYPERLINK("https://video.twimg.com/amplify_video/963526080119308288/vid/1280x720/RvnzpiDfUiqoSA6R.mp4", "https://video.twimg.com/amplify_video/963526080119308288/vid/1280x720/RvnzpiDfUiqoSA6R.mp4")</f>
        <v/>
      </c>
      <c r="G3077" t="s"/>
      <c r="H3077" t="s"/>
      <c r="I3077" t="s"/>
      <c r="J3077" t="n">
        <v>0</v>
      </c>
      <c r="K3077" t="n">
        <v>0.08</v>
      </c>
      <c r="L3077" t="n">
        <v>0.84</v>
      </c>
      <c r="M3077" t="n">
        <v>0.08</v>
      </c>
    </row>
    <row r="3078" spans="1:13">
      <c r="A3078" s="1">
        <f>HYPERLINK("http://www.twitter.com/NathanBLawrence/status/963892464892436480", "963892464892436480")</f>
        <v/>
      </c>
      <c r="B3078" s="2" t="n">
        <v>43145.90793981482</v>
      </c>
      <c r="C3078" t="n">
        <v>0</v>
      </c>
      <c r="D3078" t="n">
        <v>2</v>
      </c>
      <c r="E3078" t="s">
        <v>3080</v>
      </c>
      <c r="F3078">
        <f>HYPERLINK("http://pbs.twimg.com/media/DV3maO3XUAESuzL.jpg", "http://pbs.twimg.com/media/DV3maO3XUAESuzL.jpg")</f>
        <v/>
      </c>
      <c r="G3078" t="s"/>
      <c r="H3078" t="s"/>
      <c r="I3078" t="s"/>
      <c r="J3078" t="n">
        <v>0</v>
      </c>
      <c r="K3078" t="n">
        <v>0</v>
      </c>
      <c r="L3078" t="n">
        <v>1</v>
      </c>
      <c r="M3078" t="n">
        <v>0</v>
      </c>
    </row>
    <row r="3079" spans="1:13">
      <c r="A3079" s="1">
        <f>HYPERLINK("http://www.twitter.com/NathanBLawrence/status/963892128073035777", "963892128073035777")</f>
        <v/>
      </c>
      <c r="B3079" s="2" t="n">
        <v>43145.90701388889</v>
      </c>
      <c r="C3079" t="n">
        <v>1</v>
      </c>
      <c r="D3079" t="n">
        <v>0</v>
      </c>
      <c r="E3079" t="s">
        <v>3081</v>
      </c>
      <c r="F3079" t="s"/>
      <c r="G3079" t="s"/>
      <c r="H3079" t="s"/>
      <c r="I3079" t="s"/>
      <c r="J3079" t="n">
        <v>-0.8658</v>
      </c>
      <c r="K3079" t="n">
        <v>0.365</v>
      </c>
      <c r="L3079" t="n">
        <v>0.551</v>
      </c>
      <c r="M3079" t="n">
        <v>0.08400000000000001</v>
      </c>
    </row>
    <row r="3080" spans="1:13">
      <c r="A3080" s="1">
        <f>HYPERLINK("http://www.twitter.com/NathanBLawrence/status/963891059221848064", "963891059221848064")</f>
        <v/>
      </c>
      <c r="B3080" s="2" t="n">
        <v>43145.9040625</v>
      </c>
      <c r="C3080" t="n">
        <v>0</v>
      </c>
      <c r="D3080" t="n">
        <v>1</v>
      </c>
      <c r="E3080" t="s">
        <v>3082</v>
      </c>
      <c r="F3080" t="s"/>
      <c r="G3080" t="s"/>
      <c r="H3080" t="s"/>
      <c r="I3080" t="s"/>
      <c r="J3080" t="n">
        <v>-0.4939</v>
      </c>
      <c r="K3080" t="n">
        <v>0.138</v>
      </c>
      <c r="L3080" t="n">
        <v>0.862</v>
      </c>
      <c r="M3080" t="n">
        <v>0</v>
      </c>
    </row>
    <row r="3081" spans="1:13">
      <c r="A3081" s="1">
        <f>HYPERLINK("http://www.twitter.com/NathanBLawrence/status/963890558082134022", "963890558082134022")</f>
        <v/>
      </c>
      <c r="B3081" s="2" t="n">
        <v>43145.90267361111</v>
      </c>
      <c r="C3081" t="n">
        <v>0</v>
      </c>
      <c r="D3081" t="n">
        <v>2</v>
      </c>
      <c r="E3081" t="s">
        <v>3083</v>
      </c>
      <c r="F3081" t="s"/>
      <c r="G3081" t="s"/>
      <c r="H3081" t="s"/>
      <c r="I3081" t="s"/>
      <c r="J3081" t="n">
        <v>0.3612</v>
      </c>
      <c r="K3081" t="n">
        <v>0.138</v>
      </c>
      <c r="L3081" t="n">
        <v>0.601</v>
      </c>
      <c r="M3081" t="n">
        <v>0.261</v>
      </c>
    </row>
    <row r="3082" spans="1:13">
      <c r="A3082" s="1">
        <f>HYPERLINK("http://www.twitter.com/NathanBLawrence/status/963890464192593921", "963890464192593921")</f>
        <v/>
      </c>
      <c r="B3082" s="2" t="n">
        <v>43145.90241898148</v>
      </c>
      <c r="C3082" t="n">
        <v>0</v>
      </c>
      <c r="D3082" t="n">
        <v>2</v>
      </c>
      <c r="E3082" t="s">
        <v>3084</v>
      </c>
      <c r="F3082" t="s"/>
      <c r="G3082" t="s"/>
      <c r="H3082" t="s"/>
      <c r="I3082" t="s"/>
      <c r="J3082" t="n">
        <v>0.7506</v>
      </c>
      <c r="K3082" t="n">
        <v>0</v>
      </c>
      <c r="L3082" t="n">
        <v>0.657</v>
      </c>
      <c r="M3082" t="n">
        <v>0.343</v>
      </c>
    </row>
    <row r="3083" spans="1:13">
      <c r="A3083" s="1">
        <f>HYPERLINK("http://www.twitter.com/NathanBLawrence/status/963890248173400065", "963890248173400065")</f>
        <v/>
      </c>
      <c r="B3083" s="2" t="n">
        <v>43145.9018287037</v>
      </c>
      <c r="C3083" t="n">
        <v>0</v>
      </c>
      <c r="D3083" t="n">
        <v>4</v>
      </c>
      <c r="E3083" t="s">
        <v>3085</v>
      </c>
      <c r="F3083" t="s"/>
      <c r="G3083" t="s"/>
      <c r="H3083" t="s"/>
      <c r="I3083" t="s"/>
      <c r="J3083" t="n">
        <v>-0.4215</v>
      </c>
      <c r="K3083" t="n">
        <v>0.109</v>
      </c>
      <c r="L3083" t="n">
        <v>0.891</v>
      </c>
      <c r="M3083" t="n">
        <v>0</v>
      </c>
    </row>
    <row r="3084" spans="1:13">
      <c r="A3084" s="1">
        <f>HYPERLINK("http://www.twitter.com/NathanBLawrence/status/963890136361721856", "963890136361721856")</f>
        <v/>
      </c>
      <c r="B3084" s="2" t="n">
        <v>43145.9015162037</v>
      </c>
      <c r="C3084" t="n">
        <v>0</v>
      </c>
      <c r="D3084" t="n">
        <v>5</v>
      </c>
      <c r="E3084" t="s">
        <v>3086</v>
      </c>
      <c r="F3084" t="s"/>
      <c r="G3084" t="s"/>
      <c r="H3084" t="s"/>
      <c r="I3084" t="s"/>
      <c r="J3084" t="n">
        <v>0.4215</v>
      </c>
      <c r="K3084" t="n">
        <v>0</v>
      </c>
      <c r="L3084" t="n">
        <v>0.847</v>
      </c>
      <c r="M3084" t="n">
        <v>0.153</v>
      </c>
    </row>
    <row r="3085" spans="1:13">
      <c r="A3085" s="1">
        <f>HYPERLINK("http://www.twitter.com/NathanBLawrence/status/963890063204548608", "963890063204548608")</f>
        <v/>
      </c>
      <c r="B3085" s="2" t="n">
        <v>43145.90130787037</v>
      </c>
      <c r="C3085" t="n">
        <v>0</v>
      </c>
      <c r="D3085" t="n">
        <v>7</v>
      </c>
      <c r="E3085" t="s">
        <v>3087</v>
      </c>
      <c r="F3085" t="s"/>
      <c r="G3085" t="s"/>
      <c r="H3085" t="s"/>
      <c r="I3085" t="s"/>
      <c r="J3085" t="n">
        <v>0.6962</v>
      </c>
      <c r="K3085" t="n">
        <v>0</v>
      </c>
      <c r="L3085" t="n">
        <v>0.78</v>
      </c>
      <c r="M3085" t="n">
        <v>0.22</v>
      </c>
    </row>
    <row r="3086" spans="1:13">
      <c r="A3086" s="1">
        <f>HYPERLINK("http://www.twitter.com/NathanBLawrence/status/963889944283549697", "963889944283549697")</f>
        <v/>
      </c>
      <c r="B3086" s="2" t="n">
        <v>43145.90098379629</v>
      </c>
      <c r="C3086" t="n">
        <v>0</v>
      </c>
      <c r="D3086" t="n">
        <v>501</v>
      </c>
      <c r="E3086" t="s">
        <v>3088</v>
      </c>
      <c r="F3086" t="s"/>
      <c r="G3086" t="s"/>
      <c r="H3086" t="s"/>
      <c r="I3086" t="s"/>
      <c r="J3086" t="n">
        <v>-0.7579</v>
      </c>
      <c r="K3086" t="n">
        <v>0.245</v>
      </c>
      <c r="L3086" t="n">
        <v>0.755</v>
      </c>
      <c r="M3086" t="n">
        <v>0</v>
      </c>
    </row>
    <row r="3087" spans="1:13">
      <c r="A3087" s="1">
        <f>HYPERLINK("http://www.twitter.com/NathanBLawrence/status/963889858631659528", "963889858631659528")</f>
        <v/>
      </c>
      <c r="B3087" s="2" t="n">
        <v>43145.90075231482</v>
      </c>
      <c r="C3087" t="n">
        <v>0</v>
      </c>
      <c r="D3087" t="n">
        <v>22</v>
      </c>
      <c r="E3087" t="s">
        <v>3089</v>
      </c>
      <c r="F3087" t="s"/>
      <c r="G3087" t="s"/>
      <c r="H3087" t="s"/>
      <c r="I3087" t="s"/>
      <c r="J3087" t="n">
        <v>0.6461</v>
      </c>
      <c r="K3087" t="n">
        <v>0</v>
      </c>
      <c r="L3087" t="n">
        <v>0.8070000000000001</v>
      </c>
      <c r="M3087" t="n">
        <v>0.193</v>
      </c>
    </row>
    <row r="3088" spans="1:13">
      <c r="A3088" s="1">
        <f>HYPERLINK("http://www.twitter.com/NathanBLawrence/status/963889547175133186", "963889547175133186")</f>
        <v/>
      </c>
      <c r="B3088" s="2" t="n">
        <v>43145.89988425926</v>
      </c>
      <c r="C3088" t="n">
        <v>0</v>
      </c>
      <c r="D3088" t="n">
        <v>1815</v>
      </c>
      <c r="E3088" t="s">
        <v>3090</v>
      </c>
      <c r="F3088" t="s"/>
      <c r="G3088" t="s"/>
      <c r="H3088" t="s"/>
      <c r="I3088" t="s"/>
      <c r="J3088" t="n">
        <v>0.7262999999999999</v>
      </c>
      <c r="K3088" t="n">
        <v>0.156</v>
      </c>
      <c r="L3088" t="n">
        <v>0.499</v>
      </c>
      <c r="M3088" t="n">
        <v>0.346</v>
      </c>
    </row>
    <row r="3089" spans="1:13">
      <c r="A3089" s="1">
        <f>HYPERLINK("http://www.twitter.com/NathanBLawrence/status/963888069383479296", "963888069383479296")</f>
        <v/>
      </c>
      <c r="B3089" s="2" t="n">
        <v>43145.89581018518</v>
      </c>
      <c r="C3089" t="n">
        <v>0</v>
      </c>
      <c r="D3089" t="n">
        <v>255</v>
      </c>
      <c r="E3089" t="s">
        <v>3091</v>
      </c>
      <c r="F3089" t="s"/>
      <c r="G3089" t="s"/>
      <c r="H3089" t="s"/>
      <c r="I3089" t="s"/>
      <c r="J3089" t="n">
        <v>-0.2732</v>
      </c>
      <c r="K3089" t="n">
        <v>0.095</v>
      </c>
      <c r="L3089" t="n">
        <v>0.905</v>
      </c>
      <c r="M3089" t="n">
        <v>0</v>
      </c>
    </row>
    <row r="3090" spans="1:13">
      <c r="A3090" s="1">
        <f>HYPERLINK("http://www.twitter.com/NathanBLawrence/status/963887934540836864", "963887934540836864")</f>
        <v/>
      </c>
      <c r="B3090" s="2" t="n">
        <v>43145.89543981481</v>
      </c>
      <c r="C3090" t="n">
        <v>0</v>
      </c>
      <c r="D3090" t="n">
        <v>1862</v>
      </c>
      <c r="E3090" t="s">
        <v>3092</v>
      </c>
      <c r="F3090">
        <f>HYPERLINK("http://pbs.twimg.com/media/DUf_5vFVoAAFg-J.jpg", "http://pbs.twimg.com/media/DUf_5vFVoAAFg-J.jpg")</f>
        <v/>
      </c>
      <c r="G3090" t="s"/>
      <c r="H3090" t="s"/>
      <c r="I3090" t="s"/>
      <c r="J3090" t="n">
        <v>0.1655</v>
      </c>
      <c r="K3090" t="n">
        <v>0.054</v>
      </c>
      <c r="L3090" t="n">
        <v>0.8159999999999999</v>
      </c>
      <c r="M3090" t="n">
        <v>0.129</v>
      </c>
    </row>
    <row r="3091" spans="1:13">
      <c r="A3091" s="1">
        <f>HYPERLINK("http://www.twitter.com/NathanBLawrence/status/963886435349729283", "963886435349729283")</f>
        <v/>
      </c>
      <c r="B3091" s="2" t="n">
        <v>43145.89129629629</v>
      </c>
      <c r="C3091" t="n">
        <v>0</v>
      </c>
      <c r="D3091" t="n">
        <v>0</v>
      </c>
      <c r="E3091" t="s">
        <v>3093</v>
      </c>
      <c r="F3091" t="s"/>
      <c r="G3091" t="s"/>
      <c r="H3091" t="s"/>
      <c r="I3091" t="s"/>
      <c r="J3091" t="n">
        <v>0.5473</v>
      </c>
      <c r="K3091" t="n">
        <v>0</v>
      </c>
      <c r="L3091" t="n">
        <v>0.856</v>
      </c>
      <c r="M3091" t="n">
        <v>0.144</v>
      </c>
    </row>
    <row r="3092" spans="1:13">
      <c r="A3092" s="1">
        <f>HYPERLINK("http://www.twitter.com/NathanBLawrence/status/963885202123653120", "963885202123653120")</f>
        <v/>
      </c>
      <c r="B3092" s="2" t="n">
        <v>43145.88789351852</v>
      </c>
      <c r="C3092" t="n">
        <v>0</v>
      </c>
      <c r="D3092" t="n">
        <v>0</v>
      </c>
      <c r="E3092" t="s">
        <v>3094</v>
      </c>
      <c r="F3092" t="s"/>
      <c r="G3092" t="s"/>
      <c r="H3092" t="s"/>
      <c r="I3092" t="s"/>
      <c r="J3092" t="n">
        <v>0.4019</v>
      </c>
      <c r="K3092" t="n">
        <v>0</v>
      </c>
      <c r="L3092" t="n">
        <v>0.856</v>
      </c>
      <c r="M3092" t="n">
        <v>0.144</v>
      </c>
    </row>
    <row r="3093" spans="1:13">
      <c r="A3093" s="1">
        <f>HYPERLINK("http://www.twitter.com/NathanBLawrence/status/963884684747952128", "963884684747952128")</f>
        <v/>
      </c>
      <c r="B3093" s="2" t="n">
        <v>43145.8864699074</v>
      </c>
      <c r="C3093" t="n">
        <v>0</v>
      </c>
      <c r="D3093" t="n">
        <v>0</v>
      </c>
      <c r="E3093" t="s">
        <v>3095</v>
      </c>
      <c r="F3093" t="s"/>
      <c r="G3093" t="s"/>
      <c r="H3093" t="s"/>
      <c r="I3093" t="s"/>
      <c r="J3093" t="n">
        <v>0.3612</v>
      </c>
      <c r="K3093" t="n">
        <v>0</v>
      </c>
      <c r="L3093" t="n">
        <v>0.8</v>
      </c>
      <c r="M3093" t="n">
        <v>0.2</v>
      </c>
    </row>
    <row r="3094" spans="1:13">
      <c r="A3094" s="1">
        <f>HYPERLINK("http://www.twitter.com/NathanBLawrence/status/963884527625101314", "963884527625101314")</f>
        <v/>
      </c>
      <c r="B3094" s="2" t="n">
        <v>43145.88604166666</v>
      </c>
      <c r="C3094" t="n">
        <v>0</v>
      </c>
      <c r="D3094" t="n">
        <v>1</v>
      </c>
      <c r="E3094" t="s">
        <v>3096</v>
      </c>
      <c r="F3094" t="s"/>
      <c r="G3094" t="s"/>
      <c r="H3094" t="s"/>
      <c r="I3094" t="s"/>
      <c r="J3094" t="n">
        <v>-0.1007</v>
      </c>
      <c r="K3094" t="n">
        <v>0.214</v>
      </c>
      <c r="L3094" t="n">
        <v>0.585</v>
      </c>
      <c r="M3094" t="n">
        <v>0.201</v>
      </c>
    </row>
    <row r="3095" spans="1:13">
      <c r="A3095" s="1">
        <f>HYPERLINK("http://www.twitter.com/NathanBLawrence/status/963884444426829826", "963884444426829826")</f>
        <v/>
      </c>
      <c r="B3095" s="2" t="n">
        <v>43145.88581018519</v>
      </c>
      <c r="C3095" t="n">
        <v>0</v>
      </c>
      <c r="D3095" t="n">
        <v>2</v>
      </c>
      <c r="E3095" t="s">
        <v>3097</v>
      </c>
      <c r="F3095" t="s"/>
      <c r="G3095" t="s"/>
      <c r="H3095" t="s"/>
      <c r="I3095" t="s"/>
      <c r="J3095" t="n">
        <v>-0.2462</v>
      </c>
      <c r="K3095" t="n">
        <v>0.083</v>
      </c>
      <c r="L3095" t="n">
        <v>0.917</v>
      </c>
      <c r="M3095" t="n">
        <v>0</v>
      </c>
    </row>
    <row r="3096" spans="1:13">
      <c r="A3096" s="1">
        <f>HYPERLINK("http://www.twitter.com/NathanBLawrence/status/963884298863595521", "963884298863595521")</f>
        <v/>
      </c>
      <c r="B3096" s="2" t="n">
        <v>43145.88540509259</v>
      </c>
      <c r="C3096" t="n">
        <v>0</v>
      </c>
      <c r="D3096" t="n">
        <v>0</v>
      </c>
      <c r="E3096" t="s">
        <v>3098</v>
      </c>
      <c r="F3096" t="s"/>
      <c r="G3096" t="s"/>
      <c r="H3096" t="s"/>
      <c r="I3096" t="s"/>
      <c r="J3096" t="n">
        <v>0.6249</v>
      </c>
      <c r="K3096" t="n">
        <v>0.047</v>
      </c>
      <c r="L3096" t="n">
        <v>0.769</v>
      </c>
      <c r="M3096" t="n">
        <v>0.184</v>
      </c>
    </row>
    <row r="3097" spans="1:13">
      <c r="A3097" s="1">
        <f>HYPERLINK("http://www.twitter.com/NathanBLawrence/status/963883252665798657", "963883252665798657")</f>
        <v/>
      </c>
      <c r="B3097" s="2" t="n">
        <v>43145.88252314815</v>
      </c>
      <c r="C3097" t="n">
        <v>0</v>
      </c>
      <c r="D3097" t="n">
        <v>6</v>
      </c>
      <c r="E3097" t="s">
        <v>3099</v>
      </c>
      <c r="F3097" t="s"/>
      <c r="G3097" t="s"/>
      <c r="H3097" t="s"/>
      <c r="I3097" t="s"/>
      <c r="J3097" t="n">
        <v>0.5514</v>
      </c>
      <c r="K3097" t="n">
        <v>0</v>
      </c>
      <c r="L3097" t="n">
        <v>0.8179999999999999</v>
      </c>
      <c r="M3097" t="n">
        <v>0.182</v>
      </c>
    </row>
    <row r="3098" spans="1:13">
      <c r="A3098" s="1">
        <f>HYPERLINK("http://www.twitter.com/NathanBLawrence/status/963883156960145409", "963883156960145409")</f>
        <v/>
      </c>
      <c r="B3098" s="2" t="n">
        <v>43145.88225694445</v>
      </c>
      <c r="C3098" t="n">
        <v>0</v>
      </c>
      <c r="D3098" t="n">
        <v>0</v>
      </c>
      <c r="E3098" t="s">
        <v>3100</v>
      </c>
      <c r="F3098" t="s"/>
      <c r="G3098" t="s"/>
      <c r="H3098" t="s"/>
      <c r="I3098" t="s"/>
      <c r="J3098" t="n">
        <v>0.1779</v>
      </c>
      <c r="K3098" t="n">
        <v>0.063</v>
      </c>
      <c r="L3098" t="n">
        <v>0.854</v>
      </c>
      <c r="M3098" t="n">
        <v>0.083</v>
      </c>
    </row>
    <row r="3099" spans="1:13">
      <c r="A3099" s="1">
        <f>HYPERLINK("http://www.twitter.com/NathanBLawrence/status/963882100406607873", "963882100406607873")</f>
        <v/>
      </c>
      <c r="B3099" s="2" t="n">
        <v>43145.87934027778</v>
      </c>
      <c r="C3099" t="n">
        <v>0</v>
      </c>
      <c r="D3099" t="n">
        <v>1</v>
      </c>
      <c r="E3099" t="s">
        <v>3101</v>
      </c>
      <c r="F3099" t="s"/>
      <c r="G3099" t="s"/>
      <c r="H3099" t="s"/>
      <c r="I3099" t="s"/>
      <c r="J3099" t="n">
        <v>-0.0772</v>
      </c>
      <c r="K3099" t="n">
        <v>0.149</v>
      </c>
      <c r="L3099" t="n">
        <v>0.718</v>
      </c>
      <c r="M3099" t="n">
        <v>0.133</v>
      </c>
    </row>
    <row r="3100" spans="1:13">
      <c r="A3100" s="1">
        <f>HYPERLINK("http://www.twitter.com/NathanBLawrence/status/963881970618044416", "963881970618044416")</f>
        <v/>
      </c>
      <c r="B3100" s="2" t="n">
        <v>43145.87898148148</v>
      </c>
      <c r="C3100" t="n">
        <v>0</v>
      </c>
      <c r="D3100" t="n">
        <v>3</v>
      </c>
      <c r="E3100" t="s">
        <v>3102</v>
      </c>
      <c r="F3100" t="s"/>
      <c r="G3100" t="s"/>
      <c r="H3100" t="s"/>
      <c r="I3100" t="s"/>
      <c r="J3100" t="n">
        <v>0.4588</v>
      </c>
      <c r="K3100" t="n">
        <v>0</v>
      </c>
      <c r="L3100" t="n">
        <v>0.88</v>
      </c>
      <c r="M3100" t="n">
        <v>0.12</v>
      </c>
    </row>
    <row r="3101" spans="1:13">
      <c r="A3101" s="1">
        <f>HYPERLINK("http://www.twitter.com/NathanBLawrence/status/963881371017105408", "963881371017105408")</f>
        <v/>
      </c>
      <c r="B3101" s="2" t="n">
        <v>43145.87732638889</v>
      </c>
      <c r="C3101" t="n">
        <v>0</v>
      </c>
      <c r="D3101" t="n">
        <v>0</v>
      </c>
      <c r="E3101" t="s">
        <v>3103</v>
      </c>
      <c r="F3101" t="s"/>
      <c r="G3101" t="s"/>
      <c r="H3101" t="s"/>
      <c r="I3101" t="s"/>
      <c r="J3101" t="n">
        <v>-0.8625</v>
      </c>
      <c r="K3101" t="n">
        <v>0.164</v>
      </c>
      <c r="L3101" t="n">
        <v>0.836</v>
      </c>
      <c r="M3101" t="n">
        <v>0</v>
      </c>
    </row>
    <row r="3102" spans="1:13">
      <c r="A3102" s="1">
        <f>HYPERLINK("http://www.twitter.com/NathanBLawrence/status/963880046334283777", "963880046334283777")</f>
        <v/>
      </c>
      <c r="B3102" s="2" t="n">
        <v>43145.87366898148</v>
      </c>
      <c r="C3102" t="n">
        <v>0</v>
      </c>
      <c r="D3102" t="n">
        <v>12</v>
      </c>
      <c r="E3102" t="s">
        <v>3104</v>
      </c>
      <c r="F3102" t="s"/>
      <c r="G3102" t="s"/>
      <c r="H3102" t="s"/>
      <c r="I3102" t="s"/>
      <c r="J3102" t="n">
        <v>-0.6808</v>
      </c>
      <c r="K3102" t="n">
        <v>0.187</v>
      </c>
      <c r="L3102" t="n">
        <v>0.8129999999999999</v>
      </c>
      <c r="M3102" t="n">
        <v>0</v>
      </c>
    </row>
    <row r="3103" spans="1:13">
      <c r="A3103" s="1">
        <f>HYPERLINK("http://www.twitter.com/NathanBLawrence/status/963857956105224193", "963857956105224193")</f>
        <v/>
      </c>
      <c r="B3103" s="2" t="n">
        <v>43145.81271990741</v>
      </c>
      <c r="C3103" t="n">
        <v>0</v>
      </c>
      <c r="D3103" t="n">
        <v>3</v>
      </c>
      <c r="E3103" t="s">
        <v>3105</v>
      </c>
      <c r="F3103" t="s"/>
      <c r="G3103" t="s"/>
      <c r="H3103" t="s"/>
      <c r="I3103" t="s"/>
      <c r="J3103" t="n">
        <v>0.296</v>
      </c>
      <c r="K3103" t="n">
        <v>0</v>
      </c>
      <c r="L3103" t="n">
        <v>0.909</v>
      </c>
      <c r="M3103" t="n">
        <v>0.091</v>
      </c>
    </row>
    <row r="3104" spans="1:13">
      <c r="A3104" s="1">
        <f>HYPERLINK("http://www.twitter.com/NathanBLawrence/status/963857456769196033", "963857456769196033")</f>
        <v/>
      </c>
      <c r="B3104" s="2" t="n">
        <v>43145.81133101852</v>
      </c>
      <c r="C3104" t="n">
        <v>0</v>
      </c>
      <c r="D3104" t="n">
        <v>1</v>
      </c>
      <c r="E3104" t="s">
        <v>3106</v>
      </c>
      <c r="F3104" t="s"/>
      <c r="G3104" t="s"/>
      <c r="H3104" t="s"/>
      <c r="I3104" t="s"/>
      <c r="J3104" t="n">
        <v>-0.3758</v>
      </c>
      <c r="K3104" t="n">
        <v>0.257</v>
      </c>
      <c r="L3104" t="n">
        <v>0.547</v>
      </c>
      <c r="M3104" t="n">
        <v>0.196</v>
      </c>
    </row>
    <row r="3105" spans="1:13">
      <c r="A3105" s="1">
        <f>HYPERLINK("http://www.twitter.com/NathanBLawrence/status/963856849442410498", "963856849442410498")</f>
        <v/>
      </c>
      <c r="B3105" s="2" t="n">
        <v>43145.80966435185</v>
      </c>
      <c r="C3105" t="n">
        <v>0</v>
      </c>
      <c r="D3105" t="n">
        <v>2</v>
      </c>
      <c r="E3105" t="s">
        <v>3107</v>
      </c>
      <c r="F3105" t="s"/>
      <c r="G3105" t="s"/>
      <c r="H3105" t="s"/>
      <c r="I3105" t="s"/>
      <c r="J3105" t="n">
        <v>-0.4767</v>
      </c>
      <c r="K3105" t="n">
        <v>0.22</v>
      </c>
      <c r="L3105" t="n">
        <v>0.78</v>
      </c>
      <c r="M3105" t="n">
        <v>0</v>
      </c>
    </row>
    <row r="3106" spans="1:13">
      <c r="A3106" s="1">
        <f>HYPERLINK("http://www.twitter.com/NathanBLawrence/status/963856269579898881", "963856269579898881")</f>
        <v/>
      </c>
      <c r="B3106" s="2" t="n">
        <v>43145.80805555556</v>
      </c>
      <c r="C3106" t="n">
        <v>0</v>
      </c>
      <c r="D3106" t="n">
        <v>23</v>
      </c>
      <c r="E3106" t="s">
        <v>3108</v>
      </c>
      <c r="F3106" t="s"/>
      <c r="G3106" t="s"/>
      <c r="H3106" t="s"/>
      <c r="I3106" t="s"/>
      <c r="J3106" t="n">
        <v>0.3818</v>
      </c>
      <c r="K3106" t="n">
        <v>0</v>
      </c>
      <c r="L3106" t="n">
        <v>0.867</v>
      </c>
      <c r="M3106" t="n">
        <v>0.133</v>
      </c>
    </row>
    <row r="3107" spans="1:13">
      <c r="A3107" s="1">
        <f>HYPERLINK("http://www.twitter.com/NathanBLawrence/status/963856005221306373", "963856005221306373")</f>
        <v/>
      </c>
      <c r="B3107" s="2" t="n">
        <v>43145.80732638889</v>
      </c>
      <c r="C3107" t="n">
        <v>0</v>
      </c>
      <c r="D3107" t="n">
        <v>12</v>
      </c>
      <c r="E3107" t="s">
        <v>3109</v>
      </c>
      <c r="F3107" t="s"/>
      <c r="G3107" t="s"/>
      <c r="H3107" t="s"/>
      <c r="I3107" t="s"/>
      <c r="J3107" t="n">
        <v>-0.8442</v>
      </c>
      <c r="K3107" t="n">
        <v>0.349</v>
      </c>
      <c r="L3107" t="n">
        <v>0.651</v>
      </c>
      <c r="M3107" t="n">
        <v>0</v>
      </c>
    </row>
    <row r="3108" spans="1:13">
      <c r="A3108" s="1">
        <f>HYPERLINK("http://www.twitter.com/NathanBLawrence/status/963855911684108288", "963855911684108288")</f>
        <v/>
      </c>
      <c r="B3108" s="2" t="n">
        <v>43145.80707175926</v>
      </c>
      <c r="C3108" t="n">
        <v>0</v>
      </c>
      <c r="D3108" t="n">
        <v>0</v>
      </c>
      <c r="E3108" t="s">
        <v>3110</v>
      </c>
      <c r="F3108" t="s"/>
      <c r="G3108" t="s"/>
      <c r="H3108" t="s"/>
      <c r="I3108" t="s"/>
      <c r="J3108" t="n">
        <v>0</v>
      </c>
      <c r="K3108" t="n">
        <v>0</v>
      </c>
      <c r="L3108" t="n">
        <v>1</v>
      </c>
      <c r="M3108" t="n">
        <v>0</v>
      </c>
    </row>
    <row r="3109" spans="1:13">
      <c r="A3109" s="1">
        <f>HYPERLINK("http://www.twitter.com/NathanBLawrence/status/963855582016000000", "963855582016000000")</f>
        <v/>
      </c>
      <c r="B3109" s="2" t="n">
        <v>43145.80615740741</v>
      </c>
      <c r="C3109" t="n">
        <v>0</v>
      </c>
      <c r="D3109" t="n">
        <v>0</v>
      </c>
      <c r="E3109" t="s">
        <v>3111</v>
      </c>
      <c r="F3109" t="s"/>
      <c r="G3109" t="s"/>
      <c r="H3109" t="s"/>
      <c r="I3109" t="s"/>
      <c r="J3109" t="n">
        <v>0</v>
      </c>
      <c r="K3109" t="n">
        <v>0</v>
      </c>
      <c r="L3109" t="n">
        <v>1</v>
      </c>
      <c r="M3109" t="n">
        <v>0</v>
      </c>
    </row>
    <row r="3110" spans="1:13">
      <c r="A3110" s="1">
        <f>HYPERLINK("http://www.twitter.com/NathanBLawrence/status/963855248061358081", "963855248061358081")</f>
        <v/>
      </c>
      <c r="B3110" s="2" t="n">
        <v>43145.80524305555</v>
      </c>
      <c r="C3110" t="n">
        <v>0</v>
      </c>
      <c r="D3110" t="n">
        <v>5</v>
      </c>
      <c r="E3110" t="s">
        <v>3112</v>
      </c>
      <c r="F3110">
        <f>HYPERLINK("http://pbs.twimg.com/media/DV_hyg-X4AAFGC8.jpg", "http://pbs.twimg.com/media/DV_hyg-X4AAFGC8.jpg")</f>
        <v/>
      </c>
      <c r="G3110" t="s"/>
      <c r="H3110" t="s"/>
      <c r="I3110" t="s"/>
      <c r="J3110" t="n">
        <v>0</v>
      </c>
      <c r="K3110" t="n">
        <v>0</v>
      </c>
      <c r="L3110" t="n">
        <v>1</v>
      </c>
      <c r="M3110" t="n">
        <v>0</v>
      </c>
    </row>
    <row r="3111" spans="1:13">
      <c r="A3111" s="1">
        <f>HYPERLINK("http://www.twitter.com/NathanBLawrence/status/963855092935024640", "963855092935024640")</f>
        <v/>
      </c>
      <c r="B3111" s="2" t="n">
        <v>43145.80481481482</v>
      </c>
      <c r="C3111" t="n">
        <v>0</v>
      </c>
      <c r="D3111" t="n">
        <v>12</v>
      </c>
      <c r="E3111" t="s">
        <v>3113</v>
      </c>
      <c r="F3111" t="s"/>
      <c r="G3111" t="s"/>
      <c r="H3111" t="s"/>
      <c r="I3111" t="s"/>
      <c r="J3111" t="n">
        <v>0</v>
      </c>
      <c r="K3111" t="n">
        <v>0</v>
      </c>
      <c r="L3111" t="n">
        <v>1</v>
      </c>
      <c r="M3111" t="n">
        <v>0</v>
      </c>
    </row>
    <row r="3112" spans="1:13">
      <c r="A3112" s="1">
        <f>HYPERLINK("http://www.twitter.com/NathanBLawrence/status/963854921903804416", "963854921903804416")</f>
        <v/>
      </c>
      <c r="B3112" s="2" t="n">
        <v>43145.80434027778</v>
      </c>
      <c r="C3112" t="n">
        <v>0</v>
      </c>
      <c r="D3112" t="n">
        <v>2873</v>
      </c>
      <c r="E3112" t="s">
        <v>3114</v>
      </c>
      <c r="F3112" t="s"/>
      <c r="G3112" t="s"/>
      <c r="H3112" t="s"/>
      <c r="I3112" t="s"/>
      <c r="J3112" t="n">
        <v>-0.4215</v>
      </c>
      <c r="K3112" t="n">
        <v>0.112</v>
      </c>
      <c r="L3112" t="n">
        <v>0.846</v>
      </c>
      <c r="M3112" t="n">
        <v>0.042</v>
      </c>
    </row>
    <row r="3113" spans="1:13">
      <c r="A3113" s="1">
        <f>HYPERLINK("http://www.twitter.com/NathanBLawrence/status/963854798511538177", "963854798511538177")</f>
        <v/>
      </c>
      <c r="B3113" s="2" t="n">
        <v>43145.80400462963</v>
      </c>
      <c r="C3113" t="n">
        <v>0</v>
      </c>
      <c r="D3113" t="n">
        <v>90</v>
      </c>
      <c r="E3113" t="s">
        <v>3115</v>
      </c>
      <c r="F3113" t="s"/>
      <c r="G3113" t="s"/>
      <c r="H3113" t="s"/>
      <c r="I3113" t="s"/>
      <c r="J3113" t="n">
        <v>0.0772</v>
      </c>
      <c r="K3113" t="n">
        <v>0</v>
      </c>
      <c r="L3113" t="n">
        <v>0.9330000000000001</v>
      </c>
      <c r="M3113" t="n">
        <v>0.067</v>
      </c>
    </row>
    <row r="3114" spans="1:13">
      <c r="A3114" s="1">
        <f>HYPERLINK("http://www.twitter.com/NathanBLawrence/status/963854751686447105", "963854751686447105")</f>
        <v/>
      </c>
      <c r="B3114" s="2" t="n">
        <v>43145.80387731481</v>
      </c>
      <c r="C3114" t="n">
        <v>0</v>
      </c>
      <c r="D3114" t="n">
        <v>1279</v>
      </c>
      <c r="E3114" t="s">
        <v>3116</v>
      </c>
      <c r="F3114" t="s"/>
      <c r="G3114" t="s"/>
      <c r="H3114" t="s"/>
      <c r="I3114" t="s"/>
      <c r="J3114" t="n">
        <v>0</v>
      </c>
      <c r="K3114" t="n">
        <v>0</v>
      </c>
      <c r="L3114" t="n">
        <v>1</v>
      </c>
      <c r="M3114" t="n">
        <v>0</v>
      </c>
    </row>
    <row r="3115" spans="1:13">
      <c r="A3115" s="1">
        <f>HYPERLINK("http://www.twitter.com/NathanBLawrence/status/963854645981532160", "963854645981532160")</f>
        <v/>
      </c>
      <c r="B3115" s="2" t="n">
        <v>43145.80357638889</v>
      </c>
      <c r="C3115" t="n">
        <v>0</v>
      </c>
      <c r="D3115" t="n">
        <v>542</v>
      </c>
      <c r="E3115" t="s">
        <v>3117</v>
      </c>
      <c r="F3115" t="s"/>
      <c r="G3115" t="s"/>
      <c r="H3115" t="s"/>
      <c r="I3115" t="s"/>
      <c r="J3115" t="n">
        <v>0.0772</v>
      </c>
      <c r="K3115" t="n">
        <v>0</v>
      </c>
      <c r="L3115" t="n">
        <v>0.949</v>
      </c>
      <c r="M3115" t="n">
        <v>0.051</v>
      </c>
    </row>
    <row r="3116" spans="1:13">
      <c r="A3116" s="1">
        <f>HYPERLINK("http://www.twitter.com/NathanBLawrence/status/963854522924916741", "963854522924916741")</f>
        <v/>
      </c>
      <c r="B3116" s="2" t="n">
        <v>43145.80324074074</v>
      </c>
      <c r="C3116" t="n">
        <v>0</v>
      </c>
      <c r="D3116" t="n">
        <v>1935</v>
      </c>
      <c r="E3116" t="s">
        <v>3118</v>
      </c>
      <c r="F3116" t="s"/>
      <c r="G3116" t="s"/>
      <c r="H3116" t="s"/>
      <c r="I3116" t="s"/>
      <c r="J3116" t="n">
        <v>0.7964</v>
      </c>
      <c r="K3116" t="n">
        <v>0</v>
      </c>
      <c r="L3116" t="n">
        <v>0.36</v>
      </c>
      <c r="M3116" t="n">
        <v>0.64</v>
      </c>
    </row>
    <row r="3117" spans="1:13">
      <c r="A3117" s="1">
        <f>HYPERLINK("http://www.twitter.com/NathanBLawrence/status/963854473511755776", "963854473511755776")</f>
        <v/>
      </c>
      <c r="B3117" s="2" t="n">
        <v>43145.80310185185</v>
      </c>
      <c r="C3117" t="n">
        <v>0</v>
      </c>
      <c r="D3117" t="n">
        <v>333</v>
      </c>
      <c r="E3117" t="s">
        <v>3119</v>
      </c>
      <c r="F3117">
        <f>HYPERLINK("https://video.twimg.com/amplify_video/963818527726616576/vid/1280x720/rqUFsHmFtkecpHzB.mp4", "https://video.twimg.com/amplify_video/963818527726616576/vid/1280x720/rqUFsHmFtkecpHzB.mp4")</f>
        <v/>
      </c>
      <c r="G3117" t="s"/>
      <c r="H3117" t="s"/>
      <c r="I3117" t="s"/>
      <c r="J3117" t="n">
        <v>0.6114000000000001</v>
      </c>
      <c r="K3117" t="n">
        <v>0</v>
      </c>
      <c r="L3117" t="n">
        <v>0.8080000000000001</v>
      </c>
      <c r="M3117" t="n">
        <v>0.192</v>
      </c>
    </row>
    <row r="3118" spans="1:13">
      <c r="A3118" s="1">
        <f>HYPERLINK("http://www.twitter.com/NathanBLawrence/status/963854411280863240", "963854411280863240")</f>
        <v/>
      </c>
      <c r="B3118" s="2" t="n">
        <v>43145.80292824074</v>
      </c>
      <c r="C3118" t="n">
        <v>0</v>
      </c>
      <c r="D3118" t="n">
        <v>267</v>
      </c>
      <c r="E3118" t="s">
        <v>3120</v>
      </c>
      <c r="F3118">
        <f>HYPERLINK("http://pbs.twimg.com/media/DWAfdrIXkAAykac.jpg", "http://pbs.twimg.com/media/DWAfdrIXkAAykac.jpg")</f>
        <v/>
      </c>
      <c r="G3118" t="s"/>
      <c r="H3118" t="s"/>
      <c r="I3118" t="s"/>
      <c r="J3118" t="n">
        <v>0.34</v>
      </c>
      <c r="K3118" t="n">
        <v>0</v>
      </c>
      <c r="L3118" t="n">
        <v>0.893</v>
      </c>
      <c r="M3118" t="n">
        <v>0.107</v>
      </c>
    </row>
    <row r="3119" spans="1:13">
      <c r="A3119" s="1">
        <f>HYPERLINK("http://www.twitter.com/NathanBLawrence/status/963854233861795841", "963854233861795841")</f>
        <v/>
      </c>
      <c r="B3119" s="2" t="n">
        <v>43145.80244212963</v>
      </c>
      <c r="C3119" t="n">
        <v>0</v>
      </c>
      <c r="D3119" t="n">
        <v>74</v>
      </c>
      <c r="E3119" t="s">
        <v>3121</v>
      </c>
      <c r="F3119" t="s"/>
      <c r="G3119" t="s"/>
      <c r="H3119" t="s"/>
      <c r="I3119" t="s"/>
      <c r="J3119" t="n">
        <v>-0.1779</v>
      </c>
      <c r="K3119" t="n">
        <v>0.082</v>
      </c>
      <c r="L3119" t="n">
        <v>0.918</v>
      </c>
      <c r="M3119" t="n">
        <v>0</v>
      </c>
    </row>
    <row r="3120" spans="1:13">
      <c r="A3120" s="1">
        <f>HYPERLINK("http://www.twitter.com/NathanBLawrence/status/963854138697281537", "963854138697281537")</f>
        <v/>
      </c>
      <c r="B3120" s="2" t="n">
        <v>43145.80217592593</v>
      </c>
      <c r="C3120" t="n">
        <v>0</v>
      </c>
      <c r="D3120" t="n">
        <v>1293</v>
      </c>
      <c r="E3120" t="s">
        <v>3122</v>
      </c>
      <c r="F3120">
        <f>HYPERLINK("http://pbs.twimg.com/media/DV91ns_VAAERHrT.jpg", "http://pbs.twimg.com/media/DV91ns_VAAERHrT.jpg")</f>
        <v/>
      </c>
      <c r="G3120" t="s"/>
      <c r="H3120" t="s"/>
      <c r="I3120" t="s"/>
      <c r="J3120" t="n">
        <v>0.7121</v>
      </c>
      <c r="K3120" t="n">
        <v>0.096</v>
      </c>
      <c r="L3120" t="n">
        <v>0.624</v>
      </c>
      <c r="M3120" t="n">
        <v>0.281</v>
      </c>
    </row>
    <row r="3121" spans="1:13">
      <c r="A3121" s="1">
        <f>HYPERLINK("http://www.twitter.com/NathanBLawrence/status/963853119816904706", "963853119816904706")</f>
        <v/>
      </c>
      <c r="B3121" s="2" t="n">
        <v>43145.79936342593</v>
      </c>
      <c r="C3121" t="n">
        <v>0</v>
      </c>
      <c r="D3121" t="n">
        <v>8664</v>
      </c>
      <c r="E3121" t="s">
        <v>3123</v>
      </c>
      <c r="F3121" t="s"/>
      <c r="G3121" t="s"/>
      <c r="H3121" t="s"/>
      <c r="I3121" t="s"/>
      <c r="J3121" t="n">
        <v>0.2732</v>
      </c>
      <c r="K3121" t="n">
        <v>0.166</v>
      </c>
      <c r="L3121" t="n">
        <v>0.631</v>
      </c>
      <c r="M3121" t="n">
        <v>0.203</v>
      </c>
    </row>
    <row r="3122" spans="1:13">
      <c r="A3122" s="1">
        <f>HYPERLINK("http://www.twitter.com/NathanBLawrence/status/963853030948003841", "963853030948003841")</f>
        <v/>
      </c>
      <c r="B3122" s="2" t="n">
        <v>43145.79912037037</v>
      </c>
      <c r="C3122" t="n">
        <v>0</v>
      </c>
      <c r="D3122" t="n">
        <v>15808</v>
      </c>
      <c r="E3122" t="s">
        <v>3124</v>
      </c>
      <c r="F3122" t="s"/>
      <c r="G3122" t="s"/>
      <c r="H3122" t="s"/>
      <c r="I3122" t="s"/>
      <c r="J3122" t="n">
        <v>0</v>
      </c>
      <c r="K3122" t="n">
        <v>0</v>
      </c>
      <c r="L3122" t="n">
        <v>1</v>
      </c>
      <c r="M3122" t="n">
        <v>0</v>
      </c>
    </row>
    <row r="3123" spans="1:13">
      <c r="A3123" s="1">
        <f>HYPERLINK("http://www.twitter.com/NathanBLawrence/status/963852961180016646", "963852961180016646")</f>
        <v/>
      </c>
      <c r="B3123" s="2" t="n">
        <v>43145.79893518519</v>
      </c>
      <c r="C3123" t="n">
        <v>0</v>
      </c>
      <c r="D3123" t="n">
        <v>11328</v>
      </c>
      <c r="E3123" t="s">
        <v>3125</v>
      </c>
      <c r="F3123" t="s"/>
      <c r="G3123" t="s"/>
      <c r="H3123" t="s"/>
      <c r="I3123" t="s"/>
      <c r="J3123" t="n">
        <v>-0.5719</v>
      </c>
      <c r="K3123" t="n">
        <v>0.144</v>
      </c>
      <c r="L3123" t="n">
        <v>0.856</v>
      </c>
      <c r="M3123" t="n">
        <v>0</v>
      </c>
    </row>
    <row r="3124" spans="1:13">
      <c r="A3124" s="1">
        <f>HYPERLINK("http://www.twitter.com/NathanBLawrence/status/963852751376658432", "963852751376658432")</f>
        <v/>
      </c>
      <c r="B3124" s="2" t="n">
        <v>43145.79835648148</v>
      </c>
      <c r="C3124" t="n">
        <v>0</v>
      </c>
      <c r="D3124" t="n">
        <v>6</v>
      </c>
      <c r="E3124" t="s">
        <v>3126</v>
      </c>
      <c r="F3124" t="s"/>
      <c r="G3124" t="s"/>
      <c r="H3124" t="s"/>
      <c r="I3124" t="s"/>
      <c r="J3124" t="n">
        <v>-0.2244</v>
      </c>
      <c r="K3124" t="n">
        <v>0.091</v>
      </c>
      <c r="L3124" t="n">
        <v>0.909</v>
      </c>
      <c r="M3124" t="n">
        <v>0</v>
      </c>
    </row>
    <row r="3125" spans="1:13">
      <c r="A3125" s="1">
        <f>HYPERLINK("http://www.twitter.com/NathanBLawrence/status/963852509667299330", "963852509667299330")</f>
        <v/>
      </c>
      <c r="B3125" s="2" t="n">
        <v>43145.79768518519</v>
      </c>
      <c r="C3125" t="n">
        <v>0</v>
      </c>
      <c r="D3125" t="n">
        <v>6</v>
      </c>
      <c r="E3125" t="s">
        <v>3127</v>
      </c>
      <c r="F3125" t="s"/>
      <c r="G3125" t="s"/>
      <c r="H3125" t="s"/>
      <c r="I3125" t="s"/>
      <c r="J3125" t="n">
        <v>-0.6705</v>
      </c>
      <c r="K3125" t="n">
        <v>0.256</v>
      </c>
      <c r="L3125" t="n">
        <v>0.744</v>
      </c>
      <c r="M3125" t="n">
        <v>0</v>
      </c>
    </row>
    <row r="3126" spans="1:13">
      <c r="A3126" s="1">
        <f>HYPERLINK("http://www.twitter.com/NathanBLawrence/status/963847887728848899", "963847887728848899")</f>
        <v/>
      </c>
      <c r="B3126" s="2" t="n">
        <v>43145.78493055556</v>
      </c>
      <c r="C3126" t="n">
        <v>0</v>
      </c>
      <c r="D3126" t="n">
        <v>1</v>
      </c>
      <c r="E3126" t="s">
        <v>3128</v>
      </c>
      <c r="F3126" t="s"/>
      <c r="G3126" t="s"/>
      <c r="H3126" t="s"/>
      <c r="I3126" t="s"/>
      <c r="J3126" t="n">
        <v>0.6933</v>
      </c>
      <c r="K3126" t="n">
        <v>0</v>
      </c>
      <c r="L3126" t="n">
        <v>0.841</v>
      </c>
      <c r="M3126" t="n">
        <v>0.159</v>
      </c>
    </row>
    <row r="3127" spans="1:13">
      <c r="A3127" s="1">
        <f>HYPERLINK("http://www.twitter.com/NathanBLawrence/status/963847861128650754", "963847861128650754")</f>
        <v/>
      </c>
      <c r="B3127" s="2" t="n">
        <v>43145.78486111111</v>
      </c>
      <c r="C3127" t="n">
        <v>1</v>
      </c>
      <c r="D3127" t="n">
        <v>0</v>
      </c>
      <c r="E3127" t="s">
        <v>3129</v>
      </c>
      <c r="F3127" t="s"/>
      <c r="G3127" t="s"/>
      <c r="H3127" t="s"/>
      <c r="I3127" t="s"/>
      <c r="J3127" t="n">
        <v>0.3612</v>
      </c>
      <c r="K3127" t="n">
        <v>0</v>
      </c>
      <c r="L3127" t="n">
        <v>0.909</v>
      </c>
      <c r="M3127" t="n">
        <v>0.091</v>
      </c>
    </row>
    <row r="3128" spans="1:13">
      <c r="A3128" s="1">
        <f>HYPERLINK("http://www.twitter.com/NathanBLawrence/status/963846815702487040", "963846815702487040")</f>
        <v/>
      </c>
      <c r="B3128" s="2" t="n">
        <v>43145.78196759259</v>
      </c>
      <c r="C3128" t="n">
        <v>0</v>
      </c>
      <c r="D3128" t="n">
        <v>0</v>
      </c>
      <c r="E3128" t="s">
        <v>3130</v>
      </c>
      <c r="F3128" t="s"/>
      <c r="G3128" t="s"/>
      <c r="H3128" t="s"/>
      <c r="I3128" t="s"/>
      <c r="J3128" t="n">
        <v>-0.4497</v>
      </c>
      <c r="K3128" t="n">
        <v>0.141</v>
      </c>
      <c r="L3128" t="n">
        <v>0.859</v>
      </c>
      <c r="M3128" t="n">
        <v>0</v>
      </c>
    </row>
    <row r="3129" spans="1:13">
      <c r="A3129" s="1">
        <f>HYPERLINK("http://www.twitter.com/NathanBLawrence/status/963845219186864128", "963845219186864128")</f>
        <v/>
      </c>
      <c r="B3129" s="2" t="n">
        <v>43145.77756944444</v>
      </c>
      <c r="C3129" t="n">
        <v>0</v>
      </c>
      <c r="D3129" t="n">
        <v>1</v>
      </c>
      <c r="E3129" t="s">
        <v>3131</v>
      </c>
      <c r="F3129">
        <f>HYPERLINK("http://pbs.twimg.com/media/DWBB_JxXUAAMVns.jpg", "http://pbs.twimg.com/media/DWBB_JxXUAAMVns.jpg")</f>
        <v/>
      </c>
      <c r="G3129" t="s"/>
      <c r="H3129" t="s"/>
      <c r="I3129" t="s"/>
      <c r="J3129" t="n">
        <v>0.5719</v>
      </c>
      <c r="K3129" t="n">
        <v>0</v>
      </c>
      <c r="L3129" t="n">
        <v>0.575</v>
      </c>
      <c r="M3129" t="n">
        <v>0.425</v>
      </c>
    </row>
    <row r="3130" spans="1:13">
      <c r="A3130" s="1">
        <f>HYPERLINK("http://www.twitter.com/NathanBLawrence/status/963550368440471553", "963550368440471553")</f>
        <v/>
      </c>
      <c r="B3130" s="2" t="n">
        <v>43144.96393518519</v>
      </c>
      <c r="C3130" t="n">
        <v>0</v>
      </c>
      <c r="D3130" t="n">
        <v>0</v>
      </c>
      <c r="E3130" t="s">
        <v>3132</v>
      </c>
      <c r="F3130" t="s"/>
      <c r="G3130" t="s"/>
      <c r="H3130" t="s"/>
      <c r="I3130" t="s"/>
      <c r="J3130" t="n">
        <v>0.34</v>
      </c>
      <c r="K3130" t="n">
        <v>0</v>
      </c>
      <c r="L3130" t="n">
        <v>0.862</v>
      </c>
      <c r="M3130" t="n">
        <v>0.138</v>
      </c>
    </row>
    <row r="3131" spans="1:13">
      <c r="A3131" s="1">
        <f>HYPERLINK("http://www.twitter.com/NathanBLawrence/status/963542958795575296", "963542958795575296")</f>
        <v/>
      </c>
      <c r="B3131" s="2" t="n">
        <v>43144.9434837963</v>
      </c>
      <c r="C3131" t="n">
        <v>0</v>
      </c>
      <c r="D3131" t="n">
        <v>0</v>
      </c>
      <c r="E3131" t="s">
        <v>3133</v>
      </c>
      <c r="F3131" t="s"/>
      <c r="G3131" t="s"/>
      <c r="H3131" t="s"/>
      <c r="I3131" t="s"/>
      <c r="J3131" t="n">
        <v>0.4019</v>
      </c>
      <c r="K3131" t="n">
        <v>0</v>
      </c>
      <c r="L3131" t="n">
        <v>0.27</v>
      </c>
      <c r="M3131" t="n">
        <v>0.73</v>
      </c>
    </row>
    <row r="3132" spans="1:13">
      <c r="A3132" s="1">
        <f>HYPERLINK("http://www.twitter.com/NathanBLawrence/status/963542296414294017", "963542296414294017")</f>
        <v/>
      </c>
      <c r="B3132" s="2" t="n">
        <v>43144.9416550926</v>
      </c>
      <c r="C3132" t="n">
        <v>0</v>
      </c>
      <c r="D3132" t="n">
        <v>0</v>
      </c>
      <c r="E3132" t="s">
        <v>3134</v>
      </c>
      <c r="F3132" t="s"/>
      <c r="G3132" t="s"/>
      <c r="H3132" t="s"/>
      <c r="I3132" t="s"/>
      <c r="J3132" t="n">
        <v>0.4019</v>
      </c>
      <c r="K3132" t="n">
        <v>0</v>
      </c>
      <c r="L3132" t="n">
        <v>0.876</v>
      </c>
      <c r="M3132" t="n">
        <v>0.124</v>
      </c>
    </row>
    <row r="3133" spans="1:13">
      <c r="A3133" s="1">
        <f>HYPERLINK("http://www.twitter.com/NathanBLawrence/status/963539862988165121", "963539862988165121")</f>
        <v/>
      </c>
      <c r="B3133" s="2" t="n">
        <v>43144.93494212963</v>
      </c>
      <c r="C3133" t="n">
        <v>0</v>
      </c>
      <c r="D3133" t="n">
        <v>0</v>
      </c>
      <c r="E3133" t="s">
        <v>3135</v>
      </c>
      <c r="F3133" t="s"/>
      <c r="G3133" t="s"/>
      <c r="H3133" t="s"/>
      <c r="I3133" t="s"/>
      <c r="J3133" t="n">
        <v>0.1779</v>
      </c>
      <c r="K3133" t="n">
        <v>0.281</v>
      </c>
      <c r="L3133" t="n">
        <v>0.402</v>
      </c>
      <c r="M3133" t="n">
        <v>0.317</v>
      </c>
    </row>
    <row r="3134" spans="1:13">
      <c r="A3134" s="1">
        <f>HYPERLINK("http://www.twitter.com/NathanBLawrence/status/963536209812353030", "963536209812353030")</f>
        <v/>
      </c>
      <c r="B3134" s="2" t="n">
        <v>43144.92486111111</v>
      </c>
      <c r="C3134" t="n">
        <v>1</v>
      </c>
      <c r="D3134" t="n">
        <v>0</v>
      </c>
      <c r="E3134" t="s">
        <v>3136</v>
      </c>
      <c r="F3134" t="s"/>
      <c r="G3134" t="s"/>
      <c r="H3134" t="s"/>
      <c r="I3134" t="s"/>
      <c r="J3134" t="n">
        <v>0.9413</v>
      </c>
      <c r="K3134" t="n">
        <v>0</v>
      </c>
      <c r="L3134" t="n">
        <v>0.603</v>
      </c>
      <c r="M3134" t="n">
        <v>0.397</v>
      </c>
    </row>
    <row r="3135" spans="1:13">
      <c r="A3135" s="1">
        <f>HYPERLINK("http://www.twitter.com/NathanBLawrence/status/963531652369715200", "963531652369715200")</f>
        <v/>
      </c>
      <c r="B3135" s="2" t="n">
        <v>43144.91229166667</v>
      </c>
      <c r="C3135" t="n">
        <v>3</v>
      </c>
      <c r="D3135" t="n">
        <v>2</v>
      </c>
      <c r="E3135" t="s">
        <v>3137</v>
      </c>
      <c r="F3135" t="s"/>
      <c r="G3135" t="s"/>
      <c r="H3135" t="s"/>
      <c r="I3135" t="s"/>
      <c r="J3135" t="n">
        <v>-0.9246</v>
      </c>
      <c r="K3135" t="n">
        <v>0.227</v>
      </c>
      <c r="L3135" t="n">
        <v>0.736</v>
      </c>
      <c r="M3135" t="n">
        <v>0.037</v>
      </c>
    </row>
    <row r="3136" spans="1:13">
      <c r="A3136" s="1">
        <f>HYPERLINK("http://www.twitter.com/NathanBLawrence/status/963527311378219013", "963527311378219013")</f>
        <v/>
      </c>
      <c r="B3136" s="2" t="n">
        <v>43144.9003125</v>
      </c>
      <c r="C3136" t="n">
        <v>1</v>
      </c>
      <c r="D3136" t="n">
        <v>0</v>
      </c>
      <c r="E3136" t="s">
        <v>3138</v>
      </c>
      <c r="F3136" t="s"/>
      <c r="G3136" t="s"/>
      <c r="H3136" t="s"/>
      <c r="I3136" t="s"/>
      <c r="J3136" t="n">
        <v>0.7992</v>
      </c>
      <c r="K3136" t="n">
        <v>0.094</v>
      </c>
      <c r="L3136" t="n">
        <v>0.6850000000000001</v>
      </c>
      <c r="M3136" t="n">
        <v>0.221</v>
      </c>
    </row>
    <row r="3137" spans="1:13">
      <c r="A3137" s="1">
        <f>HYPERLINK("http://www.twitter.com/NathanBLawrence/status/963479275566518273", "963479275566518273")</f>
        <v/>
      </c>
      <c r="B3137" s="2" t="n">
        <v>43144.76775462963</v>
      </c>
      <c r="C3137" t="n">
        <v>0</v>
      </c>
      <c r="D3137" t="n">
        <v>0</v>
      </c>
      <c r="E3137" t="s">
        <v>3139</v>
      </c>
      <c r="F3137" t="s"/>
      <c r="G3137" t="s"/>
      <c r="H3137" t="s"/>
      <c r="I3137" t="s"/>
      <c r="J3137" t="n">
        <v>0</v>
      </c>
      <c r="K3137" t="n">
        <v>0</v>
      </c>
      <c r="L3137" t="n">
        <v>1</v>
      </c>
      <c r="M3137" t="n">
        <v>0</v>
      </c>
    </row>
    <row r="3138" spans="1:13">
      <c r="A3138" s="1">
        <f>HYPERLINK("http://www.twitter.com/NathanBLawrence/status/963043616263458819", "963043616263458819")</f>
        <v/>
      </c>
      <c r="B3138" s="2" t="n">
        <v>43143.56556712963</v>
      </c>
      <c r="C3138" t="n">
        <v>0</v>
      </c>
      <c r="D3138" t="n">
        <v>36</v>
      </c>
      <c r="E3138" t="s">
        <v>3140</v>
      </c>
      <c r="F3138">
        <f>HYPERLINK("http://pbs.twimg.com/media/DVstDaBW0AET_l8.jpg", "http://pbs.twimg.com/media/DVstDaBW0AET_l8.jpg")</f>
        <v/>
      </c>
      <c r="G3138" t="s"/>
      <c r="H3138" t="s"/>
      <c r="I3138" t="s"/>
      <c r="J3138" t="n">
        <v>0</v>
      </c>
      <c r="K3138" t="n">
        <v>0</v>
      </c>
      <c r="L3138" t="n">
        <v>1</v>
      </c>
      <c r="M3138" t="n">
        <v>0</v>
      </c>
    </row>
    <row r="3139" spans="1:13">
      <c r="A3139" s="1">
        <f>HYPERLINK("http://www.twitter.com/NathanBLawrence/status/963043505030516737", "963043505030516737")</f>
        <v/>
      </c>
      <c r="B3139" s="2" t="n">
        <v>43143.56525462963</v>
      </c>
      <c r="C3139" t="n">
        <v>0</v>
      </c>
      <c r="D3139" t="n">
        <v>498</v>
      </c>
      <c r="E3139" t="s">
        <v>3141</v>
      </c>
      <c r="F3139" t="s"/>
      <c r="G3139" t="s"/>
      <c r="H3139" t="s"/>
      <c r="I3139" t="s"/>
      <c r="J3139" t="n">
        <v>-0.8999</v>
      </c>
      <c r="K3139" t="n">
        <v>0.379</v>
      </c>
      <c r="L3139" t="n">
        <v>0.621</v>
      </c>
      <c r="M3139" t="n">
        <v>0</v>
      </c>
    </row>
    <row r="3140" spans="1:13">
      <c r="A3140" s="1">
        <f>HYPERLINK("http://www.twitter.com/NathanBLawrence/status/963043446901657601", "963043446901657601")</f>
        <v/>
      </c>
      <c r="B3140" s="2" t="n">
        <v>43143.56509259259</v>
      </c>
      <c r="C3140" t="n">
        <v>0</v>
      </c>
      <c r="D3140" t="n">
        <v>7</v>
      </c>
      <c r="E3140" t="s">
        <v>3142</v>
      </c>
      <c r="F3140" t="s"/>
      <c r="G3140" t="s"/>
      <c r="H3140" t="s"/>
      <c r="I3140" t="s"/>
      <c r="J3140" t="n">
        <v>0.5266999999999999</v>
      </c>
      <c r="K3140" t="n">
        <v>0.08500000000000001</v>
      </c>
      <c r="L3140" t="n">
        <v>0.698</v>
      </c>
      <c r="M3140" t="n">
        <v>0.217</v>
      </c>
    </row>
    <row r="3141" spans="1:13">
      <c r="A3141" s="1">
        <f>HYPERLINK("http://www.twitter.com/NathanBLawrence/status/963043402332991488", "963043402332991488")</f>
        <v/>
      </c>
      <c r="B3141" s="2" t="n">
        <v>43143.56497685185</v>
      </c>
      <c r="C3141" t="n">
        <v>0</v>
      </c>
      <c r="D3141" t="n">
        <v>3148</v>
      </c>
      <c r="E3141" t="s">
        <v>3143</v>
      </c>
      <c r="F3141" t="s"/>
      <c r="G3141" t="s"/>
      <c r="H3141" t="s"/>
      <c r="I3141" t="s"/>
      <c r="J3141" t="n">
        <v>0.0323</v>
      </c>
      <c r="K3141" t="n">
        <v>0.16</v>
      </c>
      <c r="L3141" t="n">
        <v>0.674</v>
      </c>
      <c r="M3141" t="n">
        <v>0.165</v>
      </c>
    </row>
    <row r="3142" spans="1:13">
      <c r="A3142" s="1">
        <f>HYPERLINK("http://www.twitter.com/NathanBLawrence/status/963043287987781632", "963043287987781632")</f>
        <v/>
      </c>
      <c r="B3142" s="2" t="n">
        <v>43143.56465277778</v>
      </c>
      <c r="C3142" t="n">
        <v>0</v>
      </c>
      <c r="D3142" t="n">
        <v>4614</v>
      </c>
      <c r="E3142" t="s">
        <v>3144</v>
      </c>
      <c r="F3142" t="s"/>
      <c r="G3142" t="s"/>
      <c r="H3142" t="s"/>
      <c r="I3142" t="s"/>
      <c r="J3142" t="n">
        <v>0.4707</v>
      </c>
      <c r="K3142" t="n">
        <v>0.122</v>
      </c>
      <c r="L3142" t="n">
        <v>0.646</v>
      </c>
      <c r="M3142" t="n">
        <v>0.232</v>
      </c>
    </row>
    <row r="3143" spans="1:13">
      <c r="A3143" s="1">
        <f>HYPERLINK("http://www.twitter.com/NathanBLawrence/status/963043188368953344", "963043188368953344")</f>
        <v/>
      </c>
      <c r="B3143" s="2" t="n">
        <v>43143.56438657407</v>
      </c>
      <c r="C3143" t="n">
        <v>0</v>
      </c>
      <c r="D3143" t="n">
        <v>9351</v>
      </c>
      <c r="E3143" t="s">
        <v>3145</v>
      </c>
      <c r="F3143" t="s"/>
      <c r="G3143" t="s"/>
      <c r="H3143" t="s"/>
      <c r="I3143" t="s"/>
      <c r="J3143" t="n">
        <v>-0.7964</v>
      </c>
      <c r="K3143" t="n">
        <v>0.288</v>
      </c>
      <c r="L3143" t="n">
        <v>0.712</v>
      </c>
      <c r="M3143" t="n">
        <v>0</v>
      </c>
    </row>
    <row r="3144" spans="1:13">
      <c r="A3144" s="1">
        <f>HYPERLINK("http://www.twitter.com/NathanBLawrence/status/963042842640871424", "963042842640871424")</f>
        <v/>
      </c>
      <c r="B3144" s="2" t="n">
        <v>43143.56342592592</v>
      </c>
      <c r="C3144" t="n">
        <v>0</v>
      </c>
      <c r="D3144" t="n">
        <v>120</v>
      </c>
      <c r="E3144" t="s">
        <v>3146</v>
      </c>
      <c r="F3144">
        <f>HYPERLINK("http://pbs.twimg.com/media/DVzmcbaUQAEEI7h.jpg", "http://pbs.twimg.com/media/DVzmcbaUQAEEI7h.jpg")</f>
        <v/>
      </c>
      <c r="G3144" t="s"/>
      <c r="H3144" t="s"/>
      <c r="I3144" t="s"/>
      <c r="J3144" t="n">
        <v>0</v>
      </c>
      <c r="K3144" t="n">
        <v>0</v>
      </c>
      <c r="L3144" t="n">
        <v>1</v>
      </c>
      <c r="M3144" t="n">
        <v>0</v>
      </c>
    </row>
    <row r="3145" spans="1:13">
      <c r="A3145" s="1">
        <f>HYPERLINK("http://www.twitter.com/NathanBLawrence/status/962897983003078656", "962897983003078656")</f>
        <v/>
      </c>
      <c r="B3145" s="2" t="n">
        <v>43143.16369212963</v>
      </c>
      <c r="C3145" t="n">
        <v>0</v>
      </c>
      <c r="D3145" t="n">
        <v>2346</v>
      </c>
      <c r="E3145" t="s">
        <v>3147</v>
      </c>
      <c r="F3145" t="s"/>
      <c r="G3145" t="s"/>
      <c r="H3145" t="s"/>
      <c r="I3145" t="s"/>
      <c r="J3145" t="n">
        <v>-0.2003</v>
      </c>
      <c r="K3145" t="n">
        <v>0.141</v>
      </c>
      <c r="L3145" t="n">
        <v>0.75</v>
      </c>
      <c r="M3145" t="n">
        <v>0.108</v>
      </c>
    </row>
    <row r="3146" spans="1:13">
      <c r="A3146" s="1">
        <f>HYPERLINK("http://www.twitter.com/NathanBLawrence/status/962897875159191553", "962897875159191553")</f>
        <v/>
      </c>
      <c r="B3146" s="2" t="n">
        <v>43143.16339120371</v>
      </c>
      <c r="C3146" t="n">
        <v>0</v>
      </c>
      <c r="D3146" t="n">
        <v>2746</v>
      </c>
      <c r="E3146" t="s">
        <v>3148</v>
      </c>
      <c r="F3146">
        <f>HYPERLINK("http://pbs.twimg.com/media/DVt6mxwUQAAiB5Y.jpg", "http://pbs.twimg.com/media/DVt6mxwUQAAiB5Y.jpg")</f>
        <v/>
      </c>
      <c r="G3146">
        <f>HYPERLINK("http://pbs.twimg.com/media/DVt6t7sUMAASQi7.jpg", "http://pbs.twimg.com/media/DVt6t7sUMAASQi7.jpg")</f>
        <v/>
      </c>
      <c r="H3146">
        <f>HYPERLINK("http://pbs.twimg.com/media/DVt6xxfVQAEFk9K.jpg", "http://pbs.twimg.com/media/DVt6xxfVQAEFk9K.jpg")</f>
        <v/>
      </c>
      <c r="I3146">
        <f>HYPERLINK("http://pbs.twimg.com/media/DVt6zkGVMAARjtR.jpg", "http://pbs.twimg.com/media/DVt6zkGVMAARjtR.jpg")</f>
        <v/>
      </c>
      <c r="J3146" t="n">
        <v>-0.25</v>
      </c>
      <c r="K3146" t="n">
        <v>0.125</v>
      </c>
      <c r="L3146" t="n">
        <v>0.875</v>
      </c>
      <c r="M3146" t="n">
        <v>0</v>
      </c>
    </row>
    <row r="3147" spans="1:13">
      <c r="A3147" s="1">
        <f>HYPERLINK("http://www.twitter.com/NathanBLawrence/status/962897608535572481", "962897608535572481")</f>
        <v/>
      </c>
      <c r="B3147" s="2" t="n">
        <v>43143.16266203704</v>
      </c>
      <c r="C3147" t="n">
        <v>0</v>
      </c>
      <c r="D3147" t="n">
        <v>128</v>
      </c>
      <c r="E3147" t="s">
        <v>3149</v>
      </c>
      <c r="F3147" t="s"/>
      <c r="G3147" t="s"/>
      <c r="H3147" t="s"/>
      <c r="I3147" t="s"/>
      <c r="J3147" t="n">
        <v>-0.8233</v>
      </c>
      <c r="K3147" t="n">
        <v>0.291</v>
      </c>
      <c r="L3147" t="n">
        <v>0.655</v>
      </c>
      <c r="M3147" t="n">
        <v>0.054</v>
      </c>
    </row>
    <row r="3148" spans="1:13">
      <c r="A3148" s="1">
        <f>HYPERLINK("http://www.twitter.com/NathanBLawrence/status/962897147434856448", "962897147434856448")</f>
        <v/>
      </c>
      <c r="B3148" s="2" t="n">
        <v>43143.16138888889</v>
      </c>
      <c r="C3148" t="n">
        <v>0</v>
      </c>
      <c r="D3148" t="n">
        <v>2287</v>
      </c>
      <c r="E3148" t="s">
        <v>3150</v>
      </c>
      <c r="F3148" t="s"/>
      <c r="G3148" t="s"/>
      <c r="H3148" t="s"/>
      <c r="I3148" t="s"/>
      <c r="J3148" t="n">
        <v>0.184</v>
      </c>
      <c r="K3148" t="n">
        <v>0.093</v>
      </c>
      <c r="L3148" t="n">
        <v>0.752</v>
      </c>
      <c r="M3148" t="n">
        <v>0.155</v>
      </c>
    </row>
    <row r="3149" spans="1:13">
      <c r="A3149" s="1">
        <f>HYPERLINK("http://www.twitter.com/NathanBLawrence/status/962896601760124928", "962896601760124928")</f>
        <v/>
      </c>
      <c r="B3149" s="2" t="n">
        <v>43143.15988425926</v>
      </c>
      <c r="C3149" t="n">
        <v>0</v>
      </c>
      <c r="D3149" t="n">
        <v>0</v>
      </c>
      <c r="E3149" t="s">
        <v>3151</v>
      </c>
      <c r="F3149" t="s"/>
      <c r="G3149" t="s"/>
      <c r="H3149" t="s"/>
      <c r="I3149" t="s"/>
      <c r="J3149" t="n">
        <v>0</v>
      </c>
      <c r="K3149" t="n">
        <v>0</v>
      </c>
      <c r="L3149" t="n">
        <v>1</v>
      </c>
      <c r="M3149" t="n">
        <v>0</v>
      </c>
    </row>
    <row r="3150" spans="1:13">
      <c r="A3150" s="1">
        <f>HYPERLINK("http://www.twitter.com/NathanBLawrence/status/962895281003036673", "962895281003036673")</f>
        <v/>
      </c>
      <c r="B3150" s="2" t="n">
        <v>43143.15623842592</v>
      </c>
      <c r="C3150" t="n">
        <v>4</v>
      </c>
      <c r="D3150" t="n">
        <v>0</v>
      </c>
      <c r="E3150" t="s">
        <v>3152</v>
      </c>
      <c r="F3150" t="s"/>
      <c r="G3150" t="s"/>
      <c r="H3150" t="s"/>
      <c r="I3150" t="s"/>
      <c r="J3150" t="n">
        <v>0</v>
      </c>
      <c r="K3150" t="n">
        <v>0</v>
      </c>
      <c r="L3150" t="n">
        <v>1</v>
      </c>
      <c r="M3150" t="n">
        <v>0</v>
      </c>
    </row>
    <row r="3151" spans="1:13">
      <c r="A3151" s="1">
        <f>HYPERLINK("http://www.twitter.com/NathanBLawrence/status/962894319396024321", "962894319396024321")</f>
        <v/>
      </c>
      <c r="B3151" s="2" t="n">
        <v>43143.15358796297</v>
      </c>
      <c r="C3151" t="n">
        <v>1</v>
      </c>
      <c r="D3151" t="n">
        <v>0</v>
      </c>
      <c r="E3151" t="s">
        <v>3153</v>
      </c>
      <c r="F3151" t="s"/>
      <c r="G3151" t="s"/>
      <c r="H3151" t="s"/>
      <c r="I3151" t="s"/>
      <c r="J3151" t="n">
        <v>0.4019</v>
      </c>
      <c r="K3151" t="n">
        <v>0</v>
      </c>
      <c r="L3151" t="n">
        <v>0.856</v>
      </c>
      <c r="M3151" t="n">
        <v>0.144</v>
      </c>
    </row>
    <row r="3152" spans="1:13">
      <c r="A3152" s="1">
        <f>HYPERLINK("http://www.twitter.com/NathanBLawrence/status/962892755746869249", "962892755746869249")</f>
        <v/>
      </c>
      <c r="B3152" s="2" t="n">
        <v>43143.14927083333</v>
      </c>
      <c r="C3152" t="n">
        <v>0</v>
      </c>
      <c r="D3152" t="n">
        <v>8528</v>
      </c>
      <c r="E3152" t="s">
        <v>3154</v>
      </c>
      <c r="F3152" t="s"/>
      <c r="G3152" t="s"/>
      <c r="H3152" t="s"/>
      <c r="I3152" t="s"/>
      <c r="J3152" t="n">
        <v>0</v>
      </c>
      <c r="K3152" t="n">
        <v>0</v>
      </c>
      <c r="L3152" t="n">
        <v>1</v>
      </c>
      <c r="M3152" t="n">
        <v>0</v>
      </c>
    </row>
    <row r="3153" spans="1:13">
      <c r="A3153" s="1">
        <f>HYPERLINK("http://www.twitter.com/NathanBLawrence/status/962892696154247170", "962892696154247170")</f>
        <v/>
      </c>
      <c r="B3153" s="2" t="n">
        <v>43143.14910879629</v>
      </c>
      <c r="C3153" t="n">
        <v>0</v>
      </c>
      <c r="D3153" t="n">
        <v>885</v>
      </c>
      <c r="E3153" t="s">
        <v>3155</v>
      </c>
      <c r="F3153" t="s"/>
      <c r="G3153" t="s"/>
      <c r="H3153" t="s"/>
      <c r="I3153" t="s"/>
      <c r="J3153" t="n">
        <v>-0.5574</v>
      </c>
      <c r="K3153" t="n">
        <v>0.167</v>
      </c>
      <c r="L3153" t="n">
        <v>0.833</v>
      </c>
      <c r="M3153" t="n">
        <v>0</v>
      </c>
    </row>
    <row r="3154" spans="1:13">
      <c r="A3154" s="1">
        <f>HYPERLINK("http://www.twitter.com/NathanBLawrence/status/962892034473447424", "962892034473447424")</f>
        <v/>
      </c>
      <c r="B3154" s="2" t="n">
        <v>43143.14728009259</v>
      </c>
      <c r="C3154" t="n">
        <v>0</v>
      </c>
      <c r="D3154" t="n">
        <v>422</v>
      </c>
      <c r="E3154" t="s">
        <v>3156</v>
      </c>
      <c r="F3154" t="s"/>
      <c r="G3154" t="s"/>
      <c r="H3154" t="s"/>
      <c r="I3154" t="s"/>
      <c r="J3154" t="n">
        <v>0</v>
      </c>
      <c r="K3154" t="n">
        <v>0</v>
      </c>
      <c r="L3154" t="n">
        <v>1</v>
      </c>
      <c r="M3154" t="n">
        <v>0</v>
      </c>
    </row>
    <row r="3155" spans="1:13">
      <c r="A3155" s="1">
        <f>HYPERLINK("http://www.twitter.com/NathanBLawrence/status/962891922913325056", "962891922913325056")</f>
        <v/>
      </c>
      <c r="B3155" s="2" t="n">
        <v>43143.14696759259</v>
      </c>
      <c r="C3155" t="n">
        <v>0</v>
      </c>
      <c r="D3155" t="n">
        <v>200</v>
      </c>
      <c r="E3155" t="s">
        <v>3157</v>
      </c>
      <c r="F3155" t="s"/>
      <c r="G3155" t="s"/>
      <c r="H3155" t="s"/>
      <c r="I3155" t="s"/>
      <c r="J3155" t="n">
        <v>0</v>
      </c>
      <c r="K3155" t="n">
        <v>0</v>
      </c>
      <c r="L3155" t="n">
        <v>1</v>
      </c>
      <c r="M3155" t="n">
        <v>0</v>
      </c>
    </row>
    <row r="3156" spans="1:13">
      <c r="A3156" s="1">
        <f>HYPERLINK("http://www.twitter.com/NathanBLawrence/status/962891740901466114", "962891740901466114")</f>
        <v/>
      </c>
      <c r="B3156" s="2" t="n">
        <v>43143.14646990741</v>
      </c>
      <c r="C3156" t="n">
        <v>0</v>
      </c>
      <c r="D3156" t="n">
        <v>503</v>
      </c>
      <c r="E3156" t="s">
        <v>3158</v>
      </c>
      <c r="F3156" t="s"/>
      <c r="G3156" t="s"/>
      <c r="H3156" t="s"/>
      <c r="I3156" t="s"/>
      <c r="J3156" t="n">
        <v>-0.5859</v>
      </c>
      <c r="K3156" t="n">
        <v>0.218</v>
      </c>
      <c r="L3156" t="n">
        <v>0.694</v>
      </c>
      <c r="M3156" t="n">
        <v>0.08799999999999999</v>
      </c>
    </row>
    <row r="3157" spans="1:13">
      <c r="A3157" s="1">
        <f>HYPERLINK("http://www.twitter.com/NathanBLawrence/status/962891530548797440", "962891530548797440")</f>
        <v/>
      </c>
      <c r="B3157" s="2" t="n">
        <v>43143.14589120371</v>
      </c>
      <c r="C3157" t="n">
        <v>0</v>
      </c>
      <c r="D3157" t="n">
        <v>650</v>
      </c>
      <c r="E3157" t="s">
        <v>3159</v>
      </c>
      <c r="F3157" t="s"/>
      <c r="G3157" t="s"/>
      <c r="H3157" t="s"/>
      <c r="I3157" t="s"/>
      <c r="J3157" t="n">
        <v>-0.0516</v>
      </c>
      <c r="K3157" t="n">
        <v>0.145</v>
      </c>
      <c r="L3157" t="n">
        <v>0.718</v>
      </c>
      <c r="M3157" t="n">
        <v>0.137</v>
      </c>
    </row>
    <row r="3158" spans="1:13">
      <c r="A3158" s="1">
        <f>HYPERLINK("http://www.twitter.com/NathanBLawrence/status/962891406728683520", "962891406728683520")</f>
        <v/>
      </c>
      <c r="B3158" s="2" t="n">
        <v>43143.14554398148</v>
      </c>
      <c r="C3158" t="n">
        <v>0</v>
      </c>
      <c r="D3158" t="n">
        <v>161</v>
      </c>
      <c r="E3158" t="s">
        <v>3160</v>
      </c>
      <c r="F3158" t="s"/>
      <c r="G3158" t="s"/>
      <c r="H3158" t="s"/>
      <c r="I3158" t="s"/>
      <c r="J3158" t="n">
        <v>-0.5266999999999999</v>
      </c>
      <c r="K3158" t="n">
        <v>0.272</v>
      </c>
      <c r="L3158" t="n">
        <v>0.543</v>
      </c>
      <c r="M3158" t="n">
        <v>0.185</v>
      </c>
    </row>
    <row r="3159" spans="1:13">
      <c r="A3159" s="1">
        <f>HYPERLINK("http://www.twitter.com/NathanBLawrence/status/962889824352002048", "962889824352002048")</f>
        <v/>
      </c>
      <c r="B3159" s="2" t="n">
        <v>43143.14118055555</v>
      </c>
      <c r="C3159" t="n">
        <v>0</v>
      </c>
      <c r="D3159" t="n">
        <v>865</v>
      </c>
      <c r="E3159" t="s">
        <v>3161</v>
      </c>
      <c r="F3159">
        <f>HYPERLINK("https://video.twimg.com/amplify_video/962876848215592960/vid/1280x720/qp-nNB2YhT3Vjcxh.mp4", "https://video.twimg.com/amplify_video/962876848215592960/vid/1280x720/qp-nNB2YhT3Vjcxh.mp4")</f>
        <v/>
      </c>
      <c r="G3159" t="s"/>
      <c r="H3159" t="s"/>
      <c r="I3159" t="s"/>
      <c r="J3159" t="n">
        <v>-0.2263</v>
      </c>
      <c r="K3159" t="n">
        <v>0.079</v>
      </c>
      <c r="L3159" t="n">
        <v>0.921</v>
      </c>
      <c r="M3159" t="n">
        <v>0</v>
      </c>
    </row>
    <row r="3160" spans="1:13">
      <c r="A3160" s="1">
        <f>HYPERLINK("http://www.twitter.com/NathanBLawrence/status/962889580331634688", "962889580331634688")</f>
        <v/>
      </c>
      <c r="B3160" s="2" t="n">
        <v>43143.14050925926</v>
      </c>
      <c r="C3160" t="n">
        <v>0</v>
      </c>
      <c r="D3160" t="n">
        <v>1766</v>
      </c>
      <c r="E3160" t="s">
        <v>3162</v>
      </c>
      <c r="F3160" t="s"/>
      <c r="G3160" t="s"/>
      <c r="H3160" t="s"/>
      <c r="I3160" t="s"/>
      <c r="J3160" t="n">
        <v>0.2023</v>
      </c>
      <c r="K3160" t="n">
        <v>0</v>
      </c>
      <c r="L3160" t="n">
        <v>0.913</v>
      </c>
      <c r="M3160" t="n">
        <v>0.08699999999999999</v>
      </c>
    </row>
    <row r="3161" spans="1:13">
      <c r="A3161" s="1">
        <f>HYPERLINK("http://www.twitter.com/NathanBLawrence/status/962889400102375424", "962889400102375424")</f>
        <v/>
      </c>
      <c r="B3161" s="2" t="n">
        <v>43143.14001157408</v>
      </c>
      <c r="C3161" t="n">
        <v>0</v>
      </c>
      <c r="D3161" t="n">
        <v>108</v>
      </c>
      <c r="E3161" t="s">
        <v>3163</v>
      </c>
      <c r="F3161" t="s"/>
      <c r="G3161" t="s"/>
      <c r="H3161" t="s"/>
      <c r="I3161" t="s"/>
      <c r="J3161" t="n">
        <v>-0.34</v>
      </c>
      <c r="K3161" t="n">
        <v>0.138</v>
      </c>
      <c r="L3161" t="n">
        <v>0.862</v>
      </c>
      <c r="M3161" t="n">
        <v>0</v>
      </c>
    </row>
    <row r="3162" spans="1:13">
      <c r="A3162" s="1">
        <f>HYPERLINK("http://www.twitter.com/NathanBLawrence/status/962889337066188800", "962889337066188800")</f>
        <v/>
      </c>
      <c r="B3162" s="2" t="n">
        <v>43143.13983796296</v>
      </c>
      <c r="C3162" t="n">
        <v>0</v>
      </c>
      <c r="D3162" t="n">
        <v>2589</v>
      </c>
      <c r="E3162" t="s">
        <v>3164</v>
      </c>
      <c r="F3162" t="s"/>
      <c r="G3162" t="s"/>
      <c r="H3162" t="s"/>
      <c r="I3162" t="s"/>
      <c r="J3162" t="n">
        <v>0.508</v>
      </c>
      <c r="K3162" t="n">
        <v>0</v>
      </c>
      <c r="L3162" t="n">
        <v>0.87</v>
      </c>
      <c r="M3162" t="n">
        <v>0.13</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2018-05-08T06:20:40Z</dcterms:created>
  <dcterms:modified xmlns:dcterms="http://purl.org/dc/terms/" xmlns:xsi="http://www.w3.org/2001/XMLSchema-instance" xsi:type="dcterms:W3CDTF">2018-05-08T06:20:40Z</dcterms:modified>
</cp:coreProperties>
</file>