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<sst xmlns="http://schemas.openxmlformats.org/spreadsheetml/2006/main" uniqueCount="3108">
  <si>
    <t>id</t>
  </si>
  <si>
    <t>created_at</t>
  </si>
  <si>
    <t>fav</t>
  </si>
  <si>
    <t>rt</t>
  </si>
  <si>
    <t>text</t>
  </si>
  <si>
    <t>media1</t>
  </si>
  <si>
    <t>media2</t>
  </si>
  <si>
    <t>media3</t>
  </si>
  <si>
    <t>media4</t>
  </si>
  <si>
    <t>compound</t>
  </si>
  <si>
    <t>neg</t>
  </si>
  <si>
    <t>neu</t>
  </si>
  <si>
    <t>pos</t>
  </si>
  <si>
    <t>The only people playing games @jaybarnes5 is you h your colluding buddies
How is he still in charge of this kangaroo court @Rep_TRichardson ?? He got busted conspiring w/ Scott Faughn to frame @EricGreitens 
You think the people of #Missouri dont know what's up?
#moleg #mogov https://t.co/f6Zv75quJO</t>
  </si>
  <si>
    <t>@jaybarnes5 has repeatedly lied
Lied about why he had 2 release reports before #Greitens jury trial
He lied about the womans testimony being consistent 
He COLLUDED with Scott Faughm
The only correct move is to shut down this COUP @Rep_TRichardson
#moleg #mogov #greasyjay https://t.co/2EUQbbUWZr</t>
  </si>
  <si>
    <t>RT @1776Stonewall: A man opened fire in an Oklahoma City restaurant, but was taken down by a concealed carry holder. . If you want to read…</t>
  </si>
  <si>
    <t>RT @magathemaga1: How is chip supposed to be viewed as credible and objective? Real question 
Meanwhile Jay Barnes colluded with Scott Fau…</t>
  </si>
  <si>
    <t>RT @CoreyLMJones: President Trump is ordering the Justice Department to investigate illegal Obama surveillance on the Trump campaign!
The…</t>
  </si>
  <si>
    <t>RT @Education4Libs: Students at Parkland are threatening to boycott their graduation if Kyle Kashuv is the valedictorian.
What do they mea…</t>
  </si>
  <si>
    <t>RT @Sticknstones4: This makes me so sad &amp;amp; angry. 
6 year old child shot 
Our state legislature does NOTHING
This spectacle between Barnes,w…</t>
  </si>
  <si>
    <t>Sarah this makes it look like an even bigger coup. He is supposed to be impartial but instead he’s anything but. Making an even bigger coup plot.
Here’s a question, did you know any of operatives who turned this consensual affair into a fake indictment?
#moleg #mogov #greitens https://t.co/RuUD9Ow3BI</t>
  </si>
  <si>
    <t>How is chip supposed to be viewed as credible and objective? Real question 
Meanwhile Jay Barnes colluded with Scott Faughn
#moleg #mogov #greitens https://t.co/8wyYEVuF54</t>
  </si>
  <si>
    <t>RT @Sticknstones4: It’s a sham !
A coup! 
A Big Ass Web of Lies
Jay Barnes, Scott Faughn , Al Watkins,  MAJOR COLLUSION
#greitens #moleg…</t>
  </si>
  <si>
    <t>RT @CStamper_: @KurtEricksonPD I wonder if Kehoe is doing anything in order to manipulate representatives and shore up allies for his own b…</t>
  </si>
  <si>
    <t>RT @Neilin1Neil: @realDonaldTrump #MoLeg is out to Delegitimize the election of Eric Greitens, and put the screws to the peoplle who electe…</t>
  </si>
  <si>
    <t>RT @FoxNews: .@POTUS: “I hope that Kim Jong Un will ultimately do what is right not only for himself but perhaps most importantly what’s ri…</t>
  </si>
  <si>
    <t>Reminder @JeffFlake sides with foreign citizens over Americans https://t.co/LQCSDuKI00</t>
  </si>
  <si>
    <t>RT @TomFitton: Spygate cover-up by DOJ/FBI/Mueller continues.  The big meetings today were just for show. @RealDonaldTrump needs to step in…</t>
  </si>
  <si>
    <t>RT @GeorgeW01735467: @foxnews https://t.co/HVuLd8FPS4</t>
  </si>
  <si>
    <t>@Neilin1Neil @BigLeague2020 @MissouriGOP @MOHouseGOP @mikeparson @Rep_TRichardson @jaybarnes5 @Mikelkehoe @robschaaf @KathieConway Vote them all out they are all crooks with a few exceptions</t>
  </si>
  <si>
    <t>RT @Neilin1Neil: @BigLeague2020 @magathemaga1 @MissouriGOP @MOHouseGOP Jay Barnes has not been forthright, and should be replaced. #Greiten…</t>
  </si>
  <si>
    <t>RT @magathemaga1: Today, I'll be standing on busy street corner with sign, "I want to know why democrats choose illegal aliens over black l…</t>
  </si>
  <si>
    <t>RT @RealJack: At least he told the truth.... for once. https://t.co/LigQl0GNrZ</t>
  </si>
  <si>
    <t>RT @strmsptr: Stopping Robert Mueller to protect us all https://t.co/6uhFQmo5Y1   too bad Dems...  you can’t pull your money out of the pot…</t>
  </si>
  <si>
    <t>RT @strmsptr: Yes #moleg. This is not shady at all 😎 #saveGovernorGreitens https://t.co/8KLn0Z5sKQ</t>
  </si>
  <si>
    <t>RT @AndrewHavKY3: STATEMENT: Legal Counsel for Greitens for Missouri and former Missouri Speaker of the House on Committee Chair @JayBarnes…</t>
  </si>
  <si>
    <t>RT @BigJShoota: 🤣😂🤣😂🤣 #GreasyJay
@MSTLGA #GreitensTrial #GreitensIndictment #MoLeg
https://t.co/u7rOszc8Bm</t>
  </si>
  <si>
    <t>RT @YearOfZero: Barnes had the tape before the indictment. He is colluding in this COUP
Your pathetic attempt at spin won’t change this
H…</t>
  </si>
  <si>
    <t>RT @President1Trump: #BREAKING: Former Trump Aide drops a bombshell, says he was approached by a second FBI informant! #ObamaGateSpyScandal…</t>
  </si>
  <si>
    <t>RT @strmsptr: Hey #moleg you are being played!!! Please see below 👇👇 https://t.co/IekYwgT0Nk</t>
  </si>
  <si>
    <t>RT @BigLeague2020: @magathemaga1 @MissouriGOP @MOHouseGOP #MOSEN #MISSOURI https://t.co/RcRKkEcR7W</t>
  </si>
  <si>
    <t>RT @magathemaga1: CONFIRMED: FBI investigating $120,000 cash payments made by corrupt West Butler County Hillbilly to #MoneyBagsAl at heart…</t>
  </si>
  <si>
    <t>#DONNYBROOKSTL
BARNES DECEIVED ALL OF US! See Hannaway’s statement. He knew about payoff by Faughn before charges filed. 
Involved in plotting coup! 
TELL Rep. RICHARDSON TO FIRE BARNES FROM GREITENS COMMITTEE!!! 
Todd.Richardson@house.mo.gov tel:573-751-4039 #donnybrookstl https://t.co/9H8JTAEkeD</t>
  </si>
  <si>
    <t>RT @MSTLGA: No Way Scott Faughn had 120,000 cash 
He lied through his teeth 
#DonnyBrookSTL  #lies #greitens #GreitensImpeachment #lihtc h…</t>
  </si>
  <si>
    <t>RT @MSTLGA: #DONNYBROOKSTL 
Sign the Petition to stop the coup against governor #greitens 
Missouri House of Representatives: Urgent! Stop…</t>
  </si>
  <si>
    <t>RT @MSTLGA: Stacey Newman LIED  
COLLUSION 
#kimshady #moleg #Greitens #donnybrookstl #GreitensImpeachment https://t.co/2VFolxJ9qf</t>
  </si>
  <si>
    <t>CONFIRMED: FBI investigating $120,000 cash payments made by corrupt West Butler County Hillbilly to #MoneyBagsAl at heart of #Soros owned prosecutor Kim Gardner’s Witch Hunt. 
Story: https://t.co/iiMxChRuaM
#donnybrookstl 
@Rep_TRichardson https://t.co/pOUi2vRJGD</t>
  </si>
  <si>
    <t>RT @ResignNowKim: @AndrewHavKY3 @jaybarnes5 BOMBSHELL: BARNES DECEIVED ALL OF US! See Hannaway’s statement. He knew about payoff by Faughn…</t>
  </si>
  <si>
    <t>RT @CStamper_: Not one journalist was tweeting about this afternoon’s #moleg testimony reading session. Quite a departure from the past two…</t>
  </si>
  <si>
    <t>RT @christoferguson: Interesting our #StL and #Missouri media seem to have been very involved in every step of this story #Moleg https://t.…</t>
  </si>
  <si>
    <t>RT @TomJEstes: If this is true...wow. #moleg #mogov https://t.co/e8f2HL83k9</t>
  </si>
  <si>
    <t>RT @christoferguson: #moleg trying to figure out who paid $120k to Watkins. https://t.co/95lbXG042F</t>
  </si>
  <si>
    <t>RT @ws_missouri: Watkins says KMOV reporter Lauren Trager, who broke the story, was in his office with a camera crew on the day when Faughn…</t>
  </si>
  <si>
    <t>https://t.co/D9BPedEiS7</t>
  </si>
  <si>
    <t>RT @magathemaga1: What about today's deposition? 
Why havent you tweeted about it?
#moleg #mogov #Greitens https://t.co/6XPIpfNeuY</t>
  </si>
  <si>
    <t>RT @magathemaga1: You should ask your median conspirators why they didnt live tweet about the deposition today.
#moleg #mogov #Greitens ht…</t>
  </si>
  <si>
    <t>RT @dbongino: Suggestion. Learn the difference between the ramifications of a private entity’s decision making, and a government edict, bef…</t>
  </si>
  <si>
    <t>You should ask your median conspirators why they didnt live tweet about the deposition today.
#moleg #mogov #Greitens https://t.co/KvliUuh40b</t>
  </si>
  <si>
    <t>What about today's deposition? 
Why havent you tweeted about it?
#moleg #mogov #Greitens https://t.co/6XPIpfNeuY</t>
  </si>
  <si>
    <t>RT @magathemaga1: #MOLEG Reads KS DEPOSITIONS INTO RECORD... yet media won’t report....
Wonder why?
We are waiting .... it’s almost as if…</t>
  </si>
  <si>
    <t>@stevegardendeli @sweetatertot2
@brianontheair @sally_0508 @sb65
@speedy62269 @jeffquibell
@kenprier @bigleague2020
@rjferryjr @ali @gagemitchusson @cturtle31 @thenewright @karmMichele @angelalily0501 @plwy31 @blackboxhalo @wu_ferguson @shesova @NSFMill
@daynagould @grcfay</t>
  </si>
  <si>
    <t>@TweepleBug @paulmaga45 @ed_grimly @6079__Smith_W @joel_capizzi @juliematthews50 @971FMTalk @jbro_1776 @JAllman @HawleySightings @Pantszilla77 @Beatlebaby64 @88YahamaKeys @YearOfZero @blackwidow07 @BigJShoota @tracey_vinsand @TuckerCarlson @seanhannity @JW1057 @ArthurSchwartz</t>
  </si>
  <si>
    <t>#MOLEG Reads KS DEPOSITIONS INTO RECORD... yet media won’t report....
Wonder why?
We are waiting .... it’s almost as if the media is completely biased and the enemy of the American people and the enemy of the Missouri voters 
#moleg #mogov #greitens 
@MissouriGOP @MOHouseGOP https://t.co/2B1bTo1OKN</t>
  </si>
  <si>
    <t>RT @YearOfZero: Hey Jason, how come nobody is live tweeting the deposition today? 
Are journalists mad it will exonerate @EricGreitens ??…</t>
  </si>
  <si>
    <t>RT @YearOfZero: How come you didn’t live tweet it? Exonerating material for @EricGreitens 
#moleg #greitens https://t.co/jHiunNufJp</t>
  </si>
  <si>
    <t>RT @YearOfZero: There is no photo.
Also, if she was so concerned about that, why did she later nude FaceTime with him?
You can keep pushi…</t>
  </si>
  <si>
    <t>RT @YearOfZero: This is just ludicrous. 
They conspired to turn a consensual affair into an indictment based on a made up crime. It’s actu…</t>
  </si>
  <si>
    <t>RT @YearOfZero: Well, given you live tweeted yesterday all about the deposition out of context stuff but today aren’t tweeting at all... on…</t>
  </si>
  <si>
    <t>RT @YearOfZero: @CStamper_ Dude ive been saying the same thing. No tweets at all yet yesterday they just gave answers without proper contex…</t>
  </si>
  <si>
    <t>@karmamichele Love how RFT tries to mock it, despite the fact its correct 
Soros bought Kim Gardner
Stacey Newman colluded with CAO and the house to engineer the crime.
Kim gardner indicted without probable or cause or evidence
She lied to GJ 
Affair consensual 
Its accurate @sarahfenske</t>
  </si>
  <si>
    <t>RT @ResignNowKim: @ws_missouri BOOM!!! Will- maybe you should start asking “who wasn’t involved” in the choreographing and staging of this…</t>
  </si>
  <si>
    <t>RT @SKOLBLUE1: @ws_missouri @SDienerNews @LaurenTrager @KMOV Your news station was well aware of this cash payment, but chose not to report…</t>
  </si>
  <si>
    <t>Media is complicit
#moleg https://t.co/YZjsEOQ1ao</t>
  </si>
  <si>
    <t>RT @JulespHamilton: Bannon: 'The mainstream media is basically a communications department for the global elite'. https://t.co/0r8UkHzC2A</t>
  </si>
  <si>
    <t>RT @DevinNunes: Great take...this guy is the best! https://t.co/sxGk5BQjCO</t>
  </si>
  <si>
    <t>@JPRadioMofo @Mizzourah_Mom
@Neilin1Neil @RJFerryJr
@MarthaEW @314TruthSeeker
@Kootiekat0507 @NSFMill
@ResignNowKim @CJheartart
@refluffednest @RealTravisCook
@Lautergeist @Norasmith1000
@for_congress @sigi_hill
@ljames2018 @Hope4Hopeless1
@KenPrier @juliematthews50
@suchhate</t>
  </si>
  <si>
    <t>RT @magathemaga1: LIVE PHOTO FROM JEFF CITY STAR CHAMBER, FAUGHN GETS AWAY WITH THE FRAME JOB!
Citizens are fuming.
But what can they do?…</t>
  </si>
  <si>
    <t>RT @parscale: The Silicon Valley left attempts to build a culture around "tolerance". Yet they use their nearly unlimited power to silence…</t>
  </si>
  <si>
    <t>RT @realDonaldTrump: Not surprisingly, the GREAT Men &amp;amp; Women of the FBI are starting to speak out against Comey, McCabe and all of the poli…</t>
  </si>
  <si>
    <t>RT @CJheartart: Really Al Watkins? @curtisdtrent  @gcmitts   @jaybarnes5  @RadioFreeAllman @KevinLAustin1  #moleg https://t.co/g4i5yPz25G</t>
  </si>
  <si>
    <t>RT @Sticknstones4: Eny Meny Mini Mo 
Which one is lying 
Al , Scott or both ?
#greitens #moleg  #felonfaughn #followthemoney #missouripo…</t>
  </si>
  <si>
    <t>RT @chase_babcock: You lied under oath and illegally spied on private citizens. https://t.co/EmZ8vBV4rY</t>
  </si>
  <si>
    <t>RT @mdtokayer: @DavidAFrench @NRO This comparison is dumb as a rock.  The NFL is not censoring anyone and not telling anyone what they can…</t>
  </si>
  <si>
    <t>This is why cuckservatives dont win.
This is not only dumb, its not conservative.  The customers are speaking and the factory worker is changing the widget so the customer still wants to buy it.
Another loser cuckservative. Google is censoring people. https://t.co/k3u7CiRvWd</t>
  </si>
  <si>
    <t>RT @JesseKellyDC: "Surrender the culture war to the Left in the name of conservatism" is pretty much exactly how Donald Trump stormed throu…</t>
  </si>
  <si>
    <t>RT @joelpollak: Remember all the Obama alums who said @realDonaldTrump was going to give Kim Jong-un a meeting and get nothing in return?…</t>
  </si>
  <si>
    <t>RT @benshapiro: NK tried to leverage Trump and he pulled out instead. That’s what he’s supposed to do.</t>
  </si>
  <si>
    <t>RT @1776Stonewall: Ari Fleischer is right, says "Kim Jong Un was trying to do what his father and grandfather always did, they make deals,…</t>
  </si>
  <si>
    <t>RT @MSTLGA: #DONNYBROOKSTL. 
Ray Hartman, I did not appreciate your anti Semitic reference about governor greitens on TWIMP 
Just because…</t>
  </si>
  <si>
    <t>This is simply incorrect. 
#SpyGate https://t.co/A6YUvXBp1Q</t>
  </si>
  <si>
    <t>RT @FoxNews: .@POTUS: “No matter what happens, and what we do, we will never ever compromise the safety and security of the United States o…</t>
  </si>
  <si>
    <t>LIVE PHOTO FROM JEFF CITY STAR CHAMBER, FAUGHN GETS AWAY WITH THE FRAME JOB!
Citizens are fuming.
But what can they do?
Time for the citizens to begin to plan to vote all these corrupt RINOS OUT 
FOLLOW THE MONEY
#moleg #mogov #greitens #missouri #MoSen #stl @MissouriGOP https://t.co/iVoqtQBlKi</t>
  </si>
  <si>
    <t>I’m going to do a chart on all the PACS running from Low Income Tax Credit People, PACs and banks to #moleg members 
I’m hoping some journalist or maybe the FBI is doing this. But think of this chart as a Birdseye view of how the tax credit money flows 
#moleg #mogov #greitens https://t.co/fz5BBsg2d7</t>
  </si>
  <si>
    <t>@Briligerent @CStamper_ Lol.</t>
  </si>
  <si>
    <t>@ssullivan09 @CStamper_ The media and thread same “operatives” as everybody says on #moleg will misrepresent this story if this got tips, they will investigate all of them. That doesn’t mean anything. But they are no doubt investigating the money being dropped off and how this COUP plot started #mogov</t>
  </si>
  <si>
    <t>@ssullivan09 @CStamper_ The FBI is the investigative arm of our government. They investigate all leads, even phony ones from consultants who were paid to take down #Greitens ... notice how some people were tweeting about Greitens drip to Walgreen. I’d wager it’s the same folks</t>
  </si>
  <si>
    <t>RT @MSTLGA: Scott Faughn vs Al Watkins
Which one is the Liar ?
Who Gave The $ 120,000
#DonnyBrookStl #greitens #moleg 
#lie #moneybagsAl…</t>
  </si>
  <si>
    <t>RT @CStamper_: CONFIRMED: FBI investigating $120,000 cash payments made by corrupt media member to attorney at center of Soros-backed prose…</t>
  </si>
  <si>
    <t>Al Watkins is a liar and Roy Temple and Chris Koster likely didn’t run it because Koster was also seeing the hairdresser. 
Tell the truth journalists!
#moleg #mogov #greitens https://t.co/RCaLAO9Dpx</t>
  </si>
  <si>
    <t>And also asked about where Al Watkins money came from. Bias by omission. Just cuz rumor was leaked by consultants to FBI does not mean anything. The fbi is the investigative arm. They investigate all leads. 
Follow money indeed. Quit trying 2 distract
#moleg #mogov #greitens https://t.co/heLCj48lgq</t>
  </si>
  <si>
    <t>So Kim Gardner indicted a man without evidence. 
Lies to a GJ
Drags his name through the mud.
The woman lies and lies 
Eric’s name is dragged through the mud. 
And this is how you spin it?
What is wrong with you?
This is injustice.
#moleg #mogov #greitens https://t.co/rV2N6V6wKX</t>
  </si>
  <si>
    <t>@atlasttrump1 @txsecuritygal
@tommyhubb @catdeeann
@monie1948 @tracey_vinsand
@deplorablesunny @midwestjanbro
@pantszilla77 @comesummer30
@Flyover_county @Kootiekat0507
@smart_hillbilly @mericanvet
@ronweissman3 @Nopc4thee</t>
  </si>
  <si>
    <t>CONFIRMED: FBI investigating $120,000 cash payments made by corrupt West Butler County Hillbilly to #MoneyBagsAl at heart of #Soros owned prosecutor Kim Gardner’s Witch Hunt. 
Story: https://t.co/iiMxChRuaM
#moleg #mogov #Greitens
#missouri #stl #kcmo #BREAKING
@Rep_TRichardson https://t.co/g4OkD8489j</t>
  </si>
  <si>
    <t>RT @Avenge_mypeople: Ok, just to clarify. Scott Faughn, the guy who delivered bundles of cash to fund the coup against #Greitens was called…</t>
  </si>
  <si>
    <t>RT @magathemaga1: ED DOWD ASKS STAR CHAMBER MASTER FOR FAUGN TO ANSWER THE QUESTIONS ABOUT FRAME JOB and MONEY DROP!
They laugh in his fac…</t>
  </si>
  <si>
    <t>RT @MissouriGOP: Under President Trump:
✅Unemployment is at historic lows
✅Consumer confidence is rising
✅Finances for the middle class ar…</t>
  </si>
  <si>
    <t>RT @Aletheia_4Truth: #KimShady - I wonder what her prosecution % is??! Is there a misdemeanor or felony charge for False Arrest/False Charg…</t>
  </si>
  <si>
    <t>RT @HotPokerPrinces: Absolutely full of BS 
They should have water boarded him
It wasn’t his deadbeat butts 120k 
#liar #moleg greitens #…</t>
  </si>
  <si>
    <t>So liberals aren’t allowed to block conservatives, shadow ban or block us on.m social media .... you clowns who waste your time with on the stuff while conservatives are working to make lives better 
#moleg #mogov https://t.co/XIrRwiyc1N</t>
  </si>
  <si>
    <t>RT @CStamper_: Scott Faughn, the corrupt media member who hand delivered $120,000 dollars cash to the lawyer now admits that he had multipl…</t>
  </si>
  <si>
    <t>RT @YearOfZero: @EricGreitens is innocent!
Great ad showing what soros and #KimShady have been up to! 
Now we just need a video exposing…</t>
  </si>
  <si>
    <t>RT @djw11223: @ColumbiaBugle @AnnCoulter Exactly....  Keep your eye on the prize.....     #Coulter https://t.co/45FB9F1oJJ</t>
  </si>
  <si>
    <t>RT @1irishrover: @ColumbiaBugle @AnnCoulter Christ on crutches, there is nothing more important than shutting down our southern border and…</t>
  </si>
  <si>
    <t>RT @PatriotWolfe: Despite 2 month warning &amp;amp; lots of tough talk, @POTUS continues to fail at border security as 450 caravan migrants made it…</t>
  </si>
  <si>
    <t>RT @PatriotWolfe: @ColumbiaBugle It was closer to 500 Illegals Trump let Caravan in https://t.co/2fyl5MYhdJ</t>
  </si>
  <si>
    <t>RT @ColumbiaBugle: We have to change the laws in this country. "Catch and Release" is an absolute joke.</t>
  </si>
  <si>
    <t>RT @ColumbiaBugle: America failed to stop the Caravan. https://t.co/qEJeYGkrYa</t>
  </si>
  <si>
    <t>RT @ColumbiaBugle: Honestly @AnnCoulter was right. We're getting too distracted by other conflicts in the world and losing sight of the mai…</t>
  </si>
  <si>
    <t>@SpeakerTimJones @Reuters Act like your 10 behind. My motto</t>
  </si>
  <si>
    <t>RT @Sticknstones4: Why didn’t  #Moleg order Scott Faughn to tell where the money came from ?    
Oh because they are protecting their LIHT…</t>
  </si>
  <si>
    <t>RT @MSTLGA: Oh my thou hast COLLUDED
#moleg #greitens #kimshady #nefariousnewman #DonnyBrookSTL https://t.co/vWUfZjVOWe</t>
  </si>
  <si>
    <t>RT @YearOfZero: Except she’s not doing squat about Gardner. 
Your worried about this. There should have never been an indictment in the fi…</t>
  </si>
  <si>
    <t>RT @YearOfZero: She isn’t a victim
#moleg #mogov https://t.co/bfpjzjIcl7</t>
  </si>
  <si>
    <t>RT @YearOfZero: It exposed a kinky consensual affair that reads like 50 shades of grey 
She went over because she wanted to and kept seein…</t>
  </si>
  <si>
    <t>RT @YearOfZero: They literally indicted a man without evidence, colluded with law makers to engineer an indictment (not going to the police…</t>
  </si>
  <si>
    <t>RT @YearOfZero: She doesn’t even believe her self
You are just thinking with your feelings and not your brain. She said her own memory isn…</t>
  </si>
  <si>
    <t>RT @RealTravisCook: @NSFMill @blackwidow07 @SKOLBLUE1 @magathemaga1 @EricGreitens @Rep_TRichardson @Eric_Schmitt @Avenge_mypeople @Neilin1N…</t>
  </si>
  <si>
    <t>RT @SKOLBLUE1: @NSFMill @magathemaga1 @EricGreitens @Rep_TRichardson @Eric_Schmitt @Avenge_mypeople @Neilin1Neil @jrosenbaum @blackwidow07…</t>
  </si>
  <si>
    <t>ED DOWD ASKS STAR CHAMBER MASTER FOR FAUGN TO ANSWER THE QUESTIONS ABOUT FRAME JOB and MONEY DROP!
They laugh in his face!
KANGAROO COURT!
#moleg #mogov #greitens #missouri #BREAKING #mosen 
@Eric_Schmitt @JohnLamping @MOHouseGOP @MOGOP_Chairman  @Rep_TRichardson @johncombest https://t.co/Am6i2cCywG</t>
  </si>
  <si>
    <t>LIVE PHOTO FROM JEFF CITY STAR CHAMBER, FAUGHN GETS AWAY WITH THE FRAME JOB!
Citizens are fuming.
But what can they do?
Time for the citizens to begin to plan to vote all these corrupt RINOS OUT 
FOLLOW THE MONEY
#moleg #mogov #greitens #missouri #MoSen #stl @MissouriGOP https://t.co/m6B6Z5EnCC</t>
  </si>
  <si>
    <t>Reference 
#moleg #mogov #Greitens 
@Rep_TRichardson @Eric_Schmitt @EricGreitens @MattStoneABC https://t.co/Hd7ht9kn1X</t>
  </si>
  <si>
    <t>@Str8DonLemon @ws_missouri @JW1057 Here I laid it out.
#MOLEG #Greitens https://t.co/ntWMCHCYo3</t>
  </si>
  <si>
    <t>@BigJShoota Where you been shoota. The party is going down.</t>
  </si>
  <si>
    <t>RT @BigJShoota: #AsExpected
#KimShady Gardner barred from involvement in future #EricGreitensTrial 
#EricGrietensIndictment #MoLeg 
 http…</t>
  </si>
  <si>
    <t>@Sammyjkramer @smart_hillbilly @TheBluesMan361 @X1Titan @ResignNowKim @i_like_sykes @HawleyMO @AP4Liberty @SykesforSenate Not presuming innocence in the court of public opinion just shows how terrible of a person you are</t>
  </si>
  <si>
    <t>@Sammyjkramer @smart_hillbilly @TheBluesMan361 @X1Titan @ResignNowKim @i_like_sykes @HawleyMO @AP4Liberty @SykesforSenate Theres a court of law and there is a court of public opinion but justice is justice, and justice means not only do the guilty what is coming, but that innocence is presumed. Judges have training, juries have direction. The public has neither. Hence why its especially important</t>
  </si>
  <si>
    <t>RT @magathemaga1: MAJOR CONTRADICTIONS IN KS AND STACEY THE COLLUDER STORY!
KS told KSDK that Stacey Newman was trying to put a lid on the…</t>
  </si>
  <si>
    <t>RT @magathemaga1: Scott Faughn, the crooked media mogul who hand delivered $120,000 dollars cash to the lawyer now admits he had multiple c…</t>
  </si>
  <si>
    <t>See this @elBryan https://t.co/TRoYVHNrUu</t>
  </si>
  <si>
    <t>Also baker is conflicted 
#moleg #mogov #greitens #WitchHunt https://t.co/OE2cOpoUHW</t>
  </si>
  <si>
    <t>The other thing @elBryan is that they are trying to play the sexual assault angle up even though it was just a kinky affair to try to justify impeachment! My sense is they have the votes. They just don’t have the people behind it. Hence the propaganda</t>
  </si>
  <si>
    <t>She lied repeatedly bro.... 
#moleg #mogov #greitens @Eric_Schmitt @JohnLamping @blackwidow07 https://t.co/v2GR1dvLq8</t>
  </si>
  <si>
    <t>The greitens scandal isn’t a scandal. There should have never been charges. The only scandal is that they indicted him without probable cause 
#moleg #mogov #Greitens https://t.co/u7VO6JVkEp</t>
  </si>
  <si>
    <t>That is exactly it. 
Fundamental facts of the care didn’t change.
no wait they have. With KS testimony being read out and Faughn’s, it shows them repeatedly telling lies. So if anything, think we have a case of conspiracy against these “operatives” 
#moleg #mogov #greitens https://t.co/ZR2P6f5q06</t>
  </si>
  <si>
    <t>RT @magathemaga1: Follow the money!
#moleg #mogov #Greitens #lihtc #Missouri #stl #stlouis #breaking https://t.co/zY8vVvllFc</t>
  </si>
  <si>
    <t>@Avenge_mypeople @MattStoneABC @ChrisHayesTV @christoferguson @Rep_TRichardson @RealTravisCook @Neilin1Neil @jrosenbaum @RetNavy93 @SKOLBLUE1 @Norasmith1000 Very true. She has lied to quite a few times now</t>
  </si>
  <si>
    <t>Reference
HT: @ws_missouri 
@MOGOP_Chairman @JohnLamping @Eric_Schmitt @CStamper_ @Ali @MOGOP_Chairman @Rep_TRichardson @RonFRichard @ChrisHayesTV #moleg #mogov #greitens https://t.co/TXuxhfvP9L</t>
  </si>
  <si>
    <t>MAJOR CONTRADICTIONS IN KS AND STACEY THE COLLUDER STORY!
KS told KSDK that Stacey Newman was trying to put a lid on the story and keep media out of it, and Newmans own statements downplayed her involvement.
This is a legit conspiracy against #Greitens 
#MOLEG #mogov #MOsen https://t.co/qIApgzBgQn</t>
  </si>
  <si>
    <t>MAJOR CONTRADICTIONS IN KS AND STACEY THE COLLUDER STORY!
KS told KSDK that Stacey Newman was trying to put a lid on the story and keep media out of it, and Newmans own statements downplayed her involvement.
This is a legit conspiracy against #Greitens 
#MOLEG #mogov #MOsen https://t.co/lDNunquA3f</t>
  </si>
  <si>
    <t>RT @Sticknstones4: Has the sham House committee had enough ?
I have , End this Witch Hunt 
Collusion, Lies, LITHC   ENOUGH ! 
#Moleg #Gr…</t>
  </si>
  <si>
    <t>RT @YearOfZero: Nicole quit lying. U ain’t concerned with squat but aiding democrats other wise you would be investigating #KimShady and th…</t>
  </si>
  <si>
    <t>RT @christoferguson: Scott Faughn dodging questions during #moleg hearing like https://t.co/BhTQzMiMLZ</t>
  </si>
  <si>
    <t>RT @puckroger: @CStamper_ Scott Faughn,the corrupt media member who hand delivered $120,000 dollars cash to the lawyer now admits that he h…</t>
  </si>
  <si>
    <t>RT @melody_grover: Faughn's testimony has as much credibility as Hillary's stories about her e-mail scandal. Faughn had $120k in cash lying…</t>
  </si>
  <si>
    <t>@blackwidow07 @StanMcDowellII @CStamper_ @Eric_Schmitt @strmsptr @Avenge_mypeople @sweetatertot2 @RealTravisCook @EdBigCon @SKOLBLUE1 @Lautergeist @SpeakerTimJones @MoGov You could argue that Mike Brown may have been guilty but I would say legit concern black community has about being targeted. They were.frustrated. Could be great thing but turned into chaos.... who were out of state peeps? Soros funded 
#soros #kimshady #moleg #mogov https://t.co/EAvWavkMTM</t>
  </si>
  <si>
    <t>What did she mean???
#moleg #mogov #greitens #Missouri #StLouis #stl https://t.co/20PtLZfmJe</t>
  </si>
  <si>
    <t>@blackwidow07 @StanMcDowellII @CStamper_ @Eric_Schmitt @strmsptr @Avenge_mypeople @sweetatertot2 @RealTravisCook @EdBigCon @SKOLBLUE1 @Lautergeist @SpeakerTimJones @MoGov Soros wants to destroy America so who knows</t>
  </si>
  <si>
    <t>Show me the money!
#moleg #mogov #greitens #scammingscott #Missouri https://t.co/MRfmbg1A6r</t>
  </si>
  <si>
    <t>@EWErickson @MissouriGOP @MOHouseGOP @BooneCoMOGOP @Mizzourah_Mom @MOGOP_Chairman @drudge @gatewaypundit @philip_saulter @JoplinGlobe @Markknight45 @GoogleDoesEvil @vickiebd @TuckerCarlson</t>
  </si>
  <si>
    <t>RT @magathemaga1: Follow the money 
I would suspect the answer lies in the PACs that money is funneled through 
#moleg #mogov #greitens…</t>
  </si>
  <si>
    <t>From a while back ...
#moleg #mogov #greitens #lihtc @radiofreeallman @jallman971 @EricGreitens @Eric_Schmitt https://t.co/UVLnJkH82Z</t>
  </si>
  <si>
    <t>@StanMcDowellII @CStamper_ @Eric_Schmitt @strmsptr @blackwidow07 @Avenge_mypeople @sweetatertot2 @RealTravisCook @EdBigCon @SKOLBLUE1 @Lautergeist @SpeakerTimJones #MOLEG #KimShady https://t.co/GzLr0U6ObI</t>
  </si>
  <si>
    <t>Follow the money!
#moleg #mogov #Greitens #lihtc #Missouri #stl #stlouis #breaking https://t.co/zY8vVvllFc</t>
  </si>
  <si>
    <t>@BillEigel @willscharf @SheenaGreitens @TeamGreitens @TomJEstes @TrumpChess @toadtws @Ijames2018 @chadler_usa @Google_Is_Evil @smart_hillbilly @Steffi_Cole @paulcurtman @jallman971 @Markknight45 @MarcCox971 @ninekiller @realJLogan @Pissyjo @melody_grover @AWESOMECQ</t>
  </si>
  <si>
    <t>RT @stevegardendeli: Vet from the midwest:  Go President Trump we are behind you</t>
  </si>
  <si>
    <t>RT @stevegardendeli: George Soros declares War on Missouri: https://t.co/5zEAThXgHr #moleg</t>
  </si>
  <si>
    <t>@FN4AP @ohsynesthesia @SuchHate @Blackboxhalo @Koenig4MO  @blackwidow07 @johncombest @joelpollak @BooneCoMOGOP @STLCountyGOP @stlyrs @StLCountyRepub @SykesforSenate @ChanelRion @strmsptr @Hope4Hopeless1 @DaynaGould @grcfay @wu_ferguson @RetNavy93 @TonyMonetti</t>
  </si>
  <si>
    <t>@atlasttrump1 @TxSecurityGal
@tommyhubb @catdeeann
@monie1948 @tracey_vinsand
@deplorablesunny @midwestjanbro
@Pantszilla77 @comesummer30
@Flyover_county @Kootiekat0507
@smart_hillbilly @mericanvet @ronweissman3 @Nopc4thee</t>
  </si>
  <si>
    <t>@stevegardendeli @sweetatertot2
@brianontheair @sally_0508
@sb65 @speedy62269 @jeffquibell
@kenprier @bigleague2020
@rjferryjr @ali @gagemitchusson
@cturtle31 @thenewright @karmMichele @angelalily0501
@plwy31 @blackboxhalo
@wu_ferguson @shesova @nsfmill
@daynagould @grcfay</t>
  </si>
  <si>
    <t>Scott Faughn, the crooked media mogul who hand delivered $120,000 dollars cash to the lawyer now admits he had multiple conversations with Soros-backed prosecutor #KimShady about “public perception” in the weeks prior to her indicting #greitens
#moleg #mogov @Eric_Schmitt #stl https://t.co/sTDJOu917D</t>
  </si>
  <si>
    <t>RT @RealTravisCook: Bottom line: if Katrina Sneed hadn't cheated on her husband then there would be no "scandal" or allegations against #Gr…</t>
  </si>
  <si>
    <t>RT @ThoseCardinals: @tonymess it would be nice if someone with #moleg would ask @scottfaughn how long the $100K and the $20K had been his m…</t>
  </si>
  <si>
    <t>RT @Sticknstones4: Scott Faughn doesn’t know that His shows sponsor Sterling Bank is involved in Low Income Housing Tax Credits 
#greitens…</t>
  </si>
  <si>
    <t>RT @Sticknstones4: Missouri House of Representatives: Urgent! Stop the Coup Against Gov. Eric Greitens - Sign the Petition! https://t.co/YB…</t>
  </si>
  <si>
    <t>RT @JohnLamping: Oh look, its Jane ((I'm not getting paid (directly by LIHTC bc that would be too obvious but of course that's BS since I m…</t>
  </si>
  <si>
    <t>RT @JohnLamping: You don't earn your living in the world of politics? https://t.co/dEsWKXLjhv</t>
  </si>
  <si>
    <t>RT @JohnLamping: Jane you're so brave! "Early"!?! Affair occurred in 2015, you knew about it no later than 2016, you came out against in "e…</t>
  </si>
  <si>
    <t>RT @JohnLamping: From page 58 of first testimony.  Committee (paraphrase): "what's your relationship with Koster?"    KS: "He's like a fath…</t>
  </si>
  <si>
    <t>RT @Str8DonLemon: And your letting Faugh cherry pick what answers he answers and doesnt?
STOP THE COUP!
#moleg #mogov #greitens 
@Missou…</t>
  </si>
  <si>
    <t>RT @Str8DonLemon: #MoLeg
We all know that Faughn is lying 
Is that why @jaybarnes5 arranged for their to be no cross examination?
It's t…</t>
  </si>
  <si>
    <t>RT @Str8DonLemon: No they arent attacking the character.
Her credibitly is another issue.
She lied 
She nude facetimed Eg after event
She…</t>
  </si>
  <si>
    <t>RT @DrRalphNap: Stop letting haters rent space in your head.
Their voice doesn’t matter. The voice in your head is the one that calls the…</t>
  </si>
  <si>
    <t>RT @YearOfZero: The fact that Scott Faughn isn’t being cross examined is evidence to #moleg corruption.
The man is a pathological liar.…</t>
  </si>
  <si>
    <t>Project all you want but I called you out on your lie.
Do you support what’s happening?
Because if you do, then you are against all the progress we have made on due process for civil rights. But then again democrats don’t respect laws anymore so stupid question 
#moleg #mogov https://t.co/V0OHe1iXM9</t>
  </si>
  <si>
    <t>RT @NolteNC: You should read this. I think you'll be horrified to discover what you did. 
https://t.co/5IwcflGXJj https://t.co/isgvAS5nwx</t>
  </si>
  <si>
    <t>Follow the money 
I would suspect the answer lies in the PACs that money is funneled through 
#moleg #mogov #greitens 
@Rep_TRichardson @Eric_Schmitt @MattStoneABC @MOGOP_Chairman @EricGreitens @JohnLamping https://t.co/tcU0XEuooO</t>
  </si>
  <si>
    <t>RT @Sticknstones4: #moleg 
Why does a guy have 120k cash laying around 
And have financial debt ?
Witch Hunt is a JOKE 
Sterling Bank JE…</t>
  </si>
  <si>
    <t>#moleg https://t.co/cXJZNkttK9</t>
  </si>
  <si>
    <t>RT @CJheartart: @seanhannity help a Missourian! They think this is funny! I’d love to have $120,000 under my mattress! #moleg #MOwitch hunt…</t>
  </si>
  <si>
    <t>@Jemsinger @DailyCaller @FoxNews Check out @magathemaga1’s Tweet: https://t.co/ZTPpJm9aRt</t>
  </si>
  <si>
    <t>@Jemsinger @DailyCaller @FoxNews I await your correction. The woman lied and also said her memory isnt reliable to testify 
Check out @magathemaga1’s Tweet: https://t.co/iSnOzWcgFi</t>
  </si>
  <si>
    <t>RT @Sticknstones4: What a F-ing JOKE  #Moleg
@scottfaughn Lied , He committed purjury  ! 
He Knows Skyler Roundtree &amp;amp; Skyler Kinsey !
He…</t>
  </si>
  <si>
    <t>Faugn is a certified liar.
#MOLEG #mogov #greitens https://t.co/DABbhEAzk8</t>
  </si>
  <si>
    <t>RT @Sticknstones4: That’s not a conflict  Hatfield  represented Watkins 
This is a good ole boy cronyism JOKE. WITH HUNT 
#moleg #greitens…</t>
  </si>
  <si>
    <t>RT @VisioDeiFromLA: Dude. Quit your crying. 
She isn’t a victim.
The affair was consensual.
She also was caught lying and she even said…</t>
  </si>
  <si>
    <t>RT @VisioDeiFromLA: Quoting EE again?
He has no credibilty and he called us all racist for wanting our laws enforced and voting for trump.…</t>
  </si>
  <si>
    <t>@BryanLowry3 Report the truth
Check out @magathemaga1’s Tweet: https://t.co/ZTPpJm9aRt</t>
  </si>
  <si>
    <t>Hey @Rep_TRichardson 
THIS IS HUGE COI  -- SAME LAWYER AS AL?
How is this being allowed?
I guess you are going to play cover up artist for Faughn?
@Eric_Schmitt @BillEigel @BobOnderMO @KMOXKilleen @MarkReardonKMOX @EricGreitens  @TomJEstes  
#MOleg #mogov #greitens #stl https://t.co/0Xp4twcZpE</t>
  </si>
  <si>
    <t>Because she was into kinky stuff.
Read 50 shades of grey. It sounds exactly like that!
You are a journalist. You are letting your bias and lack of legal research on this get the better of you 
#moleg #mogov #greitens https://t.co/wfR8NTzmdT</t>
  </si>
  <si>
    <t>@lindsaywise @RetNavy93 @MattStoneABC @RealTravisCook @blackwidow07 @Avenge_mypeople @Lautergeist @Hope4Hopeless1 @Eric_Schmitt @RightSideUp313 @SKOLBLUE1 And then there is this:
"The memory I have isnt strong enough to testify to..."
#moleg #mogov #greitens #stlouis #missouri #stl #kcmo #lihtc https://t.co/Z51OvCzTBM</t>
  </si>
  <si>
    <t>@lindsaywise Come on. Report the truth
Appears journalists selectively reporting again about KS to try 2 damage #greitens
👉KS lied 
👉Said her memory wasn’t reliable 
👉Kept seeing Eg
👉Nude FaceTimed after alleged incident
Also: VICTIM of #KimShady coercion?
#moleg #mogov #greitens https://t.co/EDxuvUEADu</t>
  </si>
  <si>
    <t>Yo #MoLeg 
Looking forward to you callin Faughn out in his lies.
A simple case net search shows he couldnt even pay his tax Bill's yet suddenly has money?
And no cross exam?
Also Chuck Hatfield is same lawyer representing Al? 
How is this not a COI?
#moleg #mogov #greitens https://t.co/JU83cqx988</t>
  </si>
  <si>
    <t>RT @Kootiekat0507: If you are tired of Missouri politicians abusing their power, please sign this petition. https://t.co/9OvlhyE0kG</t>
  </si>
  <si>
    <t>RT @VisioDeiFromLA: Bro. How is it that you all don’t know she already prejudged the case? Look at your own paper!
https://t.co/EBcIlxG9dG…</t>
  </si>
  <si>
    <t>RT @Kootiekat0507: And here comes Round #2 of #GreitensWitchHunt 2.0.  This is insane! https://t.co/Pommd7x6cv</t>
  </si>
  <si>
    <t>@VisioDeiFromLA @Eric_Schmitt @SKOLBLUE1 @sweetatertot2 @strmsptr @Avenge_mypeople @RealTravisCook @blackwidow07 @Lautergeist @Norasmith1000 @Sticknstones4 @Hope4Hopeless1 @stevegardendeli
@sweetatertot2
@brianontheair
@sally_0508
@sb65
@speedy62269
@jeffquibell
@kenprier
@bigleague2020
@rjferryjr
@ali
@gagemitchusson
@cturtle31
@thenewright
@karmMichele
@angelalily0501
@plwy31
@blackboxhalo
@wu_ferguson
@shesova
@nsfmill
@daynagould
@grcfay</t>
  </si>
  <si>
    <t>It's not ALLEGED. He admitted to it.
However, his explanation doesnt seem to be truthful.
Also how is it that you can use alleged on this and not on KS ... she is an alleged victim.
Scott is a confirmed money bag dropper 
#moleg #mogov #greitens https://t.co/Q57SlrjItr</t>
  </si>
  <si>
    <t>RT @magathemaga1: Pattern of lying. 
For example the old “Didn’t lie since my last lie”
Possible that KS is alleged victim. But not at th…</t>
  </si>
  <si>
    <t>Pattern of lying. 
For example the old “Didn’t lie since my last lie”
Possible that KS is alleged victim. But not at the hands of EG. It would be at the hands of #KimShady and Moon.
What did KG say at that seedy easy side meetup with KS?
#moleg #mogov #greitens @Eric_Schmitt https://t.co/exOM36hpjl</t>
  </si>
  <si>
    <t>RT @magathemaga1: And then there is this:
"The memory I have isnt strong enough to testify to..."
#moleg #mogov #greitens #stlouis #misso…</t>
  </si>
  <si>
    <t>So woman should be able to be in control of their own bodies &amp;amp; make their own sexual decisions, but minute they do &amp;amp; are treated as equals to men &amp;amp; questioned about consensual affair women should be treated like they don’t control themselves?
Hmmm🤔🤔🤔
#moleg #mogov #greitens https://t.co/vdo8K9VktL</t>
  </si>
  <si>
    <t>RT @Sticknstones4: #moleg why do you read over the questions &amp;amp; answers of ks deposition ?     Because it’s a witch hunt &amp;amp; you want to brush…</t>
  </si>
  <si>
    <t>And then there is this:
"The memory I have isnt strong enough to testify to..."
#moleg #mogov #greitens #stlouis #missouri #stl #kcmo #lihtc https://t.co/diKmANZNcb</t>
  </si>
  <si>
    <t>RT @magathemaga1: Good afternoon #MoLeg 
Appears journalists selectively reporting again about KS to try 2 damage #greitens
Facts 
👉KS l…</t>
  </si>
  <si>
    <t>Good afternoon #MoLeg 
Appears journalists selectively reporting again about KS to try 2 damage #greitens
Facts 
👉KS lied 
👉Said her memory wasn’t reliable 
👉Kept seeing Eg
👉Nude FaceTimed after alleged incident
Also: VICTIM of #KimShady coercion?
#moleg #mogov #greitens https://t.co/Dw7MQDhrD2</t>
  </si>
  <si>
    <t>@Sammyjkramer @TheBluesMan361 @X1Titan @ResignNowKim @i_like_sykes @HawleyMO @smart_hillbilly @AP4Liberty @SykesforSenate What is he guilty of? Last time I checked, Democrats accuser him of a nasty thing but the nerve proved it and the accused quite literally disappeared after the election ... I defend because he was wronged and in America it’s innocent until proven guilty</t>
  </si>
  <si>
    <t>@smart_hillbilly @TheBluesMan361 @X1Titan @Sammyjkramer @ResignNowKim @i_like_sykes @HawleyMO @AP4Liberty @SykesforSenate @DLoesch I blocked because it’s a waste of time</t>
  </si>
  <si>
    <t>RT @Sticknstones4: @ksdknews KS felt most vulnerable and bad  by the actions of her ex husband not the governor 
Consensual Affair! A woman…</t>
  </si>
  <si>
    <t>RT @PlatteCountyGOP: Proof positive that even the @KCStarOpinion editor does not read the falling @KCStar: https://t.co/rsTF89gJ0W. 3 years…</t>
  </si>
  <si>
    <t>RT @Brianontheair: Missouri Gov. @EricGreitens is blasting political insiders and the tax credit lobby. He describes them as "ripoff artist…</t>
  </si>
  <si>
    <t>RT @magathemaga1: Hey Tony. You know how petty you look doing a story over this?
#moleg #Greitens #MoGov https://t.co/XFbBXzYKhq</t>
  </si>
  <si>
    <t>Hey @ArthurSchwartz 
Please pay attention before commenting on a story. @EricGreitens has been falsely accused and indicted. Weve been covering this for months. Heres my news from today https://t.co/5q9s0Kiszm</t>
  </si>
  <si>
    <t>RT @philip_saulter: @BryanLowry3 Of course He is what good would this coup be if Parsons wasn't there to step in and reinitiate the tax cre…</t>
  </si>
  <si>
    <t>RT @magathemaga1: 1. It's not victim. Its alleged victim.
2. Its completely relevant to the case
3. Where did you get your law degree?
4. S…</t>
  </si>
  <si>
    <t>Hey Tony. You know how petty you look doing a story over this?
#moleg #Greitens #MoGov https://t.co/XFbBXzYKhq</t>
  </si>
  <si>
    <t>1. It's not victim. Its alleged victim.
2. Its completely relevant to the case
3. Where did you get your law degree?
4. She was into 50 shades of gray
5. Consensual affair
Finally, it isnt shaming. Arent women in control of their own sexual decisions? 
#moleg #mogov #Greitens https://t.co/rQXsuPkeGG</t>
  </si>
  <si>
    <t>RT @MSTLGA: Start  Working for the People of Missouri Not 
JES HOLDINGS LLC , Jeffrey Smith ! 
The Low Income Housing Tax Credit Scam is O…</t>
  </si>
  <si>
    <t>RT @MSTLGA: The money flows through these PAC Groups
Congratulations you bought &amp;amp; paid for puppets 
#moleg https://t.co/WbsmT81Rh8</t>
  </si>
  <si>
    <t>RT @Sticknstones4: @MORepSommer I oppose that you take LIHTC contributions
Than you judge my Governor with your paid agenda 
NO MORE SCAMS…</t>
  </si>
  <si>
    <t>RT @Neilin1Neil: This whole impeachment movement against Greitens is nothing but revenge against the outsider, a non member of the swamp, w…</t>
  </si>
  <si>
    <t>RT @RealTravisCook: So if Katrina Sneed's memory isn't good enough to testify to, as she stated in the interview last night...then why shou…</t>
  </si>
  <si>
    <t>RT @RealTravisCook: Going up on https://t.co/LqVNagKKC5 right now discussing the root causes for #SchoolShootings.  Hint:  It ain't guns, a…</t>
  </si>
  <si>
    <t>RT @magathemaga1: Any comments @Jemsinger 
How about how she has lied in the past repeatedly? https://t.co/UtRiRwTr2h</t>
  </si>
  <si>
    <t>RT @YearOfZero: Hey Sarah you do know the woman was into kinky stuff, lived 50 shades of  gray, and also lied repeatedly.
Hey @RealTravisC…</t>
  </si>
  <si>
    <t>RT @YearOfZero: He’s an outsider who is being unfairly attacked by people like you who don’t believe in the presumption of innocence 
#mol…</t>
  </si>
  <si>
    <t>@TomJEstes Act like your 10 points behind</t>
  </si>
  <si>
    <t>RT @JW1057: @jmannies @EricGreitens 2/2 50 Shades very relevant - as a woman repeatedly pointed out to me for weeks KS's statements at time…</t>
  </si>
  <si>
    <t>RT @YearOfZero: And you are giving journalists a bad name. 
You do know the allegations against him are made up, right?
Consensual affair…</t>
  </si>
  <si>
    <t>RT @YearOfZero: @Mikelkehoe needs to be asked what deal he struck with @mikeparson to pull off this tax credit coup. 
Hey @MattStoneABC I…</t>
  </si>
  <si>
    <t>He went to the store and for a drive.
You know ridiculous you people look?
#moleg #mogov #greitens https://t.co/Gc7DtBSUGq</t>
  </si>
  <si>
    <t>RT @magathemaga1: @realDonaldTrump doesn’t lie but #MoLeg does!
YOU GOTTA FOLLOW THAT MONEY
FOLLOW THE MONEY!
FOLLOW THE MONEY!
FOLLOW TH…</t>
  </si>
  <si>
    <t>RT @magathemaga1: If she was into kinky stuff which it is clear she was, that is 100 percent a factor. 
Also, “undermine” presupposes she…</t>
  </si>
  <si>
    <t>@realDonaldTrump doesn’t lie but #MoLeg does!
YOU GOTTA FOLLOW THAT MONEY
FOLLOW THE MONEY!
FOLLOW THE MONEY!
FOLLOW THE MONEY!
FOLLOW THE MONEY!
FOLLOW THE MONEY!
FOLLOW THE MONEY!
TAX CREDITS!
#mogov #greitens #missouri #maga #breaking #LIHTC 
@Eric_Schmitt @JohnLamping https://t.co/yXxrGPLTgS</t>
  </si>
  <si>
    <t>RT @magathemaga1: Many woman are. Fun fact. The anti Greitens forces tried to meme “50 Shades of Greitens” before they realized people woul…</t>
  </si>
  <si>
    <t>Many woman are. Fun fact. The anti Greitens forces tried to meme “50 Shades of Greitens” before they realized people would have them though it was a consensual affair. 
Too bad people think that anyway!
Because it was!
#moleg #mogov #greitens https://t.co/ZrKa2xMtOd</t>
  </si>
  <si>
    <t>If she was into kinky stuff which it is clear she was, that is 100 percent a factor. 
Also, “undermine” presupposes she had credibility
She never had credibitly to begin with! It was never established since she was anonymous!
Why are you taking sides?
#moleg #mogov #greitens https://t.co/ZrKa2xMtOd</t>
  </si>
  <si>
    <t>RT @magathemaga1: You seriously can't make this up!
What new nonsense will the consultants and the tax credit coup people try next @EricGr…</t>
  </si>
  <si>
    <t>@blackwidow07 @ws_missouri @TeamGreitens @EricGreitens @Eric_Schmitt @Rep_TRichardson @KevinCorlew @FitzpatrickMO @BobOnderMO @shawnrhoads154 @RetNavy93 @Neilin1Neil @RealTravisCook @jrosenbaum @MattStoneABC @SKOLBLUE1 @Avenge_mypeople @Hope4Hopeless1 @MissouriGOP Unsure</t>
  </si>
  <si>
    <t>@blackwidow07 @RGreggKeller @ResignNowKim @JackSuntrup @stltoday @mopns @HennessySTL @EdBigCon @SKOLBLUE1 @Avenge_mypeople @MariaChappelleN Follow the money! 
#moleg #mogov #greitens https://t.co/1KKH3IKABF</t>
  </si>
  <si>
    <t>You seriously can't make this up!
What new nonsense will the consultants and the tax credit coup people try next @EricGreitens ?
#moleg #mogov #Greitens #stl #Missouri #stlouis #kimshady #MOSen 
@FitzpatrickMO @Midwestfitz @NameRedacted7 @mtracey https://t.co/HyEn00pdLU</t>
  </si>
  <si>
    <t>RT @magathemaga1: Dude. She has lied repeatedly.
She also said her memory wasn’t reliable. 
She went back. 
In the real world, we call t…</t>
  </si>
  <si>
    <t>RT @magathemaga1: As we know, contributions in themselves arent illegal. But the puzzle is who gave Scott the money.
I dont expect him to…</t>
  </si>
  <si>
    <t>RT @magathemaga1: Hola #MoLeg
@RGreggKeller getting nervous. Say thanks Greg! These will make awesome posters!
@Rep_TRichardson may have…</t>
  </si>
  <si>
    <t>Yo @MOGOP_Chairman gonna be dropping some major truth bombs on the Tax Credit Coup Artists!
#moleg #mogov #greitens @TeamGreitens #MOSen https://t.co/mXD6K3sxYm</t>
  </si>
  <si>
    <t>I will finish in little bit, gotta make some calls...</t>
  </si>
  <si>
    <t>Credibilty never supposed 2 have been questioned? Fake indictment never exposed. The corruption never uncovered.
It was.
But thats ok u got other trumped up charges, right? Fundraising thing and the other nonsense that was launched as a Plan B, right? 
#moleg #mogov #Greitens</t>
  </si>
  <si>
    <t>The goal was to get #greitens to resign before any of #KimShady corruption came out, or how the woman was a liar or any of the corruption. 
That didnt happen, charges were dropped, the case is bs.
#moleg #mogov #greitens</t>
  </si>
  <si>
    <t>Let's be Frank
Greitens was supposed to have resigned &amp;amp; this was all supposed to go as planned. But citizens saw through your Tax Credit Coup Bs &amp;amp; we spoke up. One person spoke. And then another, and then another.
Courage is contagious. 
@Rep_TRichardson
#moleg #mogov #MOSen</t>
  </si>
  <si>
    <t>Looping people in @RGreggKeller ... since your like a strategist or something, I'm gonna do a little thread on the strategy your employing to screw voters.
Please join me and follow along. 
@Eric_Schmitt @EricGreitens @KevinCorlew @BillEigel  @Rep_TRichardson @HennessySTL</t>
  </si>
  <si>
    <t>Hola #MoLeg
@RGreggKeller getting nervous. Say thanks Greg! These will make awesome posters!
@Rep_TRichardson may have the votes For The COUP but dont have people's support 4 Tax Credit Coup
Thus doomsday scenarios!
People not behind it!
What's The Thing?
#mogov #greitens https://t.co/PcBKpPzSC2</t>
  </si>
  <si>
    <t>RT @BluesFan464: @JackSuntrup @stltoday Another reason why nobody reads the dispatch anymore. #Disgrace #moleg #mogov #greitens</t>
  </si>
  <si>
    <t>RT @magathemaga1: They should because it reads like 50 shades of gray! 
Funny nobody remembers COUP plotters trying to meme “50 Shades of…</t>
  </si>
  <si>
    <t>Any comments @Jemsinger 
How about how she has lied in the past repeatedly? https://t.co/UtRiRwTr2h</t>
  </si>
  <si>
    <t>They should because it reads like 50 shades of gray! 
Funny nobody remembers COUP plotters trying to meme “50 Shades of Greitens”
They stopped cuz they realized that would expose to everybody what we know: It was a consensual affair and people are lying
#moleg #mogov #greitens https://t.co/jctRvnpFQL</t>
  </si>
  <si>
    <t>Dude. She has lied repeatedly.
She also said her memory wasn’t reliable. 
She went back. 
In the real world, we call that an an affair.  
A consensual one 
#moleg #mogov #greitens https://t.co/bUWQizlmKe</t>
  </si>
  <si>
    <t>RT @magathemaga1: TAINTED SP
TAINTED CASE 
TAINTED #MOLEG
FOLLOW THE MONEY
#mogov #Greitens #stlouis #missouri #stl #kcmo #maga #breaki…</t>
  </si>
  <si>
    <t>RT @JW1057: @971FMTalk @MarcCox971 Summary: Kitty hates the @EricGreitens for not leaving Sheena and making her the first lady. 
#moleg #mo…</t>
  </si>
  <si>
    <t>RT @mycreativedeco1: It should have been a private matter instead of the gossip &amp;amp; false charges filed to destroy a man.  It is political je…</t>
  </si>
  <si>
    <t>RT @Thomas1774Paine: BREAKING: FBI’s Embedded Trump-Campaign Spy ‘Vanished’ in Sept. 2017; Is Halper Dead or Playing Dead? https://t.co/sxx…</t>
  </si>
  <si>
    <t>TAINTED SP
TAINTED CASE 
TAINTED #MOLEG
FOLLOW THE MONEY
#mogov #Greitens #stlouis #missouri #stl #kcmo #maga #breaking #STLCards #WitchHunt @BillEigel @KevinCorlew @Rep_TRichardson @BobOnderMO @Eric_Schmitt @EricGreitens @TeamGreitens https://t.co/6K8Bugt40n https://t.co/l9d6FxSPP9</t>
  </si>
  <si>
    <t>Here you go sparky @Jemsinger
Check out @magathemaga1’s Tweet: https://t.co/i6aPvRabTG</t>
  </si>
  <si>
    <t>RT @magathemaga1: Dude she said her memory wasn’t reliable enough to testify. I’ll post the audio. 
She also lied repeatedly.
#moleg #mog…</t>
  </si>
  <si>
    <t>RT @SpeakerTimJones: @realDonaldTrump approval rising EVERYWHERE. #Election2018 #MOSen #MOLeg https://t.co/tNMx4KVNjO</t>
  </si>
  <si>
    <t>RT @magathemaga1: So people are withholding evidence (or making it up)?
She has already prejudged the case and thus needs to recuse.
Mayb…</t>
  </si>
  <si>
    <t>So people are withholding evidence (or making it up)?
She has already prejudged the case and thus needs to recuse.
Maybe the COUP Plotter should study law... 
#moleg #mogov #greitens https://t.co/CDDh8ZH92O</t>
  </si>
  <si>
    <t>As they should. 
#moleg #mogov #greitens https://t.co/VGNYJigWEk</t>
  </si>
  <si>
    <t>Dude she said her memory wasn’t reliable enough to testify. I’ll post the audio. 
She also lied repeatedly.
#moleg #mogov #greitens https://t.co/o4lMNt2Xp4</t>
  </si>
  <si>
    <t>RT @magathemaga1: He Tony. Tell your friend Jean she needs to recuse off the case as she has already prejudged the case.
#moleg #mogov #Gr…</t>
  </si>
  <si>
    <t>RT @Neilin1Neil: Many of the members of #MoLeg grievously with malice aforethought, mean Eric Greitens such harm, the likes of which I have…</t>
  </si>
  <si>
    <t>RT @VisioDeiFromLA: By that time, @Eric_Schmitt may have a chance at becoming gov since many in #moleg think parsons is corrupt, and would…</t>
  </si>
  <si>
    <t>RT @VisioDeiFromLA: The gop in #moleg needs to be voted out. Sykes gonna take it? What about @AP4Liberty  or @Monetti4Senate 
We will see…</t>
  </si>
  <si>
    <t>RT @VisioDeiFromLA: She dated Chris Koster rumor is. The whole town knows about @jrosenbaum 
Tired of this embargo 
Now you wonder why th…</t>
  </si>
  <si>
    <t>RT @VisioDeiFromLA: Wrong Tony. Two guys that both had the same hairdresser. How ODD is that. Come on! Tony we all know! Tell the truth for…</t>
  </si>
  <si>
    <t>RT @EdBigCon: @jrosenbaum I wonder if he got rid of the beater car and bought something new with the windfall? #moleg</t>
  </si>
  <si>
    <t>RT @Sticknstones4: #kimShady is still being shady 
No Photo,  Missing Tape,  Lies , and now Missing Deposition ! 
#greitens #moleg #witch…</t>
  </si>
  <si>
    <t>RT @magathemaga1: Ahem.
On top of her memory not being reliable enough “to testify” ... she admits to lying! 
#moleg #mogov #greitens #mi…</t>
  </si>
  <si>
    <t>RT @magathemaga1: BREAKING #kimshady us at it again!
Hiding depositions! 
Wtf! Well, she is Kim Shady!
HT: @ws_missouri 
#moleg #mogov…</t>
  </si>
  <si>
    <t>BREAKING #kimshady us at it again!
Hiding depositions! 
Wtf! Well, she is Kim Shady!
HT: @ws_missouri 
#moleg #mogov #greitens #missouri #breaking #MOSen
@TeamGreitens @EricGreitens @Eric_Schmitt @Rep_TRichardson @KevinCorlew @FitzpatrickMO @BobOnderMO @shawnrhoads154 https://t.co/ELFKa48Qj6</t>
  </si>
  <si>
    <t>RT @magathemaga1: 🚨 BREAKING 🚨
I HAVENT LIED ... SINCE MY LAST LIE! So she hasn't lied "SINCE" this went public!
On top of her saying tha…</t>
  </si>
  <si>
    <t>🚨 BREAKING 🚨
I HAVENT LIED ... SINCE MY LAST LIE! So she hasn't lied "SINCE" this went public!
On top of her saying that her "Memory isnt reliable enough to testify..." 
End witch hunt &amp;amp; let @EricGreitens get back to work!
#moleg #mogov #Greitens #stlouis #Missouri #stl https://t.co/JAT5tpdIEr</t>
  </si>
  <si>
    <t>Ahem.
On top of her memory not being reliable enough “to testify” ... she admits to lying! 
#moleg #mogov #greitens #missouri #stl #kcmo https://t.co/4rNaOlTBU7</t>
  </si>
  <si>
    <t>RT @EdBigCon: @J_Hancock Ask @jaybarnes5 how he got the names of P.S. and K.S. ? Sounds like there was some collusion from Kim Gardner’s si…</t>
  </si>
  <si>
    <t>He Tony. Tell your friend Jean she needs to recuse off the case as she has already prejudged the case.
#moleg #mogov #Greitens https://t.co/q27Hzi5zSx</t>
  </si>
  <si>
    <t>RT @MSTLGA: @stltoday The theives are plotting how to eject our elected governor to restore their millionaire donors low income housing tax…</t>
  </si>
  <si>
    <t>@SpeakerTimJones Dont get cocky. Act like we are 10 behind</t>
  </si>
  <si>
    <t>RT @Sticknstones4: Let’s be clear KS feels bad about the abuse she received from being married to Philip Sneed
her desire to feel good was…</t>
  </si>
  <si>
    <t>Good. He can finally start out calling out the liars and tax credit scammers.
#moleg #MoGov #Greitens https://t.co/LRJf9hHPBl</t>
  </si>
  <si>
    <t>RT @HotPokerPrinces: This petition is Still Going .. Please Sign &amp;amp; share
#greitens #moleg stop the coup ! 
Missouri House of Representativ…</t>
  </si>
  <si>
    <t>TAINTED SP
TAINTED CASE 
TAINTED #MOLEG
FOLLOW THE MONEY
#mogov #Greitens #stlouis #missouri #stl #kcmo #maga #breaking #STLCards #WitchHunt @BillEigel @KevinCorlew @Rep_TRichardson @BobOnderMO @Eric_Schmitt @EricGreitens @TeamGreitens https://t.co/6K8Bugt40n</t>
  </si>
  <si>
    <t>RT @magathemaga1: #greitens
What a scam! https://t.co/71NyvbFwzQ</t>
  </si>
  <si>
    <t>RT @magathemaga1: @BryanLowry3 Shes conflicted bro! https://t.co/NjntBwd4gj</t>
  </si>
  <si>
    <t>#greitens
What a scam! https://t.co/71NyvbFwzQ</t>
  </si>
  <si>
    <t>RT @ResignNowKim: @RGreggKeller Lol, Gregg. Please enlighten us: what exactly did @EricGreitens put her through? Can’t believe you expect p…</t>
  </si>
  <si>
    <t>RT @magathemaga1: Faughn has finally agreed 2 come out of hiding &amp;amp; testify to his buddies on Barnes star chamber committee who also have in…</t>
  </si>
  <si>
    <t>RT @magathemaga1: Then the KS Video 
Make no mistake. This was planned by Tax Credit COUP artists to air on the eve of the special session…</t>
  </si>
  <si>
    <t>Faughn has finally agreed 2 come out of hiding &amp;amp; testify to his buddies on Barnes star chamber committee who also have interesting connections 2 tax credits &amp;amp; certain banks
All because nobody can cross examine him?
What kind of kangaroo court is this?
#moelg #MoGov #Greitens https://t.co/3ePWrvtG37</t>
  </si>
  <si>
    <t>@NameRedacted7 @Thomas1774Paine @ThomasWictor @tracybeanz @drawandstrike @Debradelai @LarrySchweikart @rising_serpent</t>
  </si>
  <si>
    <t>RT @mycreativedeco1: #Missouri, #Mogov, So sad how democrats think and let the people down. https://t.co/Vbd2cKs0x2</t>
  </si>
  <si>
    <t>@BillEigel @KevinCorlew @kendylei @BryanSpencer25 @Midwestfitz @FitzpatrickMO @AmfellinAlicia @Koenig4MO @cody4mo @RepEngler @Peoples_Pundit @shesova @dbongino @Ijames2018 @SKOLBLUE1 @BobOnderMO @sigi_hill @Pantszilla77 @ErgoStreetNurse @Monie1948 @JacobAWohl @TeamGreitens</t>
  </si>
  <si>
    <t>@NSFMill @TweepleBug @paulmaga45 @ed_grimly @6079__Smith_W @joel_capizzi @juliematthews50 @971FMTalk @jbro_1776 @JAllman @HawleySightings @Pantszilla77 @Beatlebaby64 @88YahamaKeys @YearOfZero @blackwidow07 @BigJShoota @tracey_vinsand @TuckerCarlson @seanhannity @JW1057</t>
  </si>
  <si>
    <t>@BillEigel @willscharf @SheenaGreitens @TeamGreitens @TomJEstes @TrumpChess @toadtws @TxSecurityGal @Ijames2018 @chadler_usa @Google_Is_Evil @smart_hillbilly @Steffi_Cole @paulcurtman @jallman971 @Markknight45 @MarcCox971 @ninekiller @realJLogan @Pissyjo @melody_grover @AWESOMECQ</t>
  </si>
  <si>
    <t>@FN4AP @ohsynesthesia @SuchHate @Blackboxhalo @Koenig4MO @shesova @blackwidow07 @johncombest @joelpollak @BooneCoMOGOP @STLCountyGOP @stlyrs @StLCountyRepub @SykesforSenate @ChanelRion @strmsptr @Hope4Hopeless1 @DaynaGould @grcfay @wu_ferguson @RetNavy93 @TonyMonetti @TheNewRight</t>
  </si>
  <si>
    <t>RT @Sticknstones4: This Right Here 👇
If her memory wasn’t strong enough to testify 
Than why in the hell is this thing carrying on ? 
Oh b…</t>
  </si>
  <si>
    <t>Cross examination not allowed confirming this is an all out COUP ON MISSOURI VOTERS
#moleg #mogov #Greitens 
@Rep_TRichardson @BillEigel @Ali @KevinCorlew @JW1057 https://t.co/UttViaO9BL</t>
  </si>
  <si>
    <t>RT @magathemaga1: Finally the original question
FOLLOW THE MONEY 
Faughn couldnt even pay his Bills six months ago. 
If you follow the M…</t>
  </si>
  <si>
    <t>RT @magathemaga1: The video
"The Memory that I have isn't strong enough to testify to..."
✔ZERO evidence
✔Memory unreliable
✔Hence testim…</t>
  </si>
  <si>
    <t>As we know, contributions in themselves arent illegal. But the puzzle is who gave Scott the money.
I dont expect him to tell the truth. He has a history of lying.
Per KS, her lawyer and herself did not get paid. But she also lied about newman... 
#moleg #mogov #greitens #lihtc https://t.co/El7iZe8CrV</t>
  </si>
  <si>
    <t>Finally the original question
FOLLOW THE MONEY 
Faughn couldnt even pay his Bills six months ago. 
If you follow the MEC forms, you'll notice a pattern.
Money is flowing to many law makers from the Low Income Housing industry.
#moleg #mogov #Greitens #Missouri #lihtc #stl https://t.co/aUninXu8bM</t>
  </si>
  <si>
    <t>Hey @Rep_TRichardson 
Cross examination is as American as apple pie.
Why are the Tax Credit Coup plotters trying to deprive @EricGreitens of his right to defend himself.
Even in political cases, this must be maintained 
#moleg #mogov #Greitens https://t.co/oTkCcj3CbF</t>
  </si>
  <si>
    <t>@ws_missouri Trent is correct. That's literally HOW it is done in court</t>
  </si>
  <si>
    <t>The video
"The Memory that I have isn't strong enough to testify to..."
✔ZERO evidence
✔Memory unreliable
✔Hence testimony unreliable
👉Also regret doesnt mean force 
You weren't forced 
The video made this even worse for the coup plotters!
#moleg #mogov #greitens #stl https://t.co/sqDSc0MdAW</t>
  </si>
  <si>
    <t>RT @ProfMJCleveland: @JohnWHuber @SaraCarterDC My query: what other techniques FBI/CIA/NSA use b/f launch of Crossfire Hurricane. Per regs…</t>
  </si>
  <si>
    <t>RT @ericbolling: Has anyone seen Jeff Sessions?  Has he been rendered incapacitated? Has he been devoured by the Swamp? 
Asking because a r…</t>
  </si>
  <si>
    <t>RT @seanmdav: The subject line on that e-mail McCabe sent to Comey et. al. that CNN had the "trigger" it needed for its story? "Flood is co…</t>
  </si>
  <si>
    <t>Then the KS Video 
Make no mistake. This was planned by Tax Credit COUP artists to air on the eve of the special session.
All "consultants" screaming this is somehow game changer cuz of closeups of "muh hands" when it fact it damages credibitly further!
#moleg #mogov #Greitens https://t.co/KVliguioDW</t>
  </si>
  <si>
    <t>RT @alisagbrnelson: Where HAVE I been? Great minds. #moleg https://t.co/9exakbEIZQ</t>
  </si>
  <si>
    <t>@alisagbrnelson @Neilin1Neil @blackwidow07 @RealTravisCook @RightSideUp313 @jrosenbaum @RetNavy93 @Lautergeist @grcfay @Hope4Hopeless1 @Sticknstones4 @TomJEstes @Norasmith1000 @MissouriGOP @mopns @SKOLBLUE1 #moleg #MoGov #greitens #lihtc https://t.co/rssrFXQnu3</t>
  </si>
  <si>
    <t>@alisagbrnelson @Neilin1Neil @blackwidow07 @RealTravisCook @RightSideUp313 @jrosenbaum @RetNavy93 @Lautergeist @grcfay @Hope4Hopeless1 @Sticknstones4 @TomJEstes https://t.co/1L3LnDHgOl</t>
  </si>
  <si>
    <t>RT @JW1057: Dear Kitty: Regret is not force. Regret is not coercion. Regret is wishing YOU had made a different choice in the past. You nee…</t>
  </si>
  <si>
    <t>@bryanmink15 @TeamGreitens @Mizzou Lol it wasnt directed at you. It was directed at your incorrect argument. Sorry snowflake. Ain't a bot just because I won the argument</t>
  </si>
  <si>
    <t>@bryanmink15 @TeamGreitens So you've already determined the verdict?
That shows you are ethical challenged too</t>
  </si>
  <si>
    <t>It isnt referring to you unless you think it's ok to accept a case as an SP where u have already determined the verdict
Taking the care shows an ethics issue. You cant teach ethics or integrity as can be seen by many of lawyers on here who dont care about facts 
#moleg #mogov https://t.co/b79lNmlKHf</t>
  </si>
  <si>
    <t>@alisagbrnelson Where have you been?
We got the meme game on lockdown.
#moleg #mogov #greitens #scammingscott https://t.co/XNLvwmiI5u</t>
  </si>
  <si>
    <t>@RealTravisCook @blackwidow07 @scottfaughn @Neilin1Neil @RightSideUp313 @jrosenbaum @Eric_Schmitt @RetNavy93 @Lautergeist @MattStoneABC @Hope4Hopeless1 Meme idea!</t>
  </si>
  <si>
    <t>RT @JW1057: @jmannies No expectation of privacy when you get naked in common area of another person's home. 
#moleg #mogov #greitens #Greit…</t>
  </si>
  <si>
    <t>RT @HotPokerPrinces: Let’s Play  
Is Your Legislator a Swamp Creature 🧟‍♂️🧟‍♀️
Go to https://t.co/RcPJFwdEMZ   Search candidates reports…</t>
  </si>
  <si>
    <t>RT @MSTLGA: This is not a woman that was sexually assaulted !  This was a consensual affair
Brought to light by political operatives that c…</t>
  </si>
  <si>
    <t>RT @MSTLGA: @Sticknstones4 @HotPokerPrinces So Far MEC Filings show these Legislators took 
Low Income Housing Tax Credit  $ #Moleg 
Todd…</t>
  </si>
  <si>
    <t>RT @MSTLGA: ITS NOT OK FOR YOU TO MAKE YOUR DONORS MILLIONAIRES!     
Todd Richardson 
Caleb Rowdan 
Shamed Dogan
Nicholas Schroer 
Elija…</t>
  </si>
  <si>
    <t>RT @MissouriLiberty: 3 Day Poll
Who is your pick to #fireclaire in the HOT Missouri Senate Race?
#MOSen #MOLeg #MOGov #MO #poll</t>
  </si>
  <si>
    <t>Its ethically wrong to take on a case when you have already prejudged the verdict.
Having followed #moleg for a while I've come to realize you can get a law degree at even the finest places but you can't teach ethics or integrity. You must have it within you.
#mogov #greitens https://t.co/eDBrweEf9w</t>
  </si>
  <si>
    <t>Good morning to everybody but @scottfaughn 
TAX CREDIT COUP ARTISTS busy pushing 3 pronged attack last night on eve of special session
The first part was assignment of SP
The issue with SP Baker is she PreJudged the case &amp;amp; assumed guilt! Must recuse! 
#moleg #mogov #greitens https://t.co/fs9D97rKkW</t>
  </si>
  <si>
    <t>Now do Sterling Bank and JES Holdings.
I'll wait.
#moleg #mogov #greitens
CC @Eric_Schmitt @BillEigel @EricGreitens @NickBSchroer @joelpollak @blackwidow07 @YearOfZero @Rep_TRichardson 
#lihtc https://t.co/zThgZ32RCo</t>
  </si>
  <si>
    <t>@BigBadReporter @EricGreitens What?
Shes also majorly conflicted and prejudged the case https://t.co/Y3Zke2zOqo</t>
  </si>
  <si>
    <t>@BryanLowry3 Shes conflicted bro! https://t.co/NjntBwd4gj</t>
  </si>
  <si>
    <t>RT @Str8DonLemon: KS ADMITS HER MEMORY ISN'T RELIABLE - AUDIO!
"...The Memory that I have isn't strong enough to testify to..."
👉No evide…</t>
  </si>
  <si>
    <t>RT @Str8DonLemon: Hancock is a politcal operator who hated the gov before this.
Biased.
"...The Memory that I have isn't strong enough to…</t>
  </si>
  <si>
    <t>RT @Str8DonLemon: She lied about Stacey Newman
#moleg #mogov #greitens https://t.co/g9DMlLeLnn</t>
  </si>
  <si>
    <t>RT @Str8DonLemon: Hey @KevinCorlew you need your base. And your base wants this impeachment nonsense ended!
End the Tax Credit COUP and we…</t>
  </si>
  <si>
    <t>RT @Str8DonLemon: Seems to be the theme "wring her hands" 
Thays whay the tax credit scammers are going with tonight.
She flat out said h…</t>
  </si>
  <si>
    <t>RT @YearOfZero: She actually lied during the interview bro. 
Also she admitted her memory isn’t reliable! #moleg #mogov https://t.co/DKX05…</t>
  </si>
  <si>
    <t>RT @YearOfZero: Bro. What are you smoking. Not only did the woman lie about Stacey Newman but she said the following: 
“The memory that I…</t>
  </si>
  <si>
    <t>RT @JW1057: @CaseyNolen Do you think a man who has taken a nonconsensual nude photo of you and sexually and physically abused you can be a…</t>
  </si>
  <si>
    <t>RT @Str8DonLemon: Dude she straight lied about certain things, other parts just weren't believable.
For example. She went back to his hous…</t>
  </si>
  <si>
    <t>RT @CJheartart: Would someone @dbongino &amp;amp; Joseph diGenova @RadioFreeAllman &amp;amp; @seanhannity &amp;amp; @IngrahamAngle PLEASE look into the Missouri me…</t>
  </si>
  <si>
    <t>RT @magathemaga1: The problem is the house lied. 
They can’t establish credibility as THEY NEVER EVEN CROSS EXAMINED THE WITNESS 
House t…</t>
  </si>
  <si>
    <t>Hey Jason. I have to call this out or else I wouldn’t be being honest with myself. Stacey Newman trying to keep a lid on it? So why work with #KimShady ? Why did she need to speak with her “house leadership”
Somebody is lying 
#moleg #mogov #greitens https://t.co/f4yuzg5Jm3</t>
  </si>
  <si>
    <t>The problem is the house lied. 
They can’t establish credibility as THEY NEVER EVEN CROSS EXAMINED THE WITNESS 
House testimony &amp;amp; criminal DONT MATCH UP. Meaning she lied.
@Rep_TRichardson how are you determining credibility anyway? 
#moleg #mogov #greitens https://t.co/L63Hg5ndnC</t>
  </si>
  <si>
    <t>@JoshAlterity @EricGreitens Hahahaha this is awesome @AP4Liberty</t>
  </si>
  <si>
    <t>RT @JW1057: @RealTravisCook @blackwidow07 @Markknight45 @magathemaga1 @VisioDeiFromLA @Avenge_mypeople @grcfay @EricGreitens @TeamGreitens…</t>
  </si>
  <si>
    <t>@Lautergeist @blackwidow07 @Markknight45 @VisioDeiFromLA @Avenge_mypeople @grcfay @EricGreitens @TeamGreitens @Rep_TRichardson @joel_capizzi @RSF_LAW @SKOLBLUE1 @RealTravisCook @EdBigCon @Hope4Hopeless1 @strmsptr @MOHouseGOP Call your law maker. That audio just made that woman look worse!</t>
  </si>
  <si>
    <t>RT @Avenge_mypeople: @JW1057 @EricGreitens @TeamGreitens You can bet she's getting payed. She went from being a woman who didn't want anyth…</t>
  </si>
  <si>
    <t>RT @VisioDeiFromLA: Hey Colleen — do you just enjoy lying for a living? 
There never should have been an indictment in the first place.
W…</t>
  </si>
  <si>
    <t>RT @VisioDeiFromLA: She prejudged the case and this should be off of it.
@RSF_LAW @JohnLamping @CStamper_ @JackPosobiec @ali 
#moleg #mog…</t>
  </si>
  <si>
    <t>RT @Sticknstones4: Hmmm Lots of Legislators took money from 
Low Income Housing Tax Credit Pac
Now they want to Impeach the Governor for s…</t>
  </si>
  <si>
    <t>RT @JW1057: @jrosenbaum @jeanpetersbaker @EricGreitens Barker has prejudged she is unethical for accepting appointment. @StLouisCityCA 
htt…</t>
  </si>
  <si>
    <t>RT @JW1057: @jeanpetersbaker is ethically comprised by accepting this appointment. She has already determined that there is a "victim" and…</t>
  </si>
  <si>
    <t>RT @JW1057: @jeanpetersbaker This is Katrina "Kitty" Sneed with her clothes on. I would show you a picture with her clothes off, but it doe…</t>
  </si>
  <si>
    <t>RT @magathemaga1: So shes a mistress? Well I'm glad that she is no longer claiming to be a  victim.
Funny how this is being leaked on eve…</t>
  </si>
  <si>
    <t>RT @YearOfZero: THERE IS NO EVIDENCE 
They have none. 
They indicted without evidence. The fundamental facts of the case aren’t changing.…</t>
  </si>
  <si>
    <t>RT @EdBigCon: @jrosenbaum @jeanpetersbaker @EricGreitens The selection of Baker, indicates to me that this is not over. This is political,…</t>
  </si>
  <si>
    <t>RT @JW1057: @lindsaywise @KCStar Yes, please tell us about @jeanpetersbaker lack of ethics. @Rep_TRichardson @StLCountyRepub 
https://t.co…</t>
  </si>
  <si>
    <t>RT @JW1057: @rebeccagberg I think they are confused it is anti-Greitens forces that are bribing people. See Al Watkins, Scott Faughn, and P…</t>
  </si>
  <si>
    <t>RT @JW1057: @EricGreitens We have your back! Choosing special prosecutor who has already judged you guilty. Kitty giving interview on eve o…</t>
  </si>
  <si>
    <t>@christoferguson This is made up I bet and there were 3 individuals I bet called in the complaint who constantly complain about imaginary things. Read the story. It describes no wrong doing</t>
  </si>
  <si>
    <t>RT @JW1057: @jdianeadams I think she forgot the word ALLEGED "criminal wrongdoing." That agains reflect bias on Baker's part. @jeanpetersba…</t>
  </si>
  <si>
    <t>So shes a mistress? Well I'm glad that she is no longer claiming to be a  victim.
Funny how this is being leaked on eve if impeachment
#moleg #MoGov #Greitens https://t.co/ZEFXVTTtn7</t>
  </si>
  <si>
    <t>RT @JW1057: @ksdknews Still don't think this is political? Kitty runs around for months screaming privacy and then gives interview on eve o…</t>
  </si>
  <si>
    <t>RT @sigi_hill: #Moleg ‘s Moral Turpitude - while taxpayers are getting screwed!
They are fully aware of the majority of Missourians demandi…</t>
  </si>
  <si>
    <t>RT @sigi_hill: .. RIG OUR ELECTION SYSTEM  = ELECTION FRAUD! This #TaxCreditMob does not care about if this is wrong as long as they get th…</t>
  </si>
  <si>
    <t>RT @sigi_hill: House Reps are predicting these vicious crooks wont stop the Coup d'état. These Slimy, arrogant swamp creatures are now goin…</t>
  </si>
  <si>
    <t>RT @sigi_hill: Mike Kehoe &amp;amp; Jay Barnes have a nasty reputation among #MoLeg - arrogant ruthless careless bullies!
Slimy Todd Richardson pul…</t>
  </si>
  <si>
    <t>RT @Avenge_mypeople: Look, this special prosecutor is so biased, she would be good with convicting men by using anonymous women. That works…</t>
  </si>
  <si>
    <t>RT @Avenge_mypeople: Here's the new, special prosecutor in the #Greitens case. They don't come any more liberal or biased than this. How mu…</t>
  </si>
  <si>
    <t>RT @magathemaga1: @Avenge_mypeople @grcfay @EricGreitens #moleg #greitens #mogov
The woman already prejudged the case!
hope @TeamGreitens…</t>
  </si>
  <si>
    <t>@BryanLowry3 Dude what are your smoking? https://t.co/OMqnBAbnSv</t>
  </si>
  <si>
    <t>@Avenge_mypeople @grcfay @EricGreitens #moleg #greitens #mogov
The woman already prejudged the case!
hope @TeamGreitens sees this!
She must recuse! “Victim”? She’s a victim? Alleged!
@Rep_TRichardson not only we see what’s going on with the tax credit scam but we see this political move! Witch Hunt!
@joel_capizzi https://t.co/VKhM3jLBhn</t>
  </si>
  <si>
    <t>@88YahamaKeys @ATeamMom1 @TheNewRight @Lautergeist @jallman971 @Aletheia_4Truth @gomurphy @Margare03880660 @juliematthews50 👍👍👍🤣🤣🤣</t>
  </si>
  <si>
    <t>RT @magathemaga1: Good afternoon 2 everybody but @scottfaughn 
Where U at bro? Going over public MEC disclosures... 
What's common theme?…</t>
  </si>
  <si>
    <t>Good afternoon 2 everybody but @scottfaughn 
Where U at bro? Going over public MEC disclosures... 
What's common theme?
Contributions? So what, right?
Where they R coming from &amp;amp; who they R connected to is interesting...
Keep Following money...
#moleg #mogov #Greitens #LIHTC https://t.co/6MXtIXy5CY</t>
  </si>
  <si>
    <t>RT @johncardillo: Running the intel op against your campaign. https://t.co/1FlYfpZCmV</t>
  </si>
  <si>
    <t>RT @Jamierodr10: “Instead of Apologizing for our nation, we are standing up for our nation an we are standing up for the men and women who…</t>
  </si>
  <si>
    <t>RT @DuckDuckGo: Please keep in mind that if you #deletefacebook or disengage or reduce usage (the more the better), FB trackers still lurk…</t>
  </si>
  <si>
    <t>RT @prageru: "You can be poor, middle class, rich, it doesn't matter. The Black Card will still confer upon you an entire history of oppres…</t>
  </si>
  <si>
    <t>RT @realDonaldTrump: If the FBI or DOJ was infiltrating a campaign for the benefit of another campaign, that is a really big deal. Only the…</t>
  </si>
  <si>
    <t>RT @KurtSchlichter: Never Trump is now busy excusing Democrat spying, apparently because Trump is icky.
Never Trump is a gateway drug to l…</t>
  </si>
  <si>
    <t>RT @TruthMatters13: No worries... I already canceled my subscription. Netflix has continually went down hill. Their poorly made movies are…</t>
  </si>
  <si>
    <t>RT @smart_hillbilly: @ericgraves50 @EricGreitens @KOMUnews That would be because the average Missourian voted for him, and realize that thi…</t>
  </si>
  <si>
    <t>RT @jrosenbaum: I guess if Faughn won't come before the #moleg committee, the committee could always subpoena some of his sponsors. https:/…</t>
  </si>
  <si>
    <t>RT @magathemaga1: @TeamGreitens #moleg #mogov #Greitens 
Where you at @scottfaughn 
Who gave you the money? https://t.co/KWrLouBgdj</t>
  </si>
  <si>
    <t>RT @YearOfZero: STERLING BANK
#moleg #mogov #greitens #missouri @Rep_TRichardson @BillEigel @Eric_Schmitt @EricGreitens 
#taxcredits http…</t>
  </si>
  <si>
    <t>RT @YearOfZero: Nobody cares what  KCSTARs opinion &amp;amp; you don’t get to decide if he keeps his job or not
Elections determine that
Anything…</t>
  </si>
  <si>
    <t>RT @CStamper_: The lawyer whose client received $120,000 in cash ($50,000 of which was hand-delivered by a media member) for his role in po…</t>
  </si>
  <si>
    <t>RT @HotPokerPrinces: Why are the Republicans protecting Scott Faughn ?
Bag Man drops off 70,000 in cash to Al Watkins &amp;amp; the House Committee…</t>
  </si>
  <si>
    <t>RT @CStamper_: “When we mix politics into the administration of the law, we violate our country’s oldest and most sacred traditions.” Well…</t>
  </si>
  <si>
    <t>RT @CStamper_: This convicted felon who hand delivered $50,000 to a lawyer involved in Soros-backed Kim Gardner’s witch hunt has been evadi…</t>
  </si>
  <si>
    <t>@TeamGreitens #moleg #mogov #Greitens 
Where you at @scottfaughn 
Who gave you the money? https://t.co/KWrLouBgdj</t>
  </si>
  <si>
    <t>So he is still on the run?
MEME TIME
YO @scottfaughn 
I've been combing over PUBLIC MEC FORMS... yeah, yeah, campaign contributions arent illegal... but funny how a certain industry has its tentacles all over the place.
Who gave you the money?
#moleg #mogov #greitens #lihtc https://t.co/ZvycSQPD5w</t>
  </si>
  <si>
    <t>RT @RealSaavedra: Is Special Counsel Robert Mueller going to investigate this?
Chinese government officials reached out to Hillary’s campa…</t>
  </si>
  <si>
    <t>RT @joshdcaplan: INBOX: 'Rep. Lee Zeldin (R-NY) and at least 16 other lawmakers to introduce 12 page resolution detailing misconduct at hig…</t>
  </si>
  <si>
    <t>RT @YearOfZero: Support @EricGreitens by signing and sharing these two petitions. 
(1) Oppose impeachment and/or censure.  
https://t.co/U…</t>
  </si>
  <si>
    <t>RT @Str8DonLemon: What deal did @Mikelkehoe cut with @mikeparson to enable this coup in #Greitens 
Also LIHTC ????
Somebody should be fol…</t>
  </si>
  <si>
    <t>RT @TrumpChess: @CStamper_ You know there's a reason why most gop aren't running for re-election in #MO Politicians across #America have be…</t>
  </si>
  <si>
    <t>RT @Str8DonLemon: Also what did @mariachapelleN mean by this tweet??
#moleg #mogov #greitens #missouri #stl #lihtc #taxcredits 
@JohnLamp…</t>
  </si>
  <si>
    <t>RT @CStamper_: “Missouri Republicans understood that Gardner, a Soros-funded Democrat, was less interested in justice than in political rev…</t>
  </si>
  <si>
    <t>RT @JCunninghamMO: After two prosecutors dropped their cases, moving forward against @EricGreitens looks suspect and not like justice. #mol…</t>
  </si>
  <si>
    <t>RT @BackThePolice: Good morning! https://t.co/yAUq0krMSp</t>
  </si>
  <si>
    <t>RT @dcexaminer: Gina Haspel is sworn in as CIA director https://t.co/SB9OS0B8fJ</t>
  </si>
  <si>
    <t>@TheBluesMan361 @X1Titan @ResignNowKim @i_like_sykes @HawleyMO @smart_hillbilly @AP4Liberty @SykesforSenate You should actually research it before speaking about it. Even your language there presupposes its true when it’s categorically false and unproven.
Your talking like a leftist.</t>
  </si>
  <si>
    <t>@TheBluesMan361 @X1Titan @ResignNowKim @i_like_sykes @HawleyMO @smart_hillbilly @AP4Liberty @SykesforSenate It’s a false smear idiot. It’s people like you that are driving me away from @AP4Liberty but by all means keep using idiotic argumentation to win votes</t>
  </si>
  <si>
    <t>RT @CStamper_: The witch hunt against Missouri’s conservative Governor is scraping the bottom of the barrel. Now they’re looking for minor…</t>
  </si>
  <si>
    <t>RT @CStamper_: “[L]awmakers say they are hearing from constituents skeptical of the process after a whirlwind felony invasion of privacy ca…</t>
  </si>
  <si>
    <t>RT @DamonEarl: @magathemaga1 just noticed your bio quote https://t.co/9EoyLzrV71</t>
  </si>
  <si>
    <t>RT @nedryun: “Stopping Mueller isn't about 1 president or 1 party. It's about all presidents &amp;amp; all parties. It's about cleaning out &amp;amp; refor…</t>
  </si>
  <si>
    <t>RT @charliekirk11: Any elected official that aids illegals to evade ICE agents should be arrested and removed from office 
We cannot have…</t>
  </si>
  <si>
    <t>RT @steph93065: @realDonaldTrump He was directing the entire thing</t>
  </si>
  <si>
    <t>RT @KurtSchlichter: He was in the middle of it https://t.co/4BORyJighw</t>
  </si>
  <si>
    <t>RT @realDonaldTrump: The Wall Street Journal asks, “WHERE IN THE WORLD WAS BARACK OBAMA?”  A very good question!</t>
  </si>
  <si>
    <t>RT @AriFleischer: A text from an FBI agent in 2016 says “the White House is running this”, referring to the opening of the Trump investigat…</t>
  </si>
  <si>
    <t>RT @dbongino: Thoroughly enjoying police-state liberals and their media acolytes all over my twitter timeline this morning. Suck it up butt…</t>
  </si>
  <si>
    <t>RT @johncardillo: Jeff Sessions is not a national security or public corruption prosecutor. 
His job is not to operate in the shadows. He…</t>
  </si>
  <si>
    <t>RT @SonofLiberty357: With flood of new evidence from recent days, it is becoming difficult to deny that Obama and his men abused powers of…</t>
  </si>
  <si>
    <t>@TheBluesMan361 @X1Titan @ResignNowKim @i_like_sykes @HawleyMO @smart_hillbilly @AP4Liberty @SykesforSenate Its a Twitter handle.  Not a a statement on the presumption of innocence.</t>
  </si>
  <si>
    <t>RT @NRA: #MEMPHIS, TN: Jawone Grice was taking out money from an ATM, when a criminal came out of a car and pointed a gun at Grice. Grice,…</t>
  </si>
  <si>
    <t>RT @ScottPresler: THIS IS HUGE: China set to slash $200 Billion from its annual trade surplus &amp;amp; "significantly increase purchases" of US go…</t>
  </si>
  <si>
    <t>RT @freedom_moates: Should President Trump talk to Mueller?</t>
  </si>
  <si>
    <t>RT @TheLastRefuge2: Clear evidence emerges of President Trump conspiring with a foreign government official to win the 2016 election. https…</t>
  </si>
  <si>
    <t>RT @TamiD1212: @realDonaldTrump Anyone who believes the DNC servers were hacked, when they refused to produce one oz of evidence or allow a…</t>
  </si>
  <si>
    <t>RT @realDonaldTrump: What ever happened to the Server, at the center of so much Corruption, that the Democratic National Committee REFUSED…</t>
  </si>
  <si>
    <t>RT @Neilin1Neil: Kangaroos are no longer just in Australia. https://t.co/gLskL2OorO</t>
  </si>
  <si>
    <t>RT @SebGorka: THE GLOVES ARE OFF. 
Swampdwellers you just lost control. 
@realDonaldTrump has just officially announced the end of your r…</t>
  </si>
  <si>
    <t>RT @PoliticalShort: Public, Congress, &amp;amp; the courts thought the scope was one thing, &amp;amp; have now been informed it’s something else..unclear w…</t>
  </si>
  <si>
    <t>RT @AKolostomyBag: @DaveKelley6 @matthewamiller @sallyyates @Comey The same justice dept that used specious oppo research as a reason to ge…</t>
  </si>
  <si>
    <t>Sally Yates is a criminal https://t.co/5BzZ56VzGq</t>
  </si>
  <si>
    <t>Lol. No. We got there when Obama's team violated the 4th and spied on trump illegally looking for dirt https://t.co/wQwLTOZrkG</t>
  </si>
  <si>
    <t>You mean how Obama illegally spied and violated the fourth amendment on his politcal opponents? https://t.co/KYlm1COXgz</t>
  </si>
  <si>
    <t>RT @redsteeze: You calling the FBI and the DOJ his political opponents kind of proves his point does it not? https://t.co/dXuUN3Vjcn</t>
  </si>
  <si>
    <t>RT @TheNewRight: So I’m at this thing yesterday morning, and I’m bored, so I’m checking my Twitter every other minute because y’know...Hume…</t>
  </si>
  <si>
    <t>RT @AmfellinAlicia: Great detective work @TheNewRight !  People are unbelievable.  🙄 https://t.co/vWkLYYkKnE</t>
  </si>
  <si>
    <t>RT @971FMTalk: "Something this generation is being raised on is the idea that everyone gets a trophy. That's not reality," @MarcCox971</t>
  </si>
  <si>
    <t>RT @1776Stonewall: From Gateway pundit:   Records Show FBI ‘Informant’ Stefan Halper Was Paid $282,000 In 2016 For Spying On Trump — And An…</t>
  </si>
  <si>
    <t>RT @JW1057: Support Gov. Eric Greitens by signing and sharing petition opposing impeachment and/or censure.  
https://t.co/zo2PsYxQ38
 #Bi…</t>
  </si>
  <si>
    <t>Why? If Obama illegally spied, investigate https://t.co/iXeMZRetu7</t>
  </si>
  <si>
    <t>Uh ... yes it is. https://t.co/FGQLGqVbKR</t>
  </si>
  <si>
    <t>RT @johncardillo: Factually inaccurate. 
POTUS hires and can fire the AG and FBI Director. They report to him. 
Sad that a sitting Senato…</t>
  </si>
  <si>
    <t>Lol. Thjs didnt happen https://t.co/lNjynkKitt</t>
  </si>
  <si>
    <t>RT @streetglide12: @brianklaas Really you should probably renounce your citizenship and stay in Europe. Please</t>
  </si>
  <si>
    <t>I dont trust most of our allies? Lol Germany? They allowed the invasion it Europe and dont even listen to their people. I dont care if they don't like us https://t.co/IJ9IbAXSeH</t>
  </si>
  <si>
    <t>RT @ColumbiaBugle: .@anncoulter discussing the Left's reaction to Trump's comments on MS-13 on Waters World:
"They hate this country and w…</t>
  </si>
  <si>
    <t>RT @FoxNews: .@PressSec: "If the media and liberals want to defend MS-13, they're more than welcome to. Frankly, I don't think the term @PO…</t>
  </si>
  <si>
    <t>RT @FiveRights: Obamagate is now is officially underway.
Maybe he'll be the first President to do prison time.
https://t.co/MtQBGwdRMm</t>
  </si>
  <si>
    <t>RT @DevinNunes: Part 2 of my interview with @MariaBartiromo https://t.co/qHLwAjqMRF</t>
  </si>
  <si>
    <t>RT @prosqtor: @Ali_H_Soufan A suggestion - spend some time familiarizing yourself with the Constitution.
Here's a starting point for resea…</t>
  </si>
  <si>
    <t>RT @Swankssss: @Ali_H_Soufan @allahpundit How does such an idiot get a blue star. He OWNS the Exec branch moron, who was it that fired Come…</t>
  </si>
  <si>
    <t>RT @crystlgib: @Ali_H_Soufan The #DOJ is part of the executive branch. They work for the president. All of them. Every last one, even the a…</t>
  </si>
  <si>
    <t>RT @Belle_Vivant: @Ali_H_Soufan @Limeylizzie TICK TOCK 
THE IG REPORT IS GONNA BE 🔥🔥 https://t.co/eXyu78xWRX</t>
  </si>
  <si>
    <t>Your lack of knowledge of the constitution makes perfect sense for the quality of the FBI we have today.
You guys think you can make it up as you go along and the law always sides with you.  
What a joke. https://t.co/d84aFFhfHS</t>
  </si>
  <si>
    <t>RT @nobelpatriot: @Ali_H_Soufan Your lack of knowledge of the constitution makes perfect sense for the quality of the FBI we have today.
Y…</t>
  </si>
  <si>
    <t>RT @AnnKelly007: @Ali_H_Soufan Do yourself a favor buddy, Google "The Constitution of the United States of America."</t>
  </si>
  <si>
    <t>Where did you go to law school? They report to him. He can order them to do whatever he wants. https://t.co/d84aFFhfHS</t>
  </si>
  <si>
    <t>RT @TheLastRefuge2: Good grief... 👇this guy is "a former FBI agent"??  How do you think President Obama instructed the DOJ (Eric Holder) to…</t>
  </si>
  <si>
    <t>RT @johncardillo: Part of the problem is a basic misunderstanding of civics. 
DOJ and FBI are executive, not judiciary, branch agencies.…</t>
  </si>
  <si>
    <t>RT @RadioFreeAllman: Thank you, thank you, thank you my lovely friends for a beautiful, energetic, and inspiring night at home base at RFA…</t>
  </si>
  <si>
    <t>RT @SykesforSenate: Israel discovered, in 1974, that placing guns in schools makes children safer. Why fight proven solutions that can end…</t>
  </si>
  <si>
    <t>RT @thebradfordfile: WHY WEREN'T BOYS COMMITTING MASS MURDER 30 YEARS AGO?
Gun issue? NOPE.
Culture issue? YEP.
Mental health issue? YEP…</t>
  </si>
  <si>
    <t>RT @realDonaldTrump: I hereby demand, and will do so officially tomorrow, that the Department of Justice look into whether or not the FBI/D…</t>
  </si>
  <si>
    <t>@smart_hillbilly @TheBluesMan361 @i_like_sykes @ResignNowKim @HawleyMO @AP4Liberty @SykesforSenate @Monetti4Senate @ChanelRion That could be your son one day. Slandered in the court of punlic opinion even when he innocent.</t>
  </si>
  <si>
    <t>@smart_hillbilly @ResignNowKim @TheBluesMan361 @i_like_sykes @HawleyMO @AP4Liberty @SykesforSenate Sorry I had a typo. I would have preferred brooks but still no excuse for the slander</t>
  </si>
  <si>
    <t>RT @YearOfZero: I hear STERLING BANK is a great place to bank!
#MoLeg #MoGov #Greitens #Missouri #stlouis #MoSen https://t.co/7wkigEyvAC</t>
  </si>
  <si>
    <t>RT @Avenge_mypeople: This can be illustrated in the case of #greitens in Missouri. Every dirty trick imaginable has been used by both Democ…</t>
  </si>
  <si>
    <t>RT @Monetti4Senate: Great meeting with President of Judicial Watch, Tom Fitton. Great American. #MAGA #ReadyforMonetti #MoSen https://t.co/…</t>
  </si>
  <si>
    <t>RT @SykesforSenate: @JohnBrennan, I pray this isn't over before the #2018midrerm and our paths cross after I take office. The American peop…</t>
  </si>
  <si>
    <t>RT @magathemaga1: @Vets4AP @AnthonyBauman5 @AP4Liberty @Rhezorback @RMConservative @NeilMunroDC This nails many of our thinking on this 
h…</t>
  </si>
  <si>
    <t>RT @i_like_sykes: @magathemaga1 @TheBluesMan361 @ResignNowKim @HawleyMO @smart_hillbilly Guilty until proven innocent seems to be the new n…</t>
  </si>
  <si>
    <t>@X1Titan @ResignNowKim @TheBluesMan361 @i_like_sykes @HawleyMO @smart_hillbilly @AP4Liberty @SykesforSenate This is really required reading 
https://t.co/C5wA0zXSsR</t>
  </si>
  <si>
    <t>@X1Titan @ResignNowKim @TheBluesMan361 @i_like_sykes @HawleyMO @smart_hillbilly @AP4Liberty @SykesforSenate If we don’t fight back it will keep happening. People think I tweet so often about greitens because I’m his fan. No, because I’m afraid of what comes if it’s successful. Moore laid the ground work for greitens. Greitens will lay the ground work for others including trump</t>
  </si>
  <si>
    <t>@smart_hillbilly @ResignNowKim @TheBluesMan361 @i_like_sykes @HawleyMO @AP4Liberty @SykesforSenate It was a good smear. Because it mixed facts (like where he worked, etc) with total fiction. It was enough to get people to believe. Now Moore wasn’t a great candidate (campaign wise) i would have went with Moore but what they did was criminal</t>
  </si>
  <si>
    <t>@smart_hillbilly @ResignNowKim @TheBluesMan361 @i_like_sykes @HawleyMO @AP4Liberty @SykesforSenate Of course, as @joel_capizzi or even @visiodeifromla (who worked down there doing market research, I believe) or even @Trader_Moe who ran statistical analysis after analysis showing the election was stolen.... all of them will attest to the fact it was a giant scam on the man</t>
  </si>
  <si>
    <t>@smart_hillbilly @ResignNowKim @TheBluesMan361 @i_like_sykes @HawleyMO @AP4Liberty @SykesforSenate What made that worse is it was 30 years ago. There was no way to prove such an allegation. More importantly, there was no way to disprove. Once the slander was out there — how so you disprove 30 years after the fact?</t>
  </si>
  <si>
    <t>@smart_hillbilly @ResignNowKim @TheBluesMan361 @i_like_sykes @HawleyMO @AP4Liberty @SykesforSenate But then again, we are all innocent until proven otherwise. Some of these attacks are just getting too petty. If i have followed this whole greitens saga closely, I followed the Moore thing even more closely, and it was total bs.</t>
  </si>
  <si>
    <t>@smart_hillbilly @ResignNowKim @TheBluesMan361 @i_like_sykes @HawleyMO @AP4Liberty @SykesforSenate Look it’s not my intent here to attack @AP4Liberty here. This was more geared at stupid attacks like “Moore”. Anybody who actually followed that whole ordeal knows Moore was an innocent man.</t>
  </si>
  <si>
    <t>@TheBluesMan361 @i_like_sykes @ResignNowKim @HawleyMO @smart_hillbilly @AP4Liberty @SykesforSenate End rant 
@AP4Liberty @Monetti4Senate @SykesforSenate @ChanelRion</t>
  </si>
  <si>
    <t>@TheBluesMan361 @i_like_sykes @ResignNowKim @HawleyMO @smart_hillbilly @AP4Liberty @SykesforSenate Get ready. Know what you stand for. Don’t accept the story liberals tell like you are doing. Tell the story of how things actually are. 
Character counts. Stand for what’s right even when it’s not popular. Don’t buy into media drive but hit jobs 
#MoSen</t>
  </si>
  <si>
    <t>@TheBluesMan361 @i_like_sykes @ResignNowKim @HawleyMO @smart_hillbilly @AP4Liberty @SykesforSenate @AP4Liberty stands up for the constitution. 
That my friend is controversial according to the media and the left 
Yes even that. If u don’t think so, u haven’t been paying attention. They will go after Ap4 just like Moore or trump or Reagan (if ur old enough 2 remember) #MoSen</t>
  </si>
  <si>
    <t>@TheBluesMan361 @i_like_sykes @ResignNowKim @HawleyMO @smart_hillbilly @AP4Liberty @SykesforSenate No man deserves that. He was controversial because he stood up for god and the constitution and America. 
That my friend is controversial according the media and the left.</t>
  </si>
  <si>
    <t>@TheBluesMan361 @i_like_sykes @ResignNowKim @HawleyMO @smart_hillbilly @AP4Liberty @SykesforSenate People who actually paid attention to the whole farce saw an innocent man — albeit controversial — railroaded with false charges, paid off women, and a media who didn’t give a f*** about finding the truth. 
#MoSen</t>
  </si>
  <si>
    <t>@TheBluesMan361 @i_like_sykes @ResignNowKim @HawleyMO @smart_hillbilly @AP4Liberty @SykesforSenate I am keeping an open mind on #mosen but this type of attack isn’t going to garner people who are on the fence. You say such and such about Moore but when you say it, you are telling the story democrats want you to tell. You are using their frame.</t>
  </si>
  <si>
    <t>@TheBluesMan361 @i_like_sykes @ResignNowKim @HawleyMO @smart_hillbilly @AP4Liberty @SykesforSenate And I’ll tell you one more thing, the media went all out to destroy that man. And republicans played along rather than fighting for their man, all because they wouldn’t be able to control him. You think they won’t do that to @AP4Liberty ?</t>
  </si>
  <si>
    <t>@TheBluesMan361 @i_like_sykes @ResignNowKim @HawleyMO @smart_hillbilly @AP4Liberty @SykesforSenate Roy backed Sykes? So what? Is that supposed to be bad? 
How? Is it bad because you believe a left wing narrative? If you buy into leftist narratives, why are you voting for @AP4Liberty because SHOULD he win the primary, they are going to slander him too. It’s what they do #mosen</t>
  </si>
  <si>
    <t>@TheBluesMan361 @i_like_sykes @ResignNowKim @HawleyMO @smart_hillbilly @AP4Liberty @SykesforSenate Read up on it. I’m rooting for Moore to win his defamation lawsuit.
Character isn’t just about “not lying to voters” to get a vote as @AP4Liberty says. It’s about standing up for what is right even when the world will attack you for it.
#MoSen</t>
  </si>
  <si>
    <t>@TheBluesMan361 @i_like_sykes @ResignNowKim @HawleyMO @smart_hillbilly @AP4Liberty @SykesforSenate I’m going on a rant here, but only a leftist idiot would try to use “Moore” as a negative. Did you follow what they did to the man? I did. Absolutely slander. No proof. People paid off. And what, they disappear after the election.</t>
  </si>
  <si>
    <t>@TheBluesMan361 @i_like_sykes @ResignNowKim @HawleyMO @smart_hillbilly @AP4Liberty @SykesforSenate Gloria Allred, scam artist queen, who had already previously been caught paying people off to make up stuff... she was involved? And then Moore loses by what 10,000 votes, where counties had more votes than people? Sorry, but In America, its innocent until proven guilty. #mosen</t>
  </si>
  <si>
    <t>@TheBluesMan361 @i_like_sykes @ResignNowKim @HawleyMO @smart_hillbilly @AP4Liberty @SykesforSenate Speaking of Moore and I’m not special pleader for the man, but he was already controversial. You mean to tell me none of these women came forward during the 10 of so other controversies Moore had and only when “Me Too” was being pushed? 30 years after? 
#moleg</t>
  </si>
  <si>
    <t>@TheBluesMan361 @i_like_sykes @ResignNowKim @HawleyMO @smart_hillbilly @AP4Liberty If anything, my respect for for @SykesforSenate goes up by him not running for the hills over fake political hit jobs. Moore not only lost but was slandered but Sykes has some principle and isn’t hiding. That’s called character. That I can respect.</t>
  </si>
  <si>
    <t>@TheBluesMan361 @i_like_sykes @ResignNowKim @HawleyMO @smart_hillbilly Those women were clearly paid to make up that garbage &amp;amp; any conservative who buys into such a hit job needs 2 do a reality check. Disagree? Prove it in court
Not being rude @AP4Liberty but the way some of ur people Attack from Sykes 2 Monetti turning off a lot of us 
#moleg</t>
  </si>
  <si>
    <t>@TheBluesMan361 @i_like_sykes @ResignNowKim @HawleyMO @smart_hillbilly Roy Moore is an innocent man. Sorry. While I haven’t decided who I am going to vote for I don’t appreciate people who presume guilt on phony hit job
All those women dropped off face of the earth after the election, and they only came forward 30 years after fact? Please. #mosen</t>
  </si>
  <si>
    <t>@Vets4AP @AnthonyBauman5 @AP4Liberty @Rhezorback @RMConservative @NeilMunroDC @joel_capizzi @SykesforSenate @Monetti4Senate This is a key passage
#mosen #Immigration #missouri https://t.co/RN3X7ETkKP</t>
  </si>
  <si>
    <t>@Vets4AP @AnthonyBauman5 @AP4Liberty @Rhezorback @RMConservative @NeilMunroDC This nails many of our thinking on this 
https://t.co/w4YZpDJbGw
@NeilMunroDC @joel_capizzi @SykesforSenate @Monetti4Senate @AP4Liberty #mosen</t>
  </si>
  <si>
    <t>@Vets4AP @AnthonyBauman5 @AP4Liberty @Rhezorback @RMConservative @NeilMunroDC I can take or leave wall, provided laws are Strickland enforced. But in this sense, a wall would be a government program I could get behind as that’s what it would be. It would only expand which is good &amp;amp; would provide jobs and industry. Either way they think our border is a joke</t>
  </si>
  <si>
    <t>@Vets4AP @AnthonyBauman5 @AP4Liberty @Rhezorback @RMConservative @NeilMunroDC Hence why immigration is a major sticking point for many of us.</t>
  </si>
  <si>
    <t>@Vets4AP @AnthonyBauman5 @AP4Liberty @Rhezorback @RMConservative @NeilMunroDC That would have solved the Daca dilemma, but it’s not about that. It’s about using immigration as a weapon against small government Americans who vote R</t>
  </si>
  <si>
    <t>@Vets4AP @AnthonyBauman5 @AP4Liberty @Rhezorback @RMConservative @NeilMunroDC Right. When trump offered that Daca deal, he was way too generous to their side and didn’t ask for much that we wanted. He didn’t have to offer them that deal. But he did anyway and pissed off a lot in his base. Way too generous. 
They don’t want a deal. They just want their way</t>
  </si>
  <si>
    <t>@Vets4AP @AnthonyBauman5 @AP4Liberty @Rhezorback @RMConservative @NeilMunroDC I’m trilingual and speak Spanish but I’m telling you, if we don’t slow down immigration the nation will split itself apart based on our concept of what governments role is. Rome fell for this exact reason. But that the progressive goal. Destruction of the constitution</t>
  </si>
  <si>
    <t>@Vets4AP @AnthonyBauman5 @AP4Liberty @Rhezorback @RMConservative @NeilMunroDC That’s why the wall is important to so many of us. It’s not just a program. It’s a symbol. 
In a sense of that, the laws have to be strictly enforced on that. You can’t have all these different groups of people in one country without a common langue and values.</t>
  </si>
  <si>
    <t>@Vets4AP @AnthonyBauman5 @AP4Liberty @Rhezorback @RMConservative @NeilMunroDC This is by design. Look up Rudy texieras book, the emerging democrat majority. They are using immigration as a weapon against Americans who support the constitution. 
Hence there can be no compromise in their mind. Because they don’t want to stop the flooding of people</t>
  </si>
  <si>
    <t>@Vets4AP @AnthonyBauman5 @AP4Liberty @Rhezorback @RMConservative @NeilMunroDC And most importantly A MORTARIUM 
They can stay if we get all those things. Remember, we don’t have to negotiate. We have existing laws. We can just enforce them. 
They won’t ever cut a deal because they want 1st gen immigrants to keep flooding in as 3rd and 4th gen assimilate</t>
  </si>
  <si>
    <t>@Vets4AP @AnthonyBauman5 @AP4Liberty @Rhezorback @RMConservative @NeilMunroDC No. Not Daca. I’ll finish</t>
  </si>
  <si>
    <t>@Vets4AP @AnthonyBauman5 @AP4Liberty @Rhezorback @RMConservative @NeilMunroDC Wall. (Debateable)
Voter ID 
Welfare reform (cut it off)
Birthright citizenship restrictions(remember, this was meant for only slaves, and interpretation being abused) 
Merit based immigration 
Everify
End obstruction 
Basically everything we want, maybe with or without wall.</t>
  </si>
  <si>
    <t>@Vets4AP @AnthonyBauman5 @AP4Liberty @Rhezorback @RMConservative @NeilMunroDC So... why couldn’t we forge a compromise that allows legal status for these folks, but basically gives us everything trump has proposed?</t>
  </si>
  <si>
    <t>@Vets4AP @AnthonyBauman5 @AP4Liberty @Rhezorback @RMConservative @NeilMunroDC Now, how do you deport all these people? Well it’s tough but you gotta start. But people say, we need a compromise, we need a compromise.... ok. Well remember, illegals have no rights and no leverage.</t>
  </si>
  <si>
    <t>@Vets4AP @AnthonyBauman5 @AP4Liberty @Rhezorback @RMConservative @NeilMunroDC The problem is, we haven’t enforced the law for so long that we have 20-40 million illegals here right now. Don’t believe any number democrat or an open Borders advocate will say. It’s around 20-40 million. Many who have only been here for 10-15 years, don’t speak English, etc</t>
  </si>
  <si>
    <t>@Vets4AP @AnthonyBauman5 @AP4Liberty @Rhezorback @RMConservative @NeilMunroDC Let’s take Latinos, for example. Conservative, except in their views on government. That said, as they assimilate that changes, and by 3rd and 4th generation, they are for more to the right ... the problem with the pence proposal?</t>
  </si>
  <si>
    <t>@Vets4AP @AnthonyBauman5 @AP4Liberty @Rhezorback @RMConservative @NeilMunroDC I can live without a wall, but deportations and enforcement of the law are needed. We are losing our country and values because we won’t enforce the law. It’s just fact. And it’s not a race thing either. The stats back up what I’m saying</t>
  </si>
  <si>
    <t>@Vets4AP @AnthonyBauman5 @AP4Liberty @Rhezorback @RMConservative @NeilMunroDC Horrible. It’s called touch back amnesty. 
It’s also ripe for abuse. Let’s just say I’ve worked with many judges and ive seen how they abuse the process pertaining to this particular issue.</t>
  </si>
  <si>
    <t>@Vets4AP @AnthonyBauman5 @AP4Liberty @Rhezorback @RMConservative @NeilMunroDC The problem isn’t just democrats, it’s sort republicans who have been afraid of being called “racist” for enforcing the law. That has actually made the prob worse</t>
  </si>
  <si>
    <t>@Vets4AP @AnthonyBauman5 @AP4Liberty @Rhezorback @RMConservative @NeilMunroDC Judges need to be impeached. What about enforcement of existing laws? It’s one thing to talk, but we need an actionable plan to busy through the logjam.</t>
  </si>
  <si>
    <t>@Vets4AP @AnthonyBauman5 @AP4Liberty @Rhezorback So what’s the plan? Follow @RMConservative and @NeilMunroDC 
They have outlined this problem in depth. Even trump is being obstructed, especially southwest and 9th circus.</t>
  </si>
  <si>
    <t>RT @DFBHarvard: The #ObamaLegacy is going to collapse from the weight of its own deceit &amp;amp; arrogance.
There is no "plausible deniability" f…</t>
  </si>
  <si>
    <t>@landypeter @joel_capizzi @NeilStruharik @LovesRemo @NoMoSocialism75 @BigLeague2020 @realDonaldTrump @SykesforSenate @AP4Liberty @POTUS Yeah this is just as bad. I’m well aware of all the scams going on. They are using immigration as a weapon against the American people. That’s all there is too it. I’m all for immigration when it benefits America. This is designed to replace Americans with people who will vote D</t>
  </si>
  <si>
    <t>RT @realDonaldTrump: Congratulations to Lou Barletta of Pennsylvania. He will be a great Senator and will represent his people well - like…</t>
  </si>
  <si>
    <t>RT @realDonaldTrump: Congratulations to Deb Fischer. The people of Nebraska have seen what a great job she is doing - and it showed up at t…</t>
  </si>
  <si>
    <t>RT @charliekirk11: If a black man wore a Hillary hat into a restaurant was screamed at, berated, called N****R publicly, and made fun of fo…</t>
  </si>
  <si>
    <t>RT @mflynnJR: Incredible.....highly doubt the #FakeNews will show this..... https://t.co/VQZu1Swivk</t>
  </si>
  <si>
    <t>RT @DineshDSouza: Is Mueller investigating a crime or going in search of a crime? One is police work; the other is characteristic of a poli…</t>
  </si>
  <si>
    <t>RT @AndrewPollackFL: Those who were responsible for the death of my daughter will be held accountable. So many people failed my daughter an…</t>
  </si>
  <si>
    <t>RT @RealOmarNavarro: Heard @Crowdpac is shutting down for Republicans. It’s disappointing. I respect the choice to do it. We are not a comm…</t>
  </si>
  <si>
    <t>RT @dbongino: The tech industry is using a hate group to ferret out hate? https://t.co/1pQ3JLAn4i</t>
  </si>
  <si>
    <t>RT @VeryJakeNews: Trump could usher in world peace and the mainstream media still wouldn't talk about it https://t.co/8424nxhnCg</t>
  </si>
  <si>
    <t>RT @jeffgiesea: John Brennan: "nonpartisan American" https://t.co/4cNqAQtJhj</t>
  </si>
  <si>
    <t>@gagemitchusson This isn’t good enough. No interviews and fire mueller. Any interview will be a perjury trap</t>
  </si>
  <si>
    <t>RT @magathemaga1: @joel_capizzi @NeilStruharik @LovesRemo @NoMoSocialism75 @BigLeague2020 @realDonaldTrump @SykesforSenate @AP4Liberty @POT…</t>
  </si>
  <si>
    <t>@dominick_robin @AP4Liberty 80 to 90 percent of the issue though is the southern border just to be clear</t>
  </si>
  <si>
    <t>@dominick_robin @AP4Liberty Visa overstays are 5 to 10 percent tops. It’s a myth being pushed that this is a huge issue. Of course, this problem needs to be addressed to. 
We enforce the law. Even trump enforcing existing laws is being obstructed by out of control judges.</t>
  </si>
  <si>
    <t>@Vets4AP @AnthonyBauman5 @AP4Liberty @Rhezorback That’s the single biggest problem. We don’t enforce the laws that have been codified. If there was fear that we’d actually enforce the laws, the wall probably wouldn’t even be part of this discussion</t>
  </si>
  <si>
    <t>@Vets4AP @AnthonyBauman5 @AP4Liberty @Rhezorback Here’s what I would like An answer to, what is your plan to enforce existing immigration laws and deal with the out of control judges who have made ignoring these laws possible. The wall would be less of an issue for people if enforcement of EXISTING LAWS wasn’t being obstructed</t>
  </si>
  <si>
    <t>@ClaudesBBQ @AP4Liberty @JoshAlterity That’s the single biggest problem. We don’t enforce the laws that have been codified. If there was fear that we’d actually enforce the laws, the wall probably wouldn’t even be part of this discussion</t>
  </si>
  <si>
    <t>@ClaudesBBQ @AP4Liberty @JoshAlterity</t>
  </si>
  <si>
    <t>@ClaudesBBQ Here’s what I would like An answer to, what is your plan to enforce existing immigration laws and deal with the out of control judges who have made ignoring these laws possible. The wall would be less of an issue for people if enforcement of EXISTING LAWS wasn’t being obstructed</t>
  </si>
  <si>
    <t>RT @reubing: BREAKING: Donald Trump representatives have reached an agreement with China on trade which will cut our trade deficit with the…</t>
  </si>
  <si>
    <t>RT @mflynnJR: This sounds like the ramblings of a scared old bitter man.... https://t.co/ajGA71yHlk</t>
  </si>
  <si>
    <t>RT @TheLastRefuge2: @JohnBrennan “A nation can survive its fools, and even the ambitious. But it cannot   survive treason from within. An e…</t>
  </si>
  <si>
    <t>RT @seanmdav: I’d be more willing to listen to the “it’s totes okay that Obama spied on Trump” arguments if they weren’t coming from the ex…</t>
  </si>
  <si>
    <t>RT @dbongino: Ignore police-state liberals’ cries of a “red-line” being crossed. Libs are simply melting down because their police-state sp…</t>
  </si>
  <si>
    <t>RT @T_S_P_O_O_K_Y: A little unsolicited advice @JohnBrennan - evidence is you were the start point of the "Russian narrative" - you were th…</t>
  </si>
  <si>
    <t>RT @JamesHasson20: Brennan was caught lying to Congress in 2014. He was caught lying to Congress again in 2017. He was just recently caught…</t>
  </si>
  <si>
    <t>RT @GOP: THIS IS 🌟 HUGE 🌟
-Unemployment rate hits lowest of this century
-African American unemployment is at lowest rate on record
-His…</t>
  </si>
  <si>
    <t>RT @TomFitton: Mr. Brennan is among those senior Obama administration officials who may have civil and criminal liability for the illicit t…</t>
  </si>
  <si>
    <t>RT @NameRedacted7: It's glorious. I love it when @realDonaldTrump completely circumvents lying media presstitutes, and tells the American p…</t>
  </si>
  <si>
    <t>RT @AndrewPollackFL: These politicians don’t care about your kids. If they did they would’ve put more security in schools 20 years ago! Cra…</t>
  </si>
  <si>
    <t>RT @TheSilentLOUD: BREAKING NEWS:
Exposed FBI SPY is ex-CIA Agent👈🏼
Cambridge professor STEFAN HALPER is American💥
SPIED on and helped en…</t>
  </si>
  <si>
    <t>RT @President1Trump: #BREAKING: Thank you President @realDonaldTrump! You deserve and the American people deserve, and demand to know the t…</t>
  </si>
  <si>
    <t>RT @KanyeWoke: there is something mentally wrong with these shooters.
Guns don’t make people want to kill, they allow them to.
We need to…</t>
  </si>
  <si>
    <t>RT @ScottAdamsSays: Persuasive writing done right.  https://t.co/tT2AhcP3p1</t>
  </si>
  <si>
    <t>RT @magathemaga1: What is HR 2?
It does the following:
👉Prevents @EricGreitens team from cross examine witnesses 
👉Prevents #Greitens fr…</t>
  </si>
  <si>
    <t>What is HR 2?
It does the following:
👉Prevents @EricGreitens team from cross examine witnesses 
👉Prevents #Greitens from allowing people to testify on his behalf.
This is supposed to be fair @Rep_TRichardson ?
COUP Continues!
@Rep_TRichardson @Eric_Schmitt #moleg #mogov https://t.co/EKqWoLaIfY</t>
  </si>
  <si>
    <t>RT @AussumPossum: Hmm. Seems like another soft coup in America is underway.
Democrats didn't get the election their way so they're lashing…</t>
  </si>
  <si>
    <t>Yup. 
#MoLeg #MoGov #Greitens https://t.co/IP57WBI6GN</t>
  </si>
  <si>
    <t>RT @1stAirDel_USMCR: Informant Spied on Trump Campaign BEFORE the @FBI Officially Began Its Probe
https://t.co/HvaUMpx6BN #MAGA #MAGA2018…</t>
  </si>
  <si>
    <t>RT @DebCampanella: @JohnBrennan Your position did not give you absolute power over our Democracy. You took an oath to obey the Constitution…</t>
  </si>
  <si>
    <t>RT @VisioDeiFromLA: John brenan is making threats against the president @SecretService 
Look up the quote. This is a direct threat https:/…</t>
  </si>
  <si>
    <t>RT @VisioDeiFromLA: “Crime, once exposed, has no refugee, but in audacity”
-Tacitus
Lock his ass up @realDonaldTrump 
Also @SecretServic…</t>
  </si>
  <si>
    <t>RT @joshgremillion: Actions by the Obama Administration:
-Spy in the Trump campaign
-Investigation without criminal evidence
-Secret sub…</t>
  </si>
  <si>
    <t>RT @VisioDeiFromLA: @realDonaldTrump 
Obama &amp;amp; cronies were spying on @IvankaTrump as she was discussing illness of her child! We know ther…</t>
  </si>
  <si>
    <t>RT @HotPokerPrinces: OH Really ?   She had No evidence !  Stop the impeachment 
  #kimshady #greitens #moleg #stl #missouri 
Former employ…</t>
  </si>
  <si>
    <t>RT @HotPokerPrinces: #moleg just want to run a sham Impeachment hearing just like they did with the House Investigative Report.  Every accu…</t>
  </si>
  <si>
    <t>RT @YearOfZero: So despite the fact that @EricGreitens has been proven innocent, the @KCStar doubles down on their nonsense 
Sure does loo…</t>
  </si>
  <si>
    <t>RT @88YahamaKeys: So now you are making up your own rules #MoLeg? https://t.co/9VpFLJ8eX2</t>
  </si>
  <si>
    <t>The KC STAR IS FOR THE POLITCAL COUP OF THE PEOPLE OF MISSOURI 
SO ARE DEMOCRATS TOO
#MoLeg #mogov #greitens https://t.co/w60pMMaBQ7</t>
  </si>
  <si>
    <t>RT @mizzoudownunder: The ninth circle of hell in Dante’s Inferno, specially round four, was the closest to Satan. 
It contained Judas Isca…</t>
  </si>
  <si>
    <t>RT @rhondas_lil_sis: @StLCountyRepub @BillEigel Great job gentlemen. Ni can you talk some sense into #MoLeg and get them to stop the insane…</t>
  </si>
  <si>
    <t>RT @melody_grover: Do two of @HawleyMO biggest early backers, @JCunninghamMO and @JohnLamping, still support him even after his politically…</t>
  </si>
  <si>
    <t>RT @YearOfZero: Top 5 reasons KC STAR IS FAKE NEWS  
1. Cuz they are 
2. Cuz they are 
3. Cuz they are 
4. Cuz they are 
5. Cuz they are…</t>
  </si>
  <si>
    <t>RT @CStamper_: Unlike Soros-backed prosecutors, lobbyists, greedy special interests, self-interested politicians, and the liberal media, re…</t>
  </si>
  <si>
    <t>RT @JCunninghamMO: Why?  After two prosecutors dropped their cases for lack of evidence, moving forward by the legislature looks like a per…</t>
  </si>
  <si>
    <t>RT @JW1057: Of course, @Mikelkehoe likely won't be Lt. Gov. for long. Not if the reports about @mikeparson are true. Damn! Missouri may bur…</t>
  </si>
  <si>
    <t>RT @JCunninghamMO: What is it people don’t understand about conduct while “in office?”  Seems so simple and straight forward. #moleg. https…</t>
  </si>
  <si>
    <t>RT @JW1057: Hmm. Do you suppose @mikeparson will make @Mikelkehoe Lt. Gov. if the they succeed in impeaching/convicting @GovGreitensMO? Iro…</t>
  </si>
  <si>
    <t>RT @Norasmith1000: @magathemaga1 @EricGreitens @Rep_TRichardson @Eric_Schmitt @SKOLBLUE1 @Avenge_mypeople @Neilin1Neil @jrosenbaum @blackwi…</t>
  </si>
  <si>
    <t>@scot_otey @RepEngler @Mikelkehoe @BobOnderMO @SaraForMissouri @TeamGreitens @PoliticalShort @HennessySTL @smart_hillbilly @jbro_1776 @AngelaLily0501 @AmfellinAlicia @6079__Smith_W @RealJamesWoods @chuckwoolery</t>
  </si>
  <si>
    <t>RT @88YahamaKeys: #MoLeg https://t.co/9VpFLJ8eX2</t>
  </si>
  <si>
    <t>@BillEigel @willscharf @SheenaGreitens @TeamGreitens @TomJEstes @TrumpChess @toadtws @TxSecurityGal @Ijames2018 @chadler_usa @smart_hillbilly @Steffi_Cole @paulcurtman @jallman971 @Markknight45 @MarcCox971 @ninekiller @realJLogan @Pissyjo @melody_grover @AWESOMECQ</t>
  </si>
  <si>
    <t>RT @grcfay: Is there any Justice in the state of MO? https://t.co/V5dipMTZTg</t>
  </si>
  <si>
    <t>@TroyMar81083337 @FOX2now They also aren’t covering where the money to the accusers lawyer came from .... #greitens https://t.co/xoty8XH5DV</t>
  </si>
  <si>
    <t>RT @YearOfZero: Support Gov. Eric Greitens by signing and sharing these two petitions. 
(1) Oppose impeachment and/or censure.  
https://t…</t>
  </si>
  <si>
    <t>RT @HotPokerPrinces: When is #moleg going to bring in Scott Faughn and follow the Money 
The 120k cash.  Which LIHTC recipents Paid For the…</t>
  </si>
  <si>
    <t>RT @TheLastRefuge2: Senator Chuck Grassley Asks Rod Rosenstein if He Gave Mueller Independent FISA Authority… https://t.co/y3Rmj0TBMI https…</t>
  </si>
  <si>
    <t>RT @dbongino: A police-state spying play, in 7 acts
1-No spying on Trump team
2-No wiretapping of Trump team
3-No unmasking of Trump team…</t>
  </si>
  <si>
    <t>RT @OliverMcGee: Here is your @realDonaldTrump campaign spy. The Obama admin paid this guy a lot of money too. 
You will find that Obama’s…</t>
  </si>
  <si>
    <t>RT @therealroseanne: @Thomas1774Paine rob reiner's idols who framed a sitting US  POTUS might hurt our democracy too.</t>
  </si>
  <si>
    <t>RT @magathemaga1: HR 2 is basically a fail safe that Jay Barnes and his star chamber concocted because the criminal proceedings turned out…</t>
  </si>
  <si>
    <t>HR 2 is basically a fail safe that Jay Barnes and his star chamber concocted because the criminal proceedings turned out to be a scam!
The @MOHouseGOP needs to know they are screwing #Missouri voters!
Please spread the word!
#moleg #mogov #mosen #missouri #stl #StLouis #KCMO https://t.co/D8rwkPEV33</t>
  </si>
  <si>
    <t>What is HR 2?
It does the following:
👉Prevents @EricGreitens team from cross examine witnesses 
👉Prevents #Greitens from allowing people to testify on his behalf.
This is supposed to be fair @Rep_TRichardson ?
COUP Continues!
@Rep_TRichardson @Eric_Schmitt #moleg #mogov https://t.co/VtWfYnd1Im</t>
  </si>
  <si>
    <t>We ain’t letting the issue go #MoLeg 
@MattStoneABC 
#mogov #greitens #missouri #stl https://t.co/Y8lUiy5suO</t>
  </si>
  <si>
    <t>RT @magathemaga1: Thanks for pointing this out John. @RepEngler are you ok with #StarChamberBarnes latest motion to not:
👉Not Allow #Greit…</t>
  </si>
  <si>
    <t>RT @magathemaga1: The West County Bag Man is pushing the COUP propaganda hard today 
#moleg #mogov #Greitens https://t.co/FyPHDUDhok</t>
  </si>
  <si>
    <t>Also, I made a typo @johncombest 
They also aren’t allowing @EricGreitens to allow any witness to testify on his behalf should the motion succeed.
A BIG FU to #Missouri voters 
#moleg #mogov #greitens</t>
  </si>
  <si>
    <t>RT @magathemaga1: Good afternoon #MoLeg 
I still hear that THE COUP on Missouri Voters is on and that Scott Faughn still has not told us w…</t>
  </si>
  <si>
    <t>The West County Bag Man is pushing the COUP propaganda hard today 
#moleg #mogov #Greitens https://t.co/FyPHDUDhok</t>
  </si>
  <si>
    <t>RT @JW1057: @paulcurtman @Eric_Schmitt @Missourinet @hrehder 
#STLCards #StLouis #RoyalWedding #GOP #Republican #moleg #mogov</t>
  </si>
  <si>
    <t>RT @RealTravisCook: Only thing they can "impeach" him for is for sleeping with an attractive woman... #MoLeg #KimShady #SaveGovernorGreiten…</t>
  </si>
  <si>
    <t>Thanks for pointing this out John. @RepEngler are you ok with #StarChamberBarnes latest motion to not:
👉Not Allow #Greitens to cross examine witnesses
👉Not allow him to cross examine witness.
Complete and total coup of #Missouri voters and we are woke AF
#moleg #mogov https://t.co/0fyjyghcrL</t>
  </si>
  <si>
    <t>Good afternoon #MoLeg 
I still hear that THE COUP on Missouri Voters is on and that Scott Faughn still has not told us where the money came from.
This isn’t going away! 
Find The Funder!
#mogov #greitens #MissouriCoup
@Eric_Schmitt @BobOnderMO @EricGreitens @Rep_TRichardson https://t.co/z1vBjgi84l</t>
  </si>
  <si>
    <t>RT @Neilin1Neil: due process. No such thing with this #moleg! KANGAROO IMPEACHMENT COURT @KathieConway @EricGreitens @RealTravisCook @YearO…</t>
  </si>
  <si>
    <t>RT @magathemaga1: Jay Barnes wouldn’t know what Justice means given he has deprived #greitens of Justice by releasing one sided reports, ti…</t>
  </si>
  <si>
    <t>RT @magathemaga1: It’s called DISCUSSION
Did you just sign up for the internet ? 
#MoLeg engaging in a COUP on #Greitens &amp;amp; we can back up…</t>
  </si>
  <si>
    <t>RT @JW1057: This petition deals exclusively with HR 2 and rules going forward. We only have a couple days to make a difference, so please s…</t>
  </si>
  <si>
    <t>RT @trbrad62: Missouri House of Representatives: Urgent! Stop the Coup Against Gov. Eric #Greitens - Sign the Petition! https://t.co/6NKYFw…</t>
  </si>
  <si>
    <t>RT @VisioDeiFromLA: The two biggest problems with jay barnes motion is that it doesnt 1. Allow #Greitens team to cross examine witnesses.…</t>
  </si>
  <si>
    <t>It’s called DISCUSSION
Did you just sign up for the internet ? 
#MoLeg engaging in a COUP on #Greitens &amp;amp; we can back up what we say. And then U all get mad when we call the truth for what is is?
It’s horrible because people disagree with you?
@blackwidow07 
#mogov #missouri https://t.co/oJsIAmpvMn</t>
  </si>
  <si>
    <t>RT @RealTravisCook: Because actual voters expressing their concerns and engaging in political discourse is "horrible".  #Greitens #SaveGove…</t>
  </si>
  <si>
    <t>RT @RealTravisCook: Dear #MoLeg:  We elected Governor #Greitens.  We are pleased with his performance thus far.  We also elected you.  This…</t>
  </si>
  <si>
    <t>RT @JW1057: @kendylei So, Kim Gardner decided to ruin herself instead!
#moleg #mogov #greitens #KimShady #IStandWithGreitens</t>
  </si>
  <si>
    <t>RT @wjpennington52: @stltoday Charges should not have been made to begin with, knowing they had no proof. The circuit attorney should be in…</t>
  </si>
  <si>
    <t>RT @Mizzourah_Mom: @VisioDeiFromLA Wow! How is that legal? I thought a defense team had the right to cross-examination. They don't want fai…</t>
  </si>
  <si>
    <t>RT @KimStrassel: 1. So a few important points on that new NYT "Hurricane Crossfire" piece. A story that, BTW, all of us following this knew…</t>
  </si>
  <si>
    <t>RT @VisioDeiFromLA: COUP CONTINUES 
Jay Barnes doesnt Want #greitens team a chance to cross examine the witnesses with a motion he just fi…</t>
  </si>
  <si>
    <t>RT @Mizzourah_Mom: @CristieMoss1963 I agree that it is a total witch hunt, but in the #moleg it is bi-partisan. Both sides seem to want him…</t>
  </si>
  <si>
    <t>RT @JohnLamping: It's the Jeff City insiders who are nervous. The plan was to get him to resign. He was supposed to be gone months ago. Whe…</t>
  </si>
  <si>
    <t>RT @ThePewPewJew: As a Jew I find it quite ironic and sad that the left thinks I’m a terrorist because I’m an NRA member but Hamas who is a…</t>
  </si>
  <si>
    <t>RT @gatewaypundit: ANOTHER MUELLER GAFFE: Lawyers Defending Russian Firm Tell Court Named Employees DON'T WORK FOR THEM - Mueller MADE IT U…</t>
  </si>
  <si>
    <t>RT @realDonaldTrump: Fake News Media had me calling Immigrants, or Illegal Immigrants, “Animals.” Wrong! They were begrudgingly forced to w…</t>
  </si>
  <si>
    <t>RT @chuckwoolery: Why is #Trump so important to us? He is the only President that has put the #DeepState on it's heels, including the #Medi…</t>
  </si>
  <si>
    <t>RT @melody_grover: Someone call Ringling Brothers, because PT Barnum wants his circus back from @jaybarnes5. Somehow #moleg has managed to…</t>
  </si>
  <si>
    <t>RT @dbongino: Why wasn’t an FBI informant sent in to investigate Hillary Clinton’s suspicious ties to Russia and Ukraine? Apparently the go…</t>
  </si>
  <si>
    <t>RT @DjLots3: I'm NOT a Conspiracy Theorist!
I also would have never dreamed 
* Our FBI &amp;amp; DOJ were corrupt
* Opposing campaigns have FBI pl…</t>
  </si>
  <si>
    <t>RT @RealTravisCook: As one of the #GOP base, I absolutely agree with the lady who wrote this letter.  It's not #Greitens that I am disappoi…</t>
  </si>
  <si>
    <t>RT @Str8DonLemon: Who is The Source of the Money?
Who gave the money to Scott Faughn?
#moleg #mogov #greitens #missouri 
@Eric_Schmitt @…</t>
  </si>
  <si>
    <t>RT @Str8DonLemon: #Ladderboy at it again!
Hawley shows clear COI so anything he says only be assumed to be coming from his interest in see…</t>
  </si>
  <si>
    <t>RT @Avenge_mypeople: @Str8DonLemon @Eric_Schmitt @EricGreitens @MissouriGOP @StCharlesMOGop @RealTravisCook @RetNavy93 @JCPenknife @TessonF…</t>
  </si>
  <si>
    <t>RT @magathemaga1: Has somebody put a STOP PAYMENT on Scott Charton's Checks from the Low Income Housing Tax Credit lobby for his propaganda…</t>
  </si>
  <si>
    <t>RT @trbrad62: No charge on #Greitens on campaign finance report https://t.co/Da5ZpSB9Qe</t>
  </si>
  <si>
    <t>RT @88YahamaKeys: #Moleg What are you going to impeach the @GovGreitensMO for?  Do tell! Because charges were dropped and then this was iss…</t>
  </si>
  <si>
    <t>RT @SorosInSTL: Scott Charton, friends with Scott Faughn and connected around the state, likely knows where the money for Al Watkins came f…</t>
  </si>
  <si>
    <t>RT @HotPokerPrinces: What has come out of the baseless Greitens Witch Hunt?
Woke Voters !  #Moleg  We see Your corrupt ways 
#missouri #g…</t>
  </si>
  <si>
    <t>@joshhawleymo It ain't easy being a parody</t>
  </si>
  <si>
    <t>RT @i_like_sykes: Who do you want? 
#MoSen #MoGov #MidTerms</t>
  </si>
  <si>
    <t>RT @magathemaga1: Yup. And many will be going to work for promised jobs thanks to them railroading @EricGreitens on false charges and nonse…</t>
  </si>
  <si>
    <t>@chargerjose760 @FN4AP @AvrilMai91 @AP4Liberty @Steffi_Cole Ok my meme was totally low effort lol nice work</t>
  </si>
  <si>
    <t>#mosen
@Monetti4Senate @RetNavy93 https://t.co/SPpa47pWuw</t>
  </si>
  <si>
    <t>#mosen
@SykesforSenate @ChanelRion @wu_ferguson @Shawtypepelina @Hope4Hopeless1 https://t.co/voffIGyUNC</t>
  </si>
  <si>
    <t>#mosen 
@AP4Liberty @Steffi_Cole @AvrilMai91 @FN4AP https://t.co/WawN3VuC8R</t>
  </si>
  <si>
    <t>RT @magathemaga1: 👉Bring god back.
👉Fathers Matter
👉Metal detectors 
👉Arm the teachers
👉Focus on family
👉Talk to your kids 
👉More male teac…</t>
  </si>
  <si>
    <t>RT @magathemaga1: Many of which, no doubt, #Greitens had personal relationships with and thus had their contact info.
Citizens ain't stupi…</t>
  </si>
  <si>
    <t>*Scam typo</t>
  </si>
  <si>
    <t>👉Bring god back.
👉Fathers Matter
👉Metal detectors 
👉Arm the teachers
👉Focus on family
👉Talk to your kids 
👉More male teachers 
It all starts at home.
Guns aren’t the problem.
#mosen #mogov #moleg #guns https://t.co/lgeUK9IMNe</t>
  </si>
  <si>
    <t>Many of which, no doubt, #Greitens had personal relationships with and thus had their contact info.
Citizens ain't stupid &amp;amp; we R on to the scan
Better questions: 
Who Paid Scott Faughn the money to to give to AL for the fake sex scandal?
#moleg #MOGov #Missouri 
@Eric_Schmitt https://t.co/pJTfTC4j1L</t>
  </si>
  <si>
    <t>Has somebody put a STOP PAYMENT on Scott Charton's Checks from the Low Income Housing Tax Credit lobby for his propaganda work?
Maybe Faughn knows?
@JohnLamping 
#moleg #mogov #greitens #Missouri #WitchHunt https://t.co/zH5NzPcetC</t>
  </si>
  <si>
    <t>Jay Barnes wouldn’t know what Justice means given he has deprived #greitens of Justice by releasing one sided reports, timed for political damage
Jay Barnes is running the #MoStarChamber 
Justice also means innocence is presumed &amp;amp; fairness
#moleg #mogov https://t.co/7ARqfjPH8U</t>
  </si>
  <si>
    <t>Yup. And many will be going to work for promised jobs thanks to them railroading @EricGreitens on false charges and nonsense.
That’s why they don’t care what #Missouri voters think. They got theirs! 
They just had to screw voters!
#moleg #mogov #greitens https://t.co/M05KmVAbFX</t>
  </si>
  <si>
    <t>RT @Mizzourah_Mom: @tkinder @Monetti4Senate Claire McCaskill is the weakest Democrat up for re-election, but it looks like the GOP is handi…</t>
  </si>
  <si>
    <t>RT @SarahDragonGirl: Seems @AGJoshHawley was presumptuous in his #persecution of the governor! He must've been confused... #prosecution and…</t>
  </si>
  <si>
    <t>RT @magathemaga1: Looks like #LadderBoy is Plan C for the COUP attempt 
Waste money on an indictment without evidence? Why isnt he prosecu…</t>
  </si>
  <si>
    <t>RT @SheenaGreitens: Delighted to see the Missouri General Assembly pass both #SB819 and #SB800! We worked hard last year to develop many of…</t>
  </si>
  <si>
    <t>RT @JohnLamping: #moleg If special interests can take out a sitting MOGOV think what will happen to you when you don't vote as you're told…</t>
  </si>
  <si>
    <t>RT @JohnLamping: #moleg go home stay there till Veto Session. Youve been played by lobbyists n leadership. Think how much has changed since…</t>
  </si>
  <si>
    <t>Looks like #LadderBoy is Plan C for the COUP attempt 
Waste money on an indictment without evidence? Why isnt he prosecuting #KimShady ?
#moleg #mogov #mosen #greitens https://t.co/yPqR9qKksA</t>
  </si>
  <si>
    <t>Yet he didnt seem to do that when #Kimshady wasted money indicting #greitens ond false charges 
#LadderBoy is back 
#moleg #mogov #greitens #mosen https://t.co/plDSitAxRW</t>
  </si>
  <si>
    <t>RT @Str8DonLemon: INNOCENT MAN FIGHTS BACK
#Missouri Coup is on!
Are U against:
✔Witch Hunts?
✔Prosecutorial Misconduct?
✔Undoing electi…</t>
  </si>
  <si>
    <t>RT @sigi_hill: Hey crooked #moleg @AGJoshHawley
Can you read?
No charge on Greitens on campaign finance report https://t.co/3xmABtinqp</t>
  </si>
  <si>
    <t>RT @rhondas_lil_sis: Great letter which expresses the thoughts of many Missourian’s. Please think carefully #MoLeg before doing further dam…</t>
  </si>
  <si>
    <t>RT @CStamper_: These days there seems to be a lot of folks wanting to charge people with crimes despite a lack of evidence. Good to see som…</t>
  </si>
  <si>
    <t>I have yet to see a single good explanation of democrats colluding with foreign nationals on our soil. The collusion with Mexico needs to be investigated https://t.co/pbJUwaiyZh</t>
  </si>
  <si>
    <t>RT @Kev00711973: Thank God president Trump is giving unborn children a voice! https://t.co/hA5ZIlm7xF</t>
  </si>
  <si>
    <t>RT @KyleKashuv: @davidhogg111 You've said that today confirms that gun control is needed. However, your plan doesn’t even intersect with th…</t>
  </si>
  <si>
    <t>RT @magathemaga1: Yo #MoLeg 
Have we found The Funder yet?
✔Rich
✔Republican
✔Has an ax to grind with #greitens ?
✔Tax credits
Also have…</t>
  </si>
  <si>
    <t>Yo #MoLeg 
Have we found The Funder yet?
✔Rich
✔Republican
✔Has an ax to grind with #greitens ?
✔Tax credits
Also have you all asked Scott Faughn where he got his money?
#moleg #mogov #greitens #mosen 
#missouri #stlouis #ButlerCounty #SterlingBank #taxcredits https://t.co/gjCjpwpMNR</t>
  </si>
  <si>
    <t>@chasbottom Yeah ok. Could it be that she is utterly corrupt and prosecuted a man without evidence?</t>
  </si>
  <si>
    <t>RT @caesar718: #KimShady just can’t admit she attempted to prosecute a case w/ no evidence, hired an invstgr who lied on the stand, trying…</t>
  </si>
  <si>
    <t>RT @magathemaga1: Hey @GailBeatty it's called lack of evidence.
But we do have evidence that Stacey Newman colluded with Kim Gardner and "…</t>
  </si>
  <si>
    <t>RT @magathemaga1: You dont press charges when you dont have evidence unless your #KimShady 
#moleg #mogov #greitens https://t.co/uEF20dLyGN</t>
  </si>
  <si>
    <t>You dont press charges when you dont have evidence unless your #KimShady 
#moleg #mogov #greitens https://t.co/uEF20dLyGN</t>
  </si>
  <si>
    <t>Hey @GailBeatty it's called lack of evidence.
But we do have evidence that Stacey Newman colluded with Kim Gardner and "house dem leadership" to engineer a crime against @EricGreitens 
Where is your statement on that?
#moleg #mogov #Greitens #missouri https://t.co/TkYi255aiN</t>
  </si>
  <si>
    <t>RT @catdeeann: Great news!
#MoLeg
#IStandWithGreitens https://t.co/OES8HVxG0o</t>
  </si>
  <si>
    <t>@CStamper_ I love how no media outlet posted this video on Twitter.</t>
  </si>
  <si>
    <t>RT @HotPokerPrinces: Why No Haste to Find The Bag Man ? 
Supoenas were issued !   Why Doesn’t Jay Barnes &amp;amp; 
Committee  want to hear &amp;amp; cro…</t>
  </si>
  <si>
    <t>RT @CStamper_: The words of a voter: “Guilty in the court of public opinion isn’t what we as Missourians should base our verdict on. Let th…</t>
  </si>
  <si>
    <t>RT @rhondas_lil_sis: @88YahamaKeys @YearOfZero @EricGreitens @Eric_Schmitt @MissouriGOP @TeamGreitens @Avenge_mypeople @philip_saulter @SKO…</t>
  </si>
  <si>
    <t>RT @EdBigCon: @ES03784893 @PatrickTuohey I'll help you out! #Moleg  https://t.co/nQmE7TEUgj</t>
  </si>
  <si>
    <t>RT @JCunninghamMO: #MOLeg beware. This letter writer expresses what a lot of your base strongly think.  https://t.co/ReVLsgmItg</t>
  </si>
  <si>
    <t>RT @magathemaga1: Find the Funder #MoLeg
We ain’t letting this issue die!
@MattStoneABC @jrosenbaum 
#mogov #greitens #missouri #stl #We…</t>
  </si>
  <si>
    <t>Find the Funder #MoLeg
We ain’t letting this issue die!
@MattStoneABC @jrosenbaum 
#mogov #greitens #missouri #stl #WestButlerCountyBagMan
@KevinCorlew @MOGOP_Chairman @EricGreitens @TeamGreitens https://t.co/Qf1r4OzSL5</t>
  </si>
  <si>
    <t>RT @magathemaga1: Good morning #MoLeg 
Where is the West Butler County Bag Man?
And what does Sterling Bank have to do we this whole #Gre…</t>
  </si>
  <si>
    <t>Good morning #MoLeg 
Where is the West Butler County Bag Man?
And what does Sterling Bank have to do we this whole #Greitens story? Anything?
Low Income Housing Tax Credits?
@MattStoneABC @EricGreitens @MissouriGOP @BillEigel
#MoLeg #mogov #missouri #StLouis #stl #kcmo https://t.co/U1rypxyoFe</t>
  </si>
  <si>
    <t>RT @blackwidow07: @ResignNowKim @Neilin1Neil @EricGreitens @RealTravisCook @YearOfZero @Sticknstones4 @KathieConway @inthejungle234 @Norasm…</t>
  </si>
  <si>
    <t>RT @Avenge_mypeople: Sounds like the description of the welfare state, to me. They get to perform cronyism, enriching their developer/donor…</t>
  </si>
  <si>
    <t>@HotPokerPrinces @ChrisHayesTV  https://t.co/f9f77bAMI0</t>
  </si>
  <si>
    <t>RT @HotPokerPrinces: Why does Jay Barnes allow Scott Faughn to evade his supoena ?
Why does Jay Barnes not call back @fox2  @ChrisHayesTV…</t>
  </si>
  <si>
    <t>RT @HotPokerPrinces: Why does Jay Barnes &amp;amp; Todd Richardson spend so much money on Fake new subscriptions by a supoena evader ?
#Missouricr…</t>
  </si>
  <si>
    <t>RT @magathemaga1: Hi
Curious about the #MoLeg star chamber is that they don't seem interested at all in interviewing The West Butler Count…</t>
  </si>
  <si>
    <t>Hi
Curious about the #MoLeg star chamber is that they don't seem interested at all in interviewing The West Butler County Bagman who could lead us to "The Funder"
Noticed many of the members of #MoLegStarChamber are termed out.
What are their plans after #MoGov ? 
#greitens</t>
  </si>
  <si>
    <t>RT @realDonaldTrump: Great talk with my friend President Mauricio Macri of Argentina this week. He is doing such a good job for Argentina.…</t>
  </si>
  <si>
    <t>RT @Naninani51: @MarkDice #KAG2018 #KAG2020 https://t.co/0dSxmqvKql</t>
  </si>
  <si>
    <t>RT @NRA: #IDontTrustPeopleThat want to ban all guns, repeal #2A, and/or infringe on the right of the people to keep and bear Arms. #NRA #De…</t>
  </si>
  <si>
    <t>RT @RepLeeZeldin: I’m not in the habit of giving @NancyPelosi free advice, but this is important enough to make an exception for so here go…</t>
  </si>
  <si>
    <t>RT @SecOfState70: In a span of 48 hours President Trump got the MSM to side with North Korea and MS-13.</t>
  </si>
  <si>
    <t>RT @philip_saulter: If you believe that abusing our legal system to attack a political opponent and then using a dismissed case as the grou…</t>
  </si>
  <si>
    <t>RT @DiamondandSilk: ‘REASONABLE GROUNDS FOUND’: Inspector General to Declare FBI, DOJ Broke Law In Hillary Probe.
https://t.co/viy4SZspOm</t>
  </si>
  <si>
    <t>RT @magathemaga1: Hey @supportelijah 
Why don’t you get the West butler county bag man into the @MOHouseGOP for questioning on where the m…</t>
  </si>
  <si>
    <t>Find the Funder #MoLeg 
@MattStoneABC @EricGreitens @MOHouseGOP @MOGOP_Chairman @Rep_TRichardson @seanhannity @DRUDGE 
#mogov #greitens #missouri #stlouis #stl #kcmo https://t.co/u7u78hlqeP</t>
  </si>
  <si>
    <t>RT @magathemaga1: @JohnLamping was reading ur feed... I assume this is pretty much close to target?
Also noticed too that guys in @MOHouse…</t>
  </si>
  <si>
    <t>Hey @supportelijah 
Why don’t you get the West butler county bag man into the @MOHouseGOP for questioning on where the money came from to pay up the accusers to invent the story?
#MoLeg #MoGov #Greitens 
@MOGOP_Chairman @MattStoneABC @gatewaypundit https://t.co/0WdzwThV2s</t>
  </si>
  <si>
    <t>@JohnLamping was reading ur feed... I assume this is pretty much close to target?
Also noticed too that guys in @MOHouseGOP are eager to look through #KimShady records but not subpoena @scottfaughn? 
Hey @MattStoneABC 
Faughn will lead to “The Funder”
#MoLeg #MoGov #Greitens https://t.co/dhQl14cFkT</t>
  </si>
  <si>
    <t>#donnybrookstl
Still amazing that people believe the sexual abuse story of #greitens 
She made it up!
#Missouri https://t.co/MX8YOt0Lc7</t>
  </si>
  <si>
    <t>RT @SKOLBLUE1: Good tidings to you #DonnybrookSTL excited for another show tonight! We have A LOT to talk about this evening don't we?</t>
  </si>
  <si>
    <t>RT @blackwidow07: #donnybrookstl perhaps the case was SEALED. Yes Bill regular ppk do have that option. I have a sealed case on the records…</t>
  </si>
  <si>
    <t>@blackwidow07 @MarkReardonKMOX Bingo!</t>
  </si>
  <si>
    <t>RT @blackwidow07: #donnybrookstl she hasn't hurt herself just wait. Her job is to prosecute and so far she is a colossal failure. South cit…</t>
  </si>
  <si>
    <t>RT @blackwidow07: #donnybrookstl Ray needs to disclose he's buddies with Faughn. Convicted felons don't deliver large sums of cash. Did you…</t>
  </si>
  <si>
    <t>RT @JW1057: @angelakuehn Kim Gardner is the reason they invented disbarment. @stlcao @SCRyanSTL #moleg #mogov #greitens #KimShady #IStandWi…</t>
  </si>
  <si>
    <t>RT @caesar718: @Str8DonLemon @HotPokerPrinces @RealTravisCook @MSTLGA @Hope4Hopeless1 @RetNavy93 @grcfay I think there are a lot of people…</t>
  </si>
  <si>
    <t>RT @JW1057: You should move to unseal court records, including depositions, and use them as exhibits. We are here to fight for you. @Sheena…</t>
  </si>
  <si>
    <t>RT @JW1057: @ksdknews I hear @EricGreitens may have left toilet seat up. Barnes' Star Chamber  (aka the Committee) should investigate that…</t>
  </si>
  <si>
    <t>RT @RealTravisCook: From Tuesday's radio show:  What the failed Eric #Greitens #WitchHunt tells  us about the misplaced priorities of the S…</t>
  </si>
  <si>
    <t>RT @JW1057: Hmm! 2 times in 12 years. 1 time wasn't really cheating? Were Kitty and Phil on a break so it didn't count (Ross &amp;amp; Rachel on Fr…</t>
  </si>
  <si>
    <t>RT @JW1057: KG concedes the following: No alleged photo. No witness who saw alleged photo. No evidence photo was transmitted to cloud (pres…</t>
  </si>
  <si>
    <t>RT @SKOLBLUE1: I am asking for every follower to please sign this petition! If you don't like what is going on with #TRUMP guess what the S…</t>
  </si>
  <si>
    <t>RT @KCMikeMahoney: Greitens lawyer Catherine Hanaway says Greitens campaign staffers think Greiten’s former campaign manager Danny Laub sto…</t>
  </si>
  <si>
    <t>RT @daisydorie: Congrats to our first family of Missouri. Let's keep making Missouri a great state. @EricGreitens  #Greitens 
          nev…</t>
  </si>
  <si>
    <t>RT @Mizzourah_Mom: Finally! There is a reporter who is not afraid to do some real investigative work and lay out the real players in the #G…</t>
  </si>
  <si>
    <t>RT @ColBannister: @Ike_Saul @bethanyshondark @SenSchumer Liberals once again jumped out to defend terrorists this week.
First it was Hamas,…</t>
  </si>
  <si>
    <t>RT @bethanyshondark: @Ike_Saul @SenSchumer Too bad for the narrative you’re building trump was talking about MS13 gang members. Not all und…</t>
  </si>
  <si>
    <t>RT @bethanyshondark: @SenSchumer My great great grandparents weren’t gang members who raped and hacked women to death.</t>
  </si>
  <si>
    <t>RT @netwrkguy: @charlescwcooke @SenSchumer  https://t.co/5njZDZznP8</t>
  </si>
  <si>
    <t>RT @Hope4Hopeless1: .@POTUS #Moleg #Mogov #WitchHunt
-Missouri House of Representatives-
 #WeThePeople of #MISSOURI DEMAND that YOU STOP…</t>
  </si>
  <si>
    <t>RT @JW1057: @RealJamesWoods @seanhannity @RoyBlunt @MarkReardonKMOX 
Please sign and ask your followers to do so as well. This is baseless…</t>
  </si>
  <si>
    <t>RT @christoferguson: The list of #Missouri GOP donors that can drop this amount of cash on a whim isn’t long: Lawyer says anti-Greitens cas…</t>
  </si>
  <si>
    <t>RT @magathemaga1: Yo 
We looking for this guy #moleg ?
@EricGreitens @Eric_Schmitt @MOGOP_Chairman @MattStoneABC @ByronYork @DRUDGE @jros…</t>
  </si>
  <si>
    <t>These allegations have been discredited.
The woman lied.
Also did Scott Simpson get paid money bag too?
#moleg #mogov #greitens 
@MattStoneABC https://t.co/VqNIqrTUtq</t>
  </si>
  <si>
    <t>@christoferguson The plot Thickens @MattStoneABC</t>
  </si>
  <si>
    <t>RT @christoferguson: Who didn’t have this list?: Greitens Attorney claims Charity donor list was used by anti-Greitens organization #Moleg…</t>
  </si>
  <si>
    <t>Yo 
We looking for this guy #moleg ?
@EricGreitens @Eric_Schmitt @MOGOP_Chairman @MattStoneABC @ByronYork @DRUDGE @jrosenbaum 
#mogov #mosen #greitens #missouri #FollowTheMoney https://t.co/QWzqlgf4Lg</t>
  </si>
  <si>
    <t>RT @magathemaga1: Yo #MoLeg
How is it that U R going after @EricGreitens &amp;amp; can issue subpoenas but U can't issue subpoenas 4:
Scott Faugh…</t>
  </si>
  <si>
    <t>Yo #MoLeg
How is it that U R going after @EricGreitens &amp;amp; can issue subpoenas but U can't issue subpoenas 4:
Scott Faughn
Skyler
Al Watkins
Stacey Newman
Or The Funder
That cuz guy behind money has also given you campaign contributions?
Or is that nonsense?
#mogov #Greitens https://t.co/igpVwwBSJN</t>
  </si>
  <si>
    <t>RT @KRCG13: JUST IN: Catherine Hanaway, counsel for Greitens for Missouri, releases statement regarding today's court filing, says governor…</t>
  </si>
  <si>
    <t>RT @StevenDialTV: #GREITENS UPDATE: Attorney for @EricGreitens campaign now says the charity donor list at the center of one criminal and s…</t>
  </si>
  <si>
    <t>RT @KRCG13: Greitens campaign: Charity donor list of The Mission Continues was used by an anti-Greitens organization. #MoGov #moleg https:/…</t>
  </si>
  <si>
    <t>Hey @MattStoneABC this is Scott Faughn
This is the guy who dropped off the money and was evading s subpoena.
Investigative him
#moleg #mogov #greitens https://t.co/YQntHYc117</t>
  </si>
  <si>
    <t>RT @magathemaga1: @RightRachel They aren’t in biz of investigating. They are in the biz of persecution. Time for the FBI and IRS to get inv…</t>
  </si>
  <si>
    <t>RT @sigi_hill: @RightRachel Very silly on your part: 
A-this is a direct attack on a legal election aka ELECTION RIGGING 
B-an attack on Du…</t>
  </si>
  <si>
    <t>RT @magathemaga1: Ok. U Want a COUP. Sorry. Fixed it. Where did Scott Faughn Get his money? 
Does the name start with a J?
@MattStoneABC…</t>
  </si>
  <si>
    <t>@RightRachel @MattStoneABC @DRUDGE @MOGOP_Chairman This is all publicly available. Would be nice if some investigative journalists looked into it!</t>
  </si>
  <si>
    <t>@RightRachel They aren’t in biz of investigating. They are in the biz of persecution. Time for the FBI and IRS to get involved 
@MattStoneABC @drudge @MOGOP_Chairman 
#moleg #mogov</t>
  </si>
  <si>
    <t>@RightRachel They aren’t investigating. If they did, they would know the kitty girl lied as her testimony contradicted her criminal deposition. They didn’t even cross examine!
The house can’t be trusted. They are also getting big campaign donations and many termed out from a certain industry</t>
  </si>
  <si>
    <t>@RightRachel Look at campaign contributions and then look at who faughn and Skyler is likely connected to...
@MattStoneABC @MOGOP_Chairman @drudge @seanhannity 
#moleg #mogov #greitens</t>
  </si>
  <si>
    <t>@RightRachel No. The legislature lied to the public about their reports. LIED. It’s time to get the FBI and IRS involved. Track it down to the funder.
The funder is most likely connected to the people in the house doing the “investigation”</t>
  </si>
  <si>
    <t>RT @YearOfZero: 7. “When I Look to my left, I see you.... when I look to my right, I see your friends and family...”
This is why @EricGrei…</t>
  </si>
  <si>
    <t>RT @YearOfZero: 6. “I can be strong for them for 10 more seconds...”
Powerful.
#moleg #mogov #greitens #missouri 
@Eric_Schmitt @EricGrei…</t>
  </si>
  <si>
    <t>RT @SKOLBLUE1: Just like #TRUMP @chuckwoolery be an advocate for our Navy Seal Governor #Greitens ! Trying to #DrainTheSwamp but yet these…</t>
  </si>
  <si>
    <t>RT @YearOfZero: 8. Please sign petition
Outlines point by point breakdown of why this is a total witch hunt &amp;amp; a coup
I encourage you to r…</t>
  </si>
  <si>
    <t>@RightRachel I know two possible names that start with a J that have money and the motivation ... what do you think @RightRachel ?</t>
  </si>
  <si>
    <t>@RightRachel Let’s put political leanings aside. I believe you. It’s mostly conservatives behind this. Where do you think Scott Faughn got the money. #MoneyBagsAl said he got it from a rich Republican. Now we all know scott is a liar but let’s say he was telling the truth ... who u think?</t>
  </si>
  <si>
    <t>Ok. U Want a COUP. Sorry. Fixed it. Where did Scott Faughn Get his money? 
Does the name start with a J?
@MattStoneABC is investigating as is @FOX2now 
Impeachment or no impeachment we R going to find funder, even if it’s just citizens doing legwork
#moleg #mogov #greitens https://t.co/fUCIr0qh2y</t>
  </si>
  <si>
    <t>Yo @RightRachel where did scott Faughn’s money come from?
https://t.co/6ZDSpiKCnj</t>
  </si>
  <si>
    <t>RT @SKOLBLUE1: @RightRachel Rachel don't you see, me and my 50 friends in each district that tell their friends in their districts makes a…</t>
  </si>
  <si>
    <t>RT @magathemaga1: @MissouriGOP 
Sign &amp;amp; ask your followers to do so as well. This is baseless attack upon @GovGreitensMO and we must fight…</t>
  </si>
  <si>
    <t>RT @magathemaga1: Elites/insiders want it. Not the everyday folks
U want to UNDO election cuz u are a liberal, tax credit queen, or just d…</t>
  </si>
  <si>
    <t>RT @CStamper_: A Soros-backed prosecutor tried to put him in jail. Special interests, self-interested politicians &amp;amp; the liberal media are t…</t>
  </si>
  <si>
    <t>Elites/insiders want it. Not the everyday folks
U want to UNDO election cuz u are a liberal, tax credit queen, or just dont like him. Not even an apology for the fake sex scandal?
A COUP cuz u didn't get your way.
Impeachment = Theft from #Missouri
#moleg #mogov #Greitens https://t.co/zqHerfB4Hi</t>
  </si>
  <si>
    <t>@MissouriGOP 
Sign &amp;amp; ask your followers to do so as well. This is baseless attack upon @GovGreitensMO and we must fight for him. 
https://t.co/5nP0IWnToF
#moleg #mogov #greitens #STL #KimShady #IStandWithGreitens</t>
  </si>
  <si>
    <t>RT @JW1057: @MissouriGOP 
Please sign and ask your followers to do so as well. This is baseless attack upon @GovGreitensMO  and we must fi…</t>
  </si>
  <si>
    <t>@sarahfelts Do facts matter sarah?
See my thread
Check out @magathemaga1’s Tweet: https://t.co/sy4vlYqT6O</t>
  </si>
  <si>
    <t>And the media continues to ignore where Scott Faughns money came from 
#moleg #mogov #Greitens https://t.co/NCRXsT0DL9</t>
  </si>
  <si>
    <t>Thanks for sharing. I plan on signing it 
Anybody who doesn't believe this is a total witch hunt is blind. Did you even read the points made?
@MattStoneABC @TeamGreitens 
#moleg #mogov #Greitens #missouri #STL https://t.co/84YPsKvEpb</t>
  </si>
  <si>
    <t>RT @SKOLBLUE1: @KMOV #MOLEG you need to do away with your #GreitensImpeachment I will see you tomorrow with ALL of my great Patriots! You w…</t>
  </si>
  <si>
    <t>@CStamper_ Check my thread out anybody 
Check out @magathemaga1’s Tweet: https://t.co/sy4vlYqT6O</t>
  </si>
  <si>
    <t>RT @CStamper_: Soros-backed prosecutor Kim Gardner tried to take down Greitens. Now the liberal media, self-interested politicians &amp;amp; schemi…</t>
  </si>
  <si>
    <t>@JW1057 @rxpatrick @joelcurrier @ws_missouri See my thread @ChrisHayesTV @MattStoneABC @DRUDGE
Check out @magathemaga1’s Tweet: https://t.co/sy4vlYqT6O</t>
  </si>
  <si>
    <t>RT @magathemaga1: Yo @MattStoneABC 
Be advised al Watkins is ... shady.
Also I would look at the former primary opponents. Some are rich.…</t>
  </si>
  <si>
    <t>RT @JW1057: @rxpatrick @joelcurrier @ws_missouri Interesting that Watkins claims to have received cash on 1/8/18. That is the very same day…</t>
  </si>
  <si>
    <t>Yo @MattStoneABC 
Be advised al Watkins is ... shady.
Also I would look at the former primary opponents. Some are rich. Some might have motivation, and many might be connected to faith 
Lot of same people pushing this coup were involved in primary campaigns 
#moleg #mogov https://t.co/DqKRflAEiI</t>
  </si>
  <si>
    <t>@BillEigel @willscharf @SheenaGreitens @TeamGreitens @TomJEstes @TrumpChess  @TxSecurityGal @Ijames2018 @chadler_usa @smart_hillbilly @Steffi_Cole @paulcurtman @jallman971 @Markknight45 @MarcCox971 @ninekiller @realJLogan @Pissyjo @melody_grover @AWESOMECQ</t>
  </si>
  <si>
    <t>RT @magathemaga1: FOLLOW THE MONEY @MattStoneABC 
#moleg #mogov #greitens #missouri #stlouis #stl https://t.co/GjGo758vJV</t>
  </si>
  <si>
    <t>RT @magathemaga1: The mistake #MoLeg is making is that this is all going to die and goes away should #greitens be impeached.
You thought w…</t>
  </si>
  <si>
    <t>RT @ThomasSowell: "Of all ignorance, the ignorance of the educated is the most dangerous. Not only are educated people likely to have more…</t>
  </si>
  <si>
    <t>The mistake #MoLeg is making is that this is all going to die and goes away should #greitens be impeached.
You thought wrong.
This issue isn’t going away. We will find the truth even if it leads to republicans in #MoGov and/or dems. 
FIND THE FUNDER!
#mogov #greitens #stl https://t.co/MBI0XLVeJb</t>
  </si>
  <si>
    <t>FOLLOW THE MONEY @MattStoneABC 
#moleg #mogov #greitens #missouri #stlouis #stl https://t.co/GjGo758vJV</t>
  </si>
  <si>
    <t>RT @magathemaga1: So who is the guy behind the money bags?
Jeff Smith, John Brunner — somebody else?
Funny how those pushing this coup th…</t>
  </si>
  <si>
    <t>So who is the guy behind the money bags?
Jeff Smith, John Brunner — somebody else?
Funny how those pushing this coup the most have strong connections to those two camps ... 
#moleg #mogov #greitens #missouri 
@MOGOP_Chairman @Eric_Schmitt @EricGreitens @MattStoneABC https://t.co/QPKMywohap</t>
  </si>
  <si>
    <t>RT @Avenge_mypeople: The reason Eric #Greitens witch hunt is taking place. People outside of Missouri should watch closely what is going on…</t>
  </si>
  <si>
    <t>RT @YearOfZero: Just a reminder 
@MOHOUSECOMM @MOHouseGOP @MOHouseDems A friendly reminder that a vote to impeach/censure @GovGreitensMO i…</t>
  </si>
  <si>
    <t>RT @YearOfZero: It’s quite simple.
Kim Gardner met with the witness at a hotel secretly.
What kind of prosecuting attorney does that?
It…</t>
  </si>
  <si>
    <t>RT @RealTravisCook: Go to the website, click on my pic, and download today's radio show!  #Greitens #KimShady #MoLeg #MAGA https://t.co/wcZ…</t>
  </si>
  <si>
    <t>RT @Mizzourah_Mom: Missouri voters - contact your MO representative and let them know what you think about the witch hunt against Governor…</t>
  </si>
  <si>
    <t>RT @Sticknstones4: @YearOfZero they don’t care that #moleg was giving out 150 million in low income housing tax credits, 87,000,00 going to…</t>
  </si>
  <si>
    <t>RT @AOsiatynski: Defeating this #DEMsMediaWithHunt is almost as important as crushing #MuellerDeepStateMSMcoup against @POTUS
#Walker &amp;amp; #Tr…</t>
  </si>
  <si>
    <t>RT @RealTravisCook: @1057thePoint The charges against Governor #Greitens have been dismissed, so why haven't you fired Phil Sneed for makin…</t>
  </si>
  <si>
    <t>RT @YearOfZero: Upset that Gardner, who engaged in serious judicial misconduct, collusion with #moleg on this witch hunt / COUP, and other…</t>
  </si>
  <si>
    <t>RT @Sticknstones4: @latimes Dig further , look into JES Holdings LLC  Jeff Smith 
His company receives the largest amount of Low Income Hou…</t>
  </si>
  <si>
    <t>RT @magathemaga1: Al Watkins says he got money cuz supposed 2 help with "fallout" of release. Why would anybody care if PS hurt financially…</t>
  </si>
  <si>
    <t>RT @USANEWS007: DON JR. SET UP!!
House Oversight Jim Jordan says no there there w/Donald Trump Jr meeting at Trump Tower but states the sam…</t>
  </si>
  <si>
    <t>RT @USANEWS007: Ya let’s not forget all the huge conservative voices who ruled twitterland over the past 2.5 yrs who were booted for no goo…</t>
  </si>
  <si>
    <t>RT @almostjingo: Is anyone going to tell us who #GlennSimpson was meeting with on the Hill in 2016? https://t.co/34JQ6I2Ufm</t>
  </si>
  <si>
    <t>RT @strmsptr: #CrossfireHurricane not trending anymore.  Some one must have realized that it backfired against the left, like everything el…</t>
  </si>
  <si>
    <t>RT @SpeakerTimJones: One year &amp;amp; millions of taxpayer dollars later, we know what we already knew: No @realDonaldTrump #RussianCollusion - N…</t>
  </si>
  <si>
    <t>RT @SpeakerTimJones: You speak in hyperbole. @realDonaldTrump has done NOTHING negative to this country. And you cannot name one such item…</t>
  </si>
  <si>
    <t>RT @seanmdav: He took a meeting and did nothing. The Clinton campaign hired a firm working with the very Russians at that meeting and then…</t>
  </si>
  <si>
    <t>Al Watkins says he got money cuz supposed 2 help with "fallout" of release. Why would anybody care if PS hurt financially due 2 release?
Money had 2 be 4 release of the tape &amp;amp; if person cared so much, where is KS Payday?
Did Scott Simpson get money bag?
#moleg #mogov #Greitens https://t.co/pmwp1wWfGX</t>
  </si>
  <si>
    <t>RT @RealTravisCook: Time to go on the offensive, people!  #Greitens #Missouri #WitchHunt https://t.co/EYczONZJYG</t>
  </si>
  <si>
    <t>RT @luckyoes: #Greitens
Quit wasting TAXPAYER$$. 
We elected @EricGreitens. 
Stop the #GreitensImpeachment  nonsense... #MOLEG</t>
  </si>
  <si>
    <t>RT @YearOfZero: #OccupyJeffCity 
The peasants are coming!
@HennessySTL 
@EricGreitens @Eric_Schmitt @BillEigel @TeamGreitens @gatewaypun…</t>
  </si>
  <si>
    <t>RT @YearOfZero: Attn #MoLeg
Are you ready?
To be voted out?
For engaging in this COUP against @EricGreitens ....
Get ready because we a…</t>
  </si>
  <si>
    <t>RT @MoScarlet: @scottfaughn How's that book deal working out for you? As it is; "...one of the most egregious railroadings we have ever wit…</t>
  </si>
  <si>
    <t>RT @JW1057: @Lautergeist @SLMPD Perhaps, Wooten meant to say, "Mr. Tisaby did not perjure himself, he couldn't have done it without Kim Gar…</t>
  </si>
  <si>
    <t>@MattStoneABC @ABC @JW1057  https://t.co/5aUrmY7uGI</t>
  </si>
  <si>
    <t>RT @MattStoneABC: ABC News has obtained a photo of one of the two packages each containing $50,000 that attorney Al Watkins claims he recei…</t>
  </si>
  <si>
    <t>RT @JCunninghamMO: Consensual is the key. She kept coming back. That is not a victim. It is a participant. https://t.co/aJQWi4I0CN</t>
  </si>
  <si>
    <t>RT @Sticknstones4: Calling all Skeletons from Molegs closest 
Heck you don’t need to open a closet 
Start looking at your #Moleg on casen…</t>
  </si>
  <si>
    <t>RT @Neilin1Neil: @Sticknstones4 “Start looking at your #Moleg on casenet.” Now, why didn’t I think of that!</t>
  </si>
  <si>
    <t>RT @YearOfZero: Why is it disturbing? 
It’s the truth.
She kept seeing the man. 
I love how you ignore the payoff money to the lawyer fo…</t>
  </si>
  <si>
    <t>RT @RealTravisCook: From my Tuesday radio show--my reflections on the failed #WitchHunt against Governor #Greitens &amp;amp; what is says about the…</t>
  </si>
  <si>
    <t>@sigi_hill @Neilin1Neil @blackwidow07 @ResignNowKim @TrumpChess @EricGreitens @RealTravisCook @YearOfZero @Sticknstones4 @KathieConway @inthejungle234 @Norasmith1000 @liberty1776son @VisioDeiFromLA @DeplorableGoldn @Boothe08887997 @JW1057 @edemery @jallman971 @Henryhahadavis @pahubb43 @EdBigCon @HennessySTL @RiverfrontTimes @SKOLBLUE1 @Avenge_mypeople @kmoxnews Find the Funder... #Greitens https://t.co/PwPMpznQnx</t>
  </si>
  <si>
    <t>RT @magathemaga1: Some things to ask regarding the #GreitensTrial @MattStoneABC 
✔Who is Skyler
✔Source of Money?
✔KS/PS bank statements c…</t>
  </si>
  <si>
    <t>RT @magathemaga1: Al says 120k to bring down @ericgreitens came from "wealthy Republican"
Who is Republican?
Who hates #Greitens
Who would…</t>
  </si>
  <si>
    <t>Al says 120k to bring down @ericgreitens came from "wealthy Republican"
Who is Republican?
Who hates #Greitens
Who would want revenge?
Who would gain financially?
Couple of possibilities.  Businessman? Or just a tax credit man?
#moleg #mogov #missouri
https://t.co/UB9pYkF4zE</t>
  </si>
  <si>
    <t>RT @CStamper_: Why would Scott Faughn blatantly lie about these payments, and why does nobody in #moleg seem to care?  https://t.co/7RcjCE0…</t>
  </si>
  <si>
    <t>RT @magathemaga1: Per #MoneyBagsAl, he got money cuz supposed to help with "the fallout" of release. Why would anybody care if PS hurt fina…</t>
  </si>
  <si>
    <t>Per #MoneyBagsAl, he got money cuz supposed to help with "the fallout" of release. Why would anybody care if PS hurt financially due 2 release?
Money had 2 be 4 release of the tape &amp;amp; if person cared so much, where is KS Payday??
Where is KS PAYDAY?
#moleg #mogov #Greitens #STL https://t.co/DExuvtRt5r</t>
  </si>
  <si>
    <t>Cc @MattStoneABC 
@jallman971 is also a good guy to talk to https://t.co/IWPotPrnKy</t>
  </si>
  <si>
    <t>Some things to ask regarding the #GreitensTrial @MattStoneABC 
✔Who is Skyler
✔Source of Money?
✔KS/PS bank statements checked?
✔Where is Scott?
✔Was there even more money involved?
Did Scott Simpson get a payoff also (KS lawyer)?
Follow the money
#Moleg #mogov #Greitens https://t.co/Fohdcj9gMo</t>
  </si>
  <si>
    <t>@MattStoneABC @ABC For a person like me, I read over the released depositions and discovered that the witness was caught lying with inconsistent testimony. To his his credit @JW1057 caught this before me. But there is a major conspiracy here to unseat the governor on false charges</t>
  </si>
  <si>
    <t>@MattStoneABC @ABC You have got to investigate this Matt. There is a story here.
It offers.
Good guys
Bad guys 
Scandal 
We are talking Pulitzer’s. Our local media refused to do investigative work, or flimsy at best. I only know what’s public and rumors but I’ll gladly share what I know.</t>
  </si>
  <si>
    <t>RT @Str8DonLemon: Did #MoneyBagsAl file Form 8300 with  IRS. It is required, as is the case here, when receiving $10k or more in cash. Fede…</t>
  </si>
  <si>
    <t>RT @CStamper_: This is the sort of crap driving the witch hunt to oust Missouri Governor Eric Greitens. No shocker that the local media nev…</t>
  </si>
  <si>
    <t>RT @Sticknstones4: HEY #MOLEG  LOOK AT HOW SLEEZY SCAMMING SCOTT FAUGHN IS !  LA TIMES IS HOT ! THEYRE FOLLOWING THE MONEY 💰 STERLING BANK…</t>
  </si>
  <si>
    <t>RT @YearOfZero: Your stills peddling that fake sex scandal from the hairdresser?
#moleg #mogov https://t.co/enUVzmHOzW</t>
  </si>
  <si>
    <t>RT @JW1057: @BryanLowry3 To the contrary this case was all about Ms. Gardner and Mr. Tisaby. Ms. Gardner filed the case and Mr. Tisaby trie…</t>
  </si>
  <si>
    <t>RT @Mizzourah_Mom: @Neilin1Neil @EricGreitens @RealTravisCook @Sticknstones4 @KathieConway @inthejungle234 @Norasmith1000 @liberty1776son I…</t>
  </si>
  <si>
    <t>RT @JW1057: @MOHOUSECOMM @MOHouseGOP @MOHouseDems A friendly reminder that a vote to impeach/censure @GovGreitensMO is a vote against your…</t>
  </si>
  <si>
    <t>RT @J_Hancock: In an interview Tuesday w/@BryanLowry3, attorney Al Watkins contradicted @scottfaughn's claim that a $50,000 payment was rel…</t>
  </si>
  <si>
    <t>RT @BryanLowry3: Watkins says he was led to believe that both halves of the $100K came from a single source and that Faughn and the courier…</t>
  </si>
  <si>
    <t>RT @MSTLGA: Where can i find the auditors report on the Low Income Housing Tax Creidts ? 
Why did #Moleg allow years of inefficiency &amp;amp; abu…</t>
  </si>
  <si>
    <t>RT @CStamper_: Sounds like the FBI is investigating the shady $100,000 cash payment that went to one of the witnesses’ attorney in Soros-ba…</t>
  </si>
  <si>
    <t>RT @JW1057: @ws_missouri Comm. caused own problems. Released 1st report 4/11 and haven't done anything with it. Could't wait a month until…</t>
  </si>
  <si>
    <t>RT @rhondas_lil_sis: Hoping #moleg will get back to the work of the people. #WitchHunt https://t.co/jQhE3R91nt</t>
  </si>
  <si>
    <t>RT @magathemaga1: I'm back #MoLeg 
Things got too boring.
Appears we have our first live look at  #MoneyBagaAl 50k.
Courtesy of @MattSto…</t>
  </si>
  <si>
    <t>@MattStoneABC @ABC Hashtags you need to look at #KimShady #ScammingScott and #MoneybagsAl in addition to #moleg 
@EricGreitens @Eric_Schmitt @MissouriGOP @gatewaypundit https://t.co/YhT8MoMaqr</t>
  </si>
  <si>
    <t>CC @MattStoneABC https://t.co/TEdDXhnqFO</t>
  </si>
  <si>
    <t>@MattStoneABC @ABC Hey Matt see my thread 
https://t.co/AHT3HUE1WP</t>
  </si>
  <si>
    <t>I'm back #MoLeg 
Things got too boring.
Appears we have our first live look at  #MoneyBagaAl 50k.
Courtesy of @MattStoneABC
Of course, Al's explanation is suspect and he is probably lying. I'll explain why...
#moleg #mogov #greitens #GreitensTrial #breaking #stlouis #STL https://t.co/O3dJnBn0LD</t>
  </si>
  <si>
    <t>RT @Avenge_mypeople: @martuk56 @gatewaypundit @jallman971 That's been my observation as well, but this #greitens issue made me realize that…</t>
  </si>
  <si>
    <t>@astrid_kaysen @LiberalTalknPts @ezraklein Npr spins it. Did you read his explanation? They didn’t pay the bills. Sorry</t>
  </si>
  <si>
    <t>RT @getongab: Sophistry 101. https://t.co/b2Z49TMOvy</t>
  </si>
  <si>
    <t>RT @Anuhint1: @IngrahamAngle Pls tweet the list of those idiotic repubs trying to pass amnesty for DACA.</t>
  </si>
  <si>
    <t>RT @kwilli1046: Conservatives are outraged that Twitter has attacked our free speech through shadow banning.
Were you impacted by shadow b…</t>
  </si>
  <si>
    <t>RT @Thomas1774Paine: BREAKING: Gen. Flynn Signed Guilty Plea After Mueller Threatened His Family, Son; Thug Tactics Coerced Plea Deal https…</t>
  </si>
  <si>
    <t>RT @VisioDeiFromLA: Who paid Scott Faughn the money to pay Al Watkins.
We havent forgotten and the issue wont go away.
Guys like Scott Ch…</t>
  </si>
  <si>
    <t>RT @RepMarkMeadows: Director, what exactly is a sovereign nation supposed to do when their borders are attacked? Israel has the right to de…</t>
  </si>
  <si>
    <t>RT @RepLeeZeldin: Say it w me former CIA Director: H...A...M...A...S. Kids as human shields, $500 payments if successfully shot, guns to pp…</t>
  </si>
  <si>
    <t>@JFCargo @stlbriancollins @azl_toomuch @charliekirk11 @AP4Liberty If Hawley is going to win, what is he doing? Tell him to get in gear.</t>
  </si>
  <si>
    <t>RT @Str8DonLemon: #MoLeg 
Food 4 thought
There would be no special committee if no fake indictment
Think.
U dbags only formed special h…</t>
  </si>
  <si>
    <t>RT @LibertarianBlue: Twitter lied to the Senate.
They told @tedcruz they don't shadowban, and yet:
1. Their employees were caught on came…</t>
  </si>
  <si>
    <t>RT @RealTravisCook: Going up on https://t.co/LqVNagt9Kx discussing #Kimgardner's debacle with Governor #Greitens, as well as the disturbing…</t>
  </si>
  <si>
    <t>RT @971FMTalk: TUNE-IN AT 710: Gov. Greitens' attorney Edward Dowd will be speaking with @MarcCox971 on #GreitensTrial and more!</t>
  </si>
  <si>
    <t>RT @VisioDeiFromLA: I'll tell you. Because the charge was bogus and the affair was consensual.
That's all you need to tell viewers.
#mole…</t>
  </si>
  <si>
    <t>RT @Avenge_mypeople: Here's the guy who gave 50 grand to lawyer Al Watkins. He has some big money backing him. Banks with interest in keepi…</t>
  </si>
  <si>
    <t>@BigJShoota Lol</t>
  </si>
  <si>
    <t>RT @BigJShoota: This is just flatout NOT gonna happen. No govt. official in the #ShowMe State has EVER resigned. 😆😆😆😆
#MoLeg #Mogov #Greit…</t>
  </si>
  <si>
    <t>RT @Sticknstones4: @Avenge_mypeople @magathemaga1 @Eric_Schmitt @Rep_TRichardson @willscharf @HotPokerPrinces @RealTravisCook @smart_hillbi…</t>
  </si>
  <si>
    <t>RT @VisioDeiFromLA: Jason. We don’t care.
What we do care about is:
Scott Faughn
Where did he get the money? Who gave it to him. That’s…</t>
  </si>
  <si>
    <t>RT @VisioDeiFromLA: (3) Next on Deck
Nate Walker 
Will he screw over #Missouri Voters by impeaching?
Call him up or email him and ask hi…</t>
  </si>
  <si>
    <t>RT @VisioDeiFromLA: (4) Next on Deck
Tim Remole 
Will he screw over #Missouri Voters by impeaching?
Call him up, email him and tweet him…</t>
  </si>
  <si>
    <t>RT @JW1057: @ws_missouri May want to look into secret Mission Continues donor list. Not so secret when the names are posted on their websit…</t>
  </si>
  <si>
    <t>@NBCPolitics The charge was always bogus</t>
  </si>
  <si>
    <t>@davidsonmark650 @Blackboxhalo @DrewDusenberry @Joop78CJ7 @tonymess @EricGreitens Lol</t>
  </si>
  <si>
    <t>RT @DRUDGE_REPORT: Prosecutor drops charge against Missouri Gov after judge rules she can be called as witness... https://t.co/yl7tViH0wi</t>
  </si>
  <si>
    <t>RT @VisioDeiFromLA: You dont know me
Who else wants to screw over Missouri voters?
@RonFRichard does.
Does @Rep_TRichardson want 2 screw…</t>
  </si>
  <si>
    <t>RT @1DanCox: Retweeted Deplorable Melissa (@sweetatertot2):
#Greitens was another victim of a political witch hunt. Democrats no longer be…</t>
  </si>
  <si>
    <t>@USMC_wife_ @Jmajkrzak It’s not true. And she kept seeing him after incident</t>
  </si>
  <si>
    <t>@Jmajkrzak It was completely made up.</t>
  </si>
  <si>
    <t>RT @Jmajkrzak: So, I haven't followed this Missouri Gov Greitens story at all, but based off of what happened today in court, would it be f…</t>
  </si>
  <si>
    <t>RT @sweetatertot2: #Greitens was another victim of a political witch hunt. Democrats no longer believe in the Democratic process, they now…</t>
  </si>
  <si>
    <t>RT @robert_enna: What a waste of my taxpayer dollars. I won’t forget republican turncoats either. If you didn’t support the gov then you wo…</t>
  </si>
  <si>
    <t>RT @emfvet78: Turn Pennsylvania all Red. Don’t let Allegheny County and Philadelphia dictate our outcome.  Start tomorrow with the #RedWave…</t>
  </si>
  <si>
    <t>RT @Thomas1774Paine: FAMILY BUSINESS: John Kerry’s Daughter Married Iranian National; Best Man Was Son Of Iran’s Minister of Foreign Affair…</t>
  </si>
  <si>
    <t>RT @FoxNews: .@IngrahamAngle on @POTUS: "He has reinvigorated the prospects of peace in places we never would have thought change would eve…</t>
  </si>
  <si>
    <t>RT @CJHarkins89: @haaretzcom @dianabuttu That’s hilarious. The Jewish state is alt-right. You Couldn’t parody that if you tried. Thank you…</t>
  </si>
  <si>
    <t>@haaretzcom @dianabuttu So Bibi is “alt right” now? I guess that makes everybody who supports him alt right? Your lame propaganda labeling won’t work anymore</t>
  </si>
  <si>
    <t>RT @NickAPappas: We’ve reached the point where “alt-right” has no real meaning. I’ve seen people call the likes of @BretStephensNYT &amp;amp; @bens…</t>
  </si>
  <si>
    <t>RT @thebradfordfile: Hey Mueller:
John Solomon called--he just torpedoed your witch hunt on live television.
Oleg Deripaska is going to b…</t>
  </si>
  <si>
    <t>RT @OliverMcGee: I’m a Black Republican. I switched to the Republican Party in 2012 because the Democratic Party and @BarackObama went way…</t>
  </si>
  <si>
    <t>RT @TheLastRefuge2: Finally, a person who actually took the time to read through over 500pages of Page/Strzok text messages, both releases.…</t>
  </si>
  <si>
    <t>RT @ScottPresler: TRUMP MOVEMENT:
Spotted in Virginia Beach, this group of patriots is getting tons of honks in support of our President.…</t>
  </si>
  <si>
    <t>Guy is a huge LARP https://t.co/k1G2WHnSty</t>
  </si>
  <si>
    <t>RT @SaraCarterDC: A Russian company Mueller indicted apparently didn’t exist at the time of the 2016 election, plus interesting history on…</t>
  </si>
  <si>
    <t>RT @Thomas1774Paine: Donald Trump: Senate Should Not Get August Break if They Fail to Get Work Done https://t.co/gNnBOwpoBg</t>
  </si>
  <si>
    <t>RT @GreekSTL: @KMOV how many taxes dollars were wasted on this Witch Hunt ? What about the 205 homicides from last year ?  #GreitensTrial</t>
  </si>
  <si>
    <t>RT @Claire_Kellett: Statement from @EricGreitens regarding today's dismissal of his criminal invasion of privacy case. #GreitensTrial @KMOV…</t>
  </si>
  <si>
    <t>RT @GreekSTL: What I learned from the  #GreitensTrial , don’t live in or place your business in the City of St. Louis.</t>
  </si>
  <si>
    <t>RT @rileysomething: @adamcbest Strong cases don't get dropped if what the defense claims is true. They're political hits.
But apparently a…</t>
  </si>
  <si>
    <t>RT @VisioDeiFromLA: Bro. KS entered into a consensual affair and you don’t go back if it’s coerced.
Your husband also doesn’t try to sell…</t>
  </si>
  <si>
    <t>RT @GreekSTL: The real losers  in the  #GreitensTrial are the people of The City of St. Louis. Think about the hard earned tax dollars just…</t>
  </si>
  <si>
    <t>RT @for_congress: The frivolous case against our Governor has been dismissed - they had no substantive evidence to back up their baseless i…</t>
  </si>
  <si>
    <t>RT @MarcCox971: Poor Circuit Atty Gardner. On a seek &amp;amp; destroy mission against Gov Greitens with no evidence - but it’s her “integrity” tha…</t>
  </si>
  <si>
    <t>RT @chinyamy: #Greitens #GreitensIndictment #greitenstrial 👇Apparently these idiots oppose the legal system and wish that they could oust a…</t>
  </si>
  <si>
    <t>RT @GreekSTL: George Peach and Dee Joyce-Hays are no longer the worst Circuit Attorneys for the City of St. Louis.   #GreitensTrial #DisBar…</t>
  </si>
  <si>
    <t>RT @for_congress: @ws_missouri Lies upon lies. The statute of limitations has expired - what new "dreamed up" evidence will they be using t…</t>
  </si>
  <si>
    <t>RT @strmsptr: Moral of the #GreitensTrial ? @jallman971 WAS RIGHT FROM THE BEGINNING!!! @SpeakerTimJones @971FMTalk @tonycolombo971 @kbaile…</t>
  </si>
  <si>
    <t>RT @strmsptr: #moleg has lost the moral authority and ability to lead...  #WeThePeople will be like bulls in a china shop come November. Co…</t>
  </si>
  <si>
    <t>RT @GreekSTL: I wonder if Lacy Clay regrets backing Kim ?  #GreitensTrial #DisBarKim</t>
  </si>
  <si>
    <t>RT @VisioDeiFromLA: #MoLeg #Mogov #Greitens #GreitensTrial #KimShady #STL #StLouis #kcmo https://t.co/wYuck2DUTw</t>
  </si>
  <si>
    <t>RT @HennessySTL: Everyone now sees that the Greitens persecution comes down Republican career politicians colluding with half-wit Dem prose…</t>
  </si>
  <si>
    <t>RT @CollinRusty: In the past few weeks President Trump has, 
•Doubled African American Poll Numbers 
•Nominated a woman to be CIA Directo…</t>
  </si>
  <si>
    <t>RT @JesseKellyDC: Anyone who's ever knocked on doors for a political campaign will tell you if there's an American flag flying at the house…</t>
  </si>
  <si>
    <t>RT @Norasmith1000: @VisioDeiFromLA @Rep_TRichardson @willscharf @Shawtypepelina @Neilin1Neil @RealTravisCook @Avenge_mypeople @HennessySTL…</t>
  </si>
  <si>
    <t>RT @pepesgrandma: Case against Republican gov, Eric Geitens - Prosecuter began writing out indictment document before evidence of a crime w…</t>
  </si>
  <si>
    <t>RT @Little_Irishman: I am in awe of the fact that there are STILL people defending the actions of St. Louis Circuit Attorney Kim Gardner.…</t>
  </si>
  <si>
    <t>RT @CStamper_: Gardner’s witch hunt “was a weak case from the beginning, and the prosecution has admitted that they DO NOT have the photogr…</t>
  </si>
  <si>
    <t>RT @Norasmith1000: Can disbarment proceedings begin now against #kimgardner please? #moleg #mogov</t>
  </si>
  <si>
    <t>RT @VisioDeiFromLA: Why? 
You dont impeach on feelings.
Mad because he didnt get convicted of false charges?
#MoLeg #MoGov #Greitens #gr…</t>
  </si>
  <si>
    <t>RT @CStamper_: This is asinine. 
1) Simply not true. The prospect of acquittal still looms over the House
2) A special prosecutor will ne…</t>
  </si>
  <si>
    <t>RT @MtRushmore2016: @CStamper_ Geesh, sorta feels like the SC Mueller railroad job against Pres Trump in The Swamp! Sending the message, Ou…</t>
  </si>
  <si>
    <t>RT @CStamper_: As Soros-backed Kim Gardner focuses on her witch hunt, “almost half of all cases brought before the circuit attorney's offic…</t>
  </si>
  <si>
    <t>RT @VisioDeiFromLA: IT'S NOT A COUP
IT'S NOT A COUP
IT'S NOT A COUP
IT'S NOT A COUP
IT'S NOT A COUP
IT'S NOT A COUP
IT'S NOT A COUP
IT'S NO…</t>
  </si>
  <si>
    <t>RT @VisioDeiFromLA: How I know this a COUP?
#MoLeg didn't even wait 2 release statements to try to distract from #Greitens statements
Des…</t>
  </si>
  <si>
    <t>RT @VisioDeiFromLA: #Moleg doesnt care about #Missouri
Will they steal from U? If U let them.
Dont let them
Mike Kehoe #573-751-2076
@Mi…</t>
  </si>
  <si>
    <t>RT @RetNavy93: @rlippmann @tkinder The #moleg better think twice before calling for the Governor to resign. A lot of them are up for reelec…</t>
  </si>
  <si>
    <t>RT @VisioDeiFromLA: (1) #Missouri COUP is ON!
Time 2 see which #MoLeg reps &amp;amp; senators support people and which want to screw over voters…</t>
  </si>
  <si>
    <t>RT @JCunninghamMO: A friend tweeted this: “It’s a shame some in #MoLeg are letting their distaste for the Gov ‘s actions cause them to take…</t>
  </si>
  <si>
    <t>RT @aaron_hedlund: What we observed today was a politically motivated, incompetent prosecutor with no evidence throw in the towel rather th…</t>
  </si>
  <si>
    <t>You are what's wrong with this country.
Making everything about race https://t.co/O1f2poySUv</t>
  </si>
  <si>
    <t>RT @IndieWire: #LastManStanding Is Officially Back: Tim Allen Sitcom Revived by Fox a Year After Cancellation https://t.co/CdJfIdh2GM https…</t>
  </si>
  <si>
    <t>RT @ofctimallen: New season this fall! https://t.co/qhSdY48WT2 #LastManStanding https://t.co/REYt6yYXbV</t>
  </si>
  <si>
    <t>@vinaytion I was</t>
  </si>
  <si>
    <t>RT @ljsylvain: @damianholbrook That's the spirit.  You could simply not watch it, but no... You thug leftists can't stand the idea of anyon…</t>
  </si>
  <si>
    <t>RT @LastManStanding: #LastManStanding is coming to @FOXTV this fall: https://t.co/lcMIksWMFm https://t.co/KeHwbDwkOb</t>
  </si>
  <si>
    <t>RT @ofctimallen: Just a teaser for you. Looking forward to this fall #LastManStanding @FOXTV @LastManStanding https://t.co/vWBRRMT1xR</t>
  </si>
  <si>
    <t>RT @DevinNunes: This is what real reporting looks like...time to eliminate the redacted texts for all Americans to see! https://t.co/sfPLtW…</t>
  </si>
  <si>
    <t>RT @joelpollak: If the U.S. embassy move to #Jerusalem "caused" Palestinians to riot, why aren't they rioting in Jerusalem? Or in the West…</t>
  </si>
  <si>
    <t>RT @Norasmith1000: Did the Circuit Attorney used funding to prosecute Gov. Greitens over other criminal cases? – https://t.co/YAhxV0uNPE ht…</t>
  </si>
  <si>
    <t>RT @IngrahamAngle: Now we know--the FBI tried to get a Russian billionaire to help on the (phony) Trump collusion narrative and he told the…</t>
  </si>
  <si>
    <t>@_FlyUnderground @DeplorableGoldn @VisioDeiFromLA @EricGreitens Bro.
They called on the defense because she met with kitty in a hotel room on the east side. Later on money was dropped off to the lawyer. When you do that as a PA, you open yourself up to being a witness 
Kim gardener didn’t want to testify as to how they plotted.</t>
  </si>
  <si>
    <t>RT @VisioDeiFromLA: Dont think we forgot about you, Scott.
We still need to know where Faughn is &amp;amp; where he got his money.
Would the guy…</t>
  </si>
  <si>
    <t>RT @philip_saulter: @ws_missouri Well since these senators clearly do not represent the interest of Missouri voters I call on them to resig…</t>
  </si>
  <si>
    <t>RT @VisioDeiFromLA: It's COUP Time!
Not even an apology 4 dragging #greitens through the mud on false charges! 
Now #MoLeg looks to disre…</t>
  </si>
  <si>
    <t>RT @HennessySTL: Now, that crooked Kim Gardner dropped fraudulent charges, it’s time for the people to take down the crooks trying to overt…</t>
  </si>
  <si>
    <t>RT @magathemaga1: Yo @TwitterSupport please undshadow bam me. I think I may have been posting too fast. Please and thank you.
@parscale @F…</t>
  </si>
  <si>
    <t>RT @JW1057: @EricGreitens  I am so proud that you are fighting the good fight. I stand behind you. I know that this was just one battle in…</t>
  </si>
  <si>
    <t>RT @TrumpChess: @EricGreitens Prayers answered - the "witch hunt" is over &amp;amp; nobody better waste our tax dollars refiling that I can tell yo…</t>
  </si>
  <si>
    <t>RT @DeplorableGoldn: RT
Prayers answered - the "witch hunt" is over &amp;amp; nobody better waste our tax dollars refiling that I can tell you @POT…</t>
  </si>
  <si>
    <t>RT @magathemaga1: You also going to demand apology from @jaybarnes5 for releasing incomplete testimony that wasnt cross examined &amp;amp; thus not…</t>
  </si>
  <si>
    <t>RT @magathemaga1: @JakeGrayPoliSci Been saying this since it was found out the committe didnt even bother to cross examine them.
#moleg #m…</t>
  </si>
  <si>
    <t>RT @Sticknstones4: Governor Eric Greitens Press Conference after Felony Invasion of Privacy Case was dropped 
We Have a great Mission Befo…</t>
  </si>
  <si>
    <t>RT @Norasmith1000: @christoferguson What Greiten's lawyer said after court today needs to really wake people up...if she can get away with…</t>
  </si>
  <si>
    <t>Gardner is lying.
There was 0 evidence 
#MOLeg #mogov #Greitens #GreitensTrial https://t.co/F0CtJaE1kN</t>
  </si>
  <si>
    <t>Yo @TwitterSupport please undshadow bam me. I think I may have been posting too fast. Please and thank you.
@parscale @FCC @AjitPaiFCC</t>
  </si>
  <si>
    <t>@EricGreitens Keep fighting!</t>
  </si>
  <si>
    <t>RT @EricGreitens: We have a great mission before us. And at this time, I'd ask people of goodwill to come together so that we may continue…</t>
  </si>
  <si>
    <t>RT @EricGreitens: I am extraordinarily grateful for the tremendous patience and courage of friends, family, and people of faith, who have a…</t>
  </si>
  <si>
    <t>RT @EricGreitens: Above all, I am sorry for the pain that this process and my actions have caused my family, my friends, and the people of…</t>
  </si>
  <si>
    <t>RT @EricGreitens: We all have to deal with suffering, but if we deal with it in the right way, we can emerge with strength.
I also believe…</t>
  </si>
  <si>
    <t>RT @EricGreitens: This experience has also been humbling, and I've emerged from it a changed man.
I believe that in all of our lives, we h…</t>
  </si>
  <si>
    <t>RT @EricGreitens: Today, the prosecutor dropped the false charges against me.
This was a great victory and a long time coming. I've said f…</t>
  </si>
  <si>
    <t>RT @magathemaga1: It makes the other charges look like a Plan B and total bs over a charity HE BUILT.
Also No apology?
You knew very well…</t>
  </si>
  <si>
    <t>It makes the other charges look like a Plan B and total bs over a charity HE BUILT.
Also No apology?
You knew very well that the hairdresser abuse story was made up. MADE UP
You all knew. 
#MOLeg #mogov #Greitens #GreitensTrial @Eric_Schmitt @Rep_TRichardson @EricGreitens https://t.co/4fC1FFiSvv</t>
  </si>
  <si>
    <t>RT @magathemaga1: Bro.
You all slandered a man.
Lied about him.
You knew the whole Katrina Sneed thing was bs. 
Take a minute to apolog…</t>
  </si>
  <si>
    <t>RT @christoferguson: Kim Gardner screwed this case up bad. And she should feel bad. And so should citizens of #StL City  who are at risk of…</t>
  </si>
  <si>
    <t>RT @magathemaga1: She isnt a vicitm.
And no he does not need 2 resign
Katrina Sneed knowingly engaged in a consensual affair.
Period. En…</t>
  </si>
  <si>
    <t>RT @BluesFan464: @BryanLowry3 This is the only picture we need. #moleg #GreitensTrial #Greitens #GreitensCriminalTrial @StLouisCityCA https…</t>
  </si>
  <si>
    <t>@JakeGrayPoliSci Been saying this since it was found out the committe didnt even bother to cross examine them.
#moleg #mogov #Greitens #GreitensTrial</t>
  </si>
  <si>
    <t>RT @JakeGrayPoliSci: This is why I think #MoLeg should have waited to act. With all the new evidence coming out including Judge Burlison’s…</t>
  </si>
  <si>
    <t>RT @KCTV5: VIDEO: Missouri Gov. @EricGreitens speaks after an invasion of privacy charge was dropped against him on Monday. #moleg #mogov h…</t>
  </si>
  <si>
    <t>You also going to demand apology from @jaybarnes5 for releasing incomplete testimony that wasnt cross examined &amp;amp; thus not credible damaging #Greitens in court of public opinion? 
End witch hunt now and somebody find out where Faughn got that money.
#moleg #mogov #GreitensTrial https://t.co/uTn9U2Qz6G</t>
  </si>
  <si>
    <t>RT @Markknight45: @EdBigCon @EricGreitens Where are the #moleg and their apologies??</t>
  </si>
  <si>
    <t>Bro.
You all slandered a man.
Lied about him.
You knew the whole Katrina Sneed thing was bs. 
Take a minute to apologize.
Also #MoLeg 
Who conspired with #KimShady in your ranks? 
And where is Scott Faughn and who gave him the money?
#mogov #GreitensTrial #Greitens #stl https://t.co/OyYDKavhSY</t>
  </si>
  <si>
    <t>RT @CStamper_: Soros-backed prosecutor, with no evidence &amp;amp; with her unethical &amp;amp; illegal behavior under scrutiny, waived the white flag.  Ma…</t>
  </si>
  <si>
    <t>@FritzCarltonSTL @jrosenbaum @willscharf @Shawtypepelina @SKOLBLUE1 @RealTravisCook @Neilin1Neil @Avenge_mypeople @blackwidow07 @Hope4Hopeless1 @ByronYork @EricGreitens I'm more of a poplar bluff man myself</t>
  </si>
  <si>
    <t>RT @magathemaga1: Took break &amp;amp; #KimShady dropped case. Her explanation is laughable
Clearly didnt want 2 take stand &amp;amp; explain:
No police…</t>
  </si>
  <si>
    <t>Took break &amp;amp; #KimShady dropped case. Her explanation is laughable
Clearly didnt want 2 take stand &amp;amp; explain:
No police report
Secret meetings
Lies 2 GJ
Outside investigators
And more!
This ain't over. Follow the 💰! 
Find The Funder 
#MoLeg #mogov #Greitens #GreitensTrial https://t.co/mvWMBbtB6W</t>
  </si>
  <si>
    <t>RT @GraciasDarling: @magathemaga1 @Eric_Schmitt @Rep_TRichardson @willscharf @HotPokerPrinces @RealTravisCook @Avenge_mypeople @smart_hillb…</t>
  </si>
  <si>
    <t>RT @magathemaga1: There is no credibilty to charges
#KimShady ran from case like she was running out of burning building
She didnt want 2…</t>
  </si>
  <si>
    <t>@MobSquadRams @CurtisAI12 @Justin_EAndrews @KMOV Greitens is innocent. The entire case was bs</t>
  </si>
  <si>
    <t>She isnt a vicitm.
And no he does not need 2 resign
Katrina Sneed knowingly engaged in a consensual affair.
Period. End of story.
If she was a victim, and the truth was on her side, Kim Gardner wouldn't have ran from this case
#moleg #mogov #Greitens #GreitensTrial #StLouis https://t.co/LTwIc1idGE</t>
  </si>
  <si>
    <t>Gardner was endorsed. Kim gardner is flat out lying.
Where is Scott Faughn and where did he get his money?
#moleg #mogov #Greitens #GreitensTrial https://t.co/I2BRRszf7e</t>
  </si>
  <si>
    <t>@johncombest @jrosenbaum Gardner is a complete joke and there never should have been an indictment in the first place
Fyi John
We call her #KimShady in these parts.
#moleg #mogov #Greitens
#GreitensTrial</t>
  </si>
  <si>
    <t>There is no credibilty to charges
#KimShady ran from case like she was running out of burning building
She didnt want 2 testify. Why?
Secret Meetings on EAST SIDE
Lied about Evidence
No police report 
No probable cause
Coordination with #MoLeg
#MoGov #Greitens #GreitensTrial https://t.co/1xJzIkFj4F</t>
  </si>
  <si>
    <t>@Nanci_TattooU @jrosenbaum @willscharf @Shawtypepelina @SKOLBLUE1 @RealTravisCook @Neilin1Neil @Avenge_mypeople @blackwidow07 @Hope4Hopeless1 @ByronYork #KimShady is SHADY</t>
  </si>
  <si>
    <t>@FritzCarltonSTL @jrosenbaum @willscharf @Shawtypepelina @SKOLBLUE1 @RealTravisCook @Neilin1Neil @Avenge_mypeople @blackwidow07 @Hope4Hopeless1 @ByronYork If you say so... how's the Chase Park Plaza? Nice?</t>
  </si>
  <si>
    <t>For charity HE BUILT
END WITCH HUNT NOW 
We R coming 4 every traitor the ballot box come Nov. who engaged in this coup
Goodbye Hawley...
Hello @AP4Liberty and @SykesforSenate ??
She dismissed case cuz her criminality about 2 beexposed!
#moleg #mogov #Greitens #GreitensTrial https://t.co/gYEwFhZ4mE</t>
  </si>
  <si>
    <t>@AngelaLily0501 This ain't over. Call your lawmakers and tweet at @jaybarnes5 and @Rep_TRichardson that this witch hunt is unacceptable!
Go on offense!</t>
  </si>
  <si>
    <t>@Nanci_TattooU @AngelaLily0501 She doesnt want to talk about her secret meetings!</t>
  </si>
  <si>
    <t>RT @catdeeann: Awesome news for @EricGreitens! 
I wonder how all those people who threw him under the bus feel. Including RINO @HawleyMO!
H…</t>
  </si>
  <si>
    <t>RT @magathemaga1: ATTN #MoLeg
#KimShady joins ranks of Scott Faughn
Scott hiding cuz he doesnt want 2 talk
#KimShady likely pulled this…</t>
  </si>
  <si>
    <t>ATTN #MoLeg
#KimShady joins ranks of Scott Faughn
Scott hiding cuz he doesnt want 2 talk
#KimShady likely pulled this stunt cuz she doesnt want 2 talk about her meeting at east side hotel
Meanwhile, we still dont know who gave Scott 💰💰💰!
#mogov #Greitens #GreitensTrial https://t.co/1955mmbi9E</t>
  </si>
  <si>
    <t>RT @EdBigCon: BREAKING! The entire case against @EricGreitens has been TOSSED!  #MOLEG #GreitensCriminalTrial</t>
  </si>
  <si>
    <t>RT @Str8DonLemon: Remember #MoLeg
No evidence.
She dont even have the photo!
The whole case based on that!
When do we disbar Crooked Kim…</t>
  </si>
  <si>
    <t>Meanwhile where is Scott Faughn and where did he get his Money?
#moleg #mogov #Greitens #GreitensTrial https://t.co/jr1caAJpFQ</t>
  </si>
  <si>
    <t>Never a basis to indict the man. They lied to GJ
Time for #Moleg to investigate Kim Gardner
She didn't want 2 discuss secret meeting at the hotel!
We see this play for what it is @Rep_TRichardson ... tell ur posse to shut this farce down
#moleg #mogov #Greitens #GreitensTrial https://t.co/o2sknqxSVC</t>
  </si>
  <si>
    <t>Where is Scott Faugn
And where did he get that money?
#moleg #mogov #Greitens #GreitensTrial https://t.co/BDK2sFzjM5</t>
  </si>
  <si>
    <t>Because she didnt want to testify and expose her corruption 
#moleg #mogov #Greitens #GreitensTrial https://t.co/3bh10IOu33</t>
  </si>
  <si>
    <t>DISBAR KIM GARDNER
#moleg #mogov #Greitens #GreitensTrial https://t.co/hxfSEc8nN8</t>
  </si>
  <si>
    <t>#KimShady afraid of testifying cuz she manipulated KS into bogus testimony of hers and now she wants to refile with different prosecutor so she can avoid that? 
@Rep_TRichardson time we get the FBI and IRS to look at her misconduct 
#moleg #mogov #Greitens #GreitensTrial</t>
  </si>
  <si>
    <t>RT @magathemaga1: Which reminded me of story/video from @mopns
"One question we have is why Newman’s stepson, Andrew Newman, who works 4 t…</t>
  </si>
  <si>
    <t>RT @sigi_hill: Who is hiding @scottfaughn #moleg #MoGov #MOSen https://t.co/D36xe4uKun</t>
  </si>
  <si>
    <t>RT @magathemaga1: What we definitely know for sure?
Stacey Knewman is involved in coordination with Mo House dems and #KimShady
She knew.…</t>
  </si>
  <si>
    <t>RT @SpeakerTimJones: Please keep trolling me. With every response I get to further expose the dark money @georgesoros funded leftwing liber…</t>
  </si>
  <si>
    <t>RT @magathemaga1: Speaking of Stacey Newman... 
@SpeakerTimJones spoke about this when he was arguing with her on Twitter when she decided…</t>
  </si>
  <si>
    <t>RT @CStamper_: Soros-backed Gardner’s witch hunt involves:
"$50k in cash was dropped to the attorney in this case representing the ex-husba…</t>
  </si>
  <si>
    <t>Which reminded me of story/video from @mopns
"One question we have is why Newman’s stepson, Andrew Newman, who works 4 this firm which is owned by Tom Hillman seemingly buddy buddy in video with Watkins?"
Story: https://t.co/5Pq6bFARL0
#Moleg #mogov #GreitensTrial #Greitens https://t.co/jjO9MLtQ6B</t>
  </si>
  <si>
    <t>Speaking of Stacey Newman... 
@SpeakerTimJones spoke about this when he was arguing with her on Twitter when she decided 2 unleash SJW hate mob on @jallman971 over nonsense tweet
Who is Newman's stepson &amp;amp; who does he work for?
Employer?
#moleg #mogov #Greitens #GreitensTrial https://t.co/CsIRr7xwQe</t>
  </si>
  <si>
    <t>What we definitely know for sure?
Stacey Knewman is involved in coordination with Mo House dems and #KimShady
She knew.
MO Leg Collusion
#MoLeg #Mogov #Greitens #greitenstrial #missouri #StLouis
@EricGreitens @MOGOP_Chairman 
@ByronYork @jrosenbaum @gatewaypundit @jallman971 https://t.co/H3h8fTSVzZ</t>
  </si>
  <si>
    <t>RT @magathemaga1: You impeach over BS, EXPECT massive losses at ballot box in November. You have to fight this or they will keep doing it &amp;amp;…</t>
  </si>
  <si>
    <t>RT @magathemaga1: Now Jason.
Ask
Who funded @scottfaughn 
Who is The Funder
That's the key
Dig into this
#moleg #mogov #GreitensTrial…</t>
  </si>
  <si>
    <t>@JamesCordrey Ignore me if you want but you clearly havent studied your history</t>
  </si>
  <si>
    <t>@JamesCordrey Also immigration is the number one crisis facing America</t>
  </si>
  <si>
    <t>@JamesCordrey But you will still vote with them.
Sorry I dont even trust GOP that much.</t>
  </si>
  <si>
    <t>RT @magathemaga1: I see your conceding defeat on the fake hairdresser story and pivoting tl more bs.
How about an apology for all of your…</t>
  </si>
  <si>
    <t>You impeach over BS, EXPECT massive losses at ballot box in November. You have to fight this or they will keep doing it &amp;amp; next time, it will be YOUR GUY
No man, R or D should be put through weaponization of justice system
Also who gave Scott the money? 
#moleg #mogov #Greitens https://t.co/VSjaQZuiQV</t>
  </si>
  <si>
    <t>Now Jason.
Ask
Who funded @scottfaughn 
Who is The Funder
That's the key
Dig into this
#moleg #mogov #GreitensTrial #Greitens  @Rep_TRichardson @MOGOP_Chairman @Eric_Schmitt @EricGreitens https://t.co/v4QiSUhOV1</t>
  </si>
  <si>
    <t>@JamesCordrey You retweet people who do. Sorry I dont trust a word Democrats say.
You are the party of illegal aliens and  men in my daughters bathroom.</t>
  </si>
  <si>
    <t>I see your conceding defeat on the fake hairdresser story and pivoting tl more bs.
How about an apology for all of your nasty tweets first that presumed guilt based on a lie?
Also you seen Scott Faughn?
#MoLeg #Greitens #mogov #GreitensTrial #Missouri https://t.co/UJtcPGzvQE</t>
  </si>
  <si>
    <t>RT @CStamper_: In witch hunts the prosecution isn't "interested in winning so much as in damaging the accused politically. And this is espe…</t>
  </si>
  <si>
    <t>@JamesCordrey I dont believe Democrats period. I dont believe most Republicans. I don't believe Democrats running for office who are presuming guilt not innocence of eric greitens.
I trust trump.</t>
  </si>
  <si>
    <t>RT @magathemaga1: Judge OKd use of name &amp;amp; you cannot GAG public
Also ALLEGED victim
Public can speak about KS if they want. It's in PUBLI…</t>
  </si>
  <si>
    <t>Judge OKd use of name &amp;amp; you cannot GAG public
Also ALLEGED victim
Public can speak about KS if they want. It's in PUBLIC INTEREST
Discussing case means discussing all aspects
Telling U arent concerned CA lied about basis 4 case
#moleg #mogov #Greitens #GreitensTrial #StLouis https://t.co/tYpknTshqc</t>
  </si>
  <si>
    <t>RT @magathemaga1: Total farce.
#KimShady needs to be disbarred.
No photo 
No cloud data 
No case 
DISMISS 
DISBAR
Come on Rex!
#MOLeg…</t>
  </si>
  <si>
    <t>RT @Sticknstones4: @RonFRichard 
Give the Bills to the governor to sign 
Stop holding up signatures for your own political games 
Do the…</t>
  </si>
  <si>
    <t>RT @Sticknstones4: Confirmed No picture 
It’s Time the money behind this charade of a case be followed 
Who supplied the 120k cash 
#gre…</t>
  </si>
  <si>
    <t>RT @magathemaga1: Except there was actually evidence that Hillary broke the law
Fyi I didnt vote for #Greitens so the point is mute. Your…</t>
  </si>
  <si>
    <t>@christoferguson #kimshady sure didnt take any lessons from all of the wrongfully convicted</t>
  </si>
  <si>
    <t>RT @christoferguson: #Missouri justice system? Missouri man wrongfully convicted in 2001 murder case still awaits release https://t.co/pIez…</t>
  </si>
  <si>
    <t>Now start asking who is "The Funder"
Who gave him the money??
#moleg #mogov #GreitensTrial #Greitens https://t.co/A10O2rmGzQ</t>
  </si>
  <si>
    <t>RT @magathemaga1: Find The Funder, Find The Key
✔️Where is Scott Faughn
✔️Who gave him the money?
✔️Who is Skyler?
👉Who lost the most fro…</t>
  </si>
  <si>
    <t>RT @magathemaga1: As for #MoLeg Collusion with #KimShady...
Was it only Democrats?
Did any member of @MOHouseGOP also collude with CAO 2…</t>
  </si>
  <si>
    <t>As for #MoLeg Collusion with #KimShady...
Was it only Democrats?
Did any member of @MOHouseGOP also collude with CAO 2 bring this phony indictment?
And have they been coordinating to time release of their reports 4 maximum political damage?
#Greitens #GreitensTrial #mogov https://t.co/XHTwh7WlIs</t>
  </si>
  <si>
    <t>Except there was actually evidence that Hillary broke the law
Fyi I didnt vote for #Greitens so the point is mute. Your feelings on Hillary Clinton have 0 to do with prosecutorial misconduct on this, and it doesnt mean we should ignore.
Hillary skated on charges.
#moleg #mogov https://t.co/pGBTgq0Efj</t>
  </si>
  <si>
    <t>@jeffromac23 It didnt. Are you even paying attention to the case? Further she kept seeing him after alleged incident and did nude facetimed with him AFTER</t>
  </si>
  <si>
    <t>@BigJShoota The sad thing shoota is while some dems may be involved, it looks like more republicans are involved.</t>
  </si>
  <si>
    <t>RT @BigJShoota: 🧐🧐🧐🧐 https://t.co/LCIiFAQTfq</t>
  </si>
  <si>
    <t>RT @magathemaga1: @jrosenbaum @jaybarnes5 @Rep_TRichardson I think the key to this is finding "The Funder"
I hypothesize that The Funder h…</t>
  </si>
  <si>
    <t>@jrosenbaum @jaybarnes5 @Rep_TRichardson @FN4AP @ohsynesthesia @SuchHate @Blackboxhalo @Koenig4MO @shesova @blackwidow07 @johncombest @joelpollak @BooneCoMOGOP @STLCountyGOP @stlyrs @StLCountyRepub @SykesforSenate @ChanelRion @strmsptr @Hope4Hopeless1 @DaynaGould @grcfay @wu_ferguson @RetNavy93 @TonyMonetti @TheNewRight @BillEigel @willscharf @SheenaGreitens @NSFMill @TweepleBug @paulmaga45 @ed_grimly @6079__Smith_W @joel_capizzi @juliematthews50 @971FMTalk @jbro_1776 @JAllman @HawleySightings @Pantszilla77 @Beatlebaby64 @88YahamaKeys @YearOfZero @blackwidow07 @BigJShoota @tracey_vinsand @TuckerCarlson @seanhannity @JW1057</t>
  </si>
  <si>
    <t>@jrosenbaum @jaybarnes5 @Rep_TRichardson @FN4AP @ohsynesthesia @SuchHate @Blackboxhalo @Koenig4MO @shesova @blackwidow07 @johncombest @joelpollak @BooneCoMOGOP @STLCountyGOP @stlyrs @StLCountyRepub @SykesforSenate @ChanelRion @strmsptr @Hope4Hopeless1 @DaynaGould @grcfay @wu_ferguson @RetNavy93 @TonyMonetti @TheNewRight @BillEigel @willscharf @SheenaGreitens @TeamGreitens @TomJEstes @TrumpChess @toadtws @TxSecurityGal @Ijames2018 @chadler_usa @smart_hillbilly @Steffi_Cole @paulcurtman @jallman971 @Markknight45 @MarcCox971 @ninekiller @realJLogan @Pissyjo @melody_grover @AWESOMECQ</t>
  </si>
  <si>
    <t>RT @jrosenbaum: What I’m wondering is if @jaybarnes5 will subpoena low income housing tax credit developers/lobbyists to ask them under oat…</t>
  </si>
  <si>
    <t>@jrosenbaum @jaybarnes5 @Rep_TRichardson @FN4AP @ohsynesthesia @SuchHate @Blackboxhalo @Koenig4MO @shesova @blackwidow07 @johncombest @joelpollak @BooneCoMOGOP @STLCountyGOP @stlyrs @StLCountyRepub @SykesforSenate @ChanelRion @strmsptr @Hope4Hopeless1 @DaynaGould @grcfay @wu_ferguson @RetNavy93 @TonyMonetti @TheNewRight</t>
  </si>
  <si>
    <t>@kurtbardella 
Pay attention man. This is a witch hunt. 
The hairdresser is making up the story. https://t.co/5ZEUq2iBIE</t>
  </si>
  <si>
    <t>RT @CStamper_: Soros-backed Kim “Gardner herself met personally with the witness in a motel in Illinois where there were no witnesses and n…</t>
  </si>
  <si>
    <t>Hey @kurtbardella 
Are you even paying attention to this case?
Apparently not.
They lied to a grand jury to get the indictment.
They have no evidence.
Hes innocent https://t.co/CjgyCo6yA9</t>
  </si>
  <si>
    <t>@jrosenbaum @jaybarnes5 @Rep_TRichardson I think the key to this is finding "The Funder"
I hypothesize that The Funder has possible connections to the #MoLeg,  Faughn &amp;amp; maybe even some media operatives ...
Who gave Scott the money is the key question.
#MOLeg #mogov #Greitens #GreitensTrial #stlouis #kcmo #stl https://t.co/XhlQSgFlIc</t>
  </si>
  <si>
    <t>@jrosenbaum @jaybarnes5 @Rep_TRichardson Hey Jason doing a little homework my self here based on what's public
Will be updating throughout day 
#MoLeg #mogov #Greitens #GreitensTrial
Check out @magathemaga1’s Tweet: https://t.co/60HISoow8n</t>
  </si>
  <si>
    <t>Now is #MoLeg going to cut its subscriptions as well?
Honestly I would settle for you all to keep the subscriptions and just find out who funded Scott Faughns Money bags 
#mogov #greitens #GreitensTrial https://t.co/WFb4aV54ty</t>
  </si>
  <si>
    <t>@strmsptr Yup!</t>
  </si>
  <si>
    <t>Hey @jaybarnes5 
You should ask @scottfaughn whi The Funder is as in -- where did he get his money?
And where is he?
#moleg #mogov #Greitens #GreitensTrial https://t.co/nrGVIa6sVx</t>
  </si>
  <si>
    <t>And just to add @RGreggKeller 
It appears it wasnt @EricGreitens who brought this.
Who created this witch hunt?
Who is The Funder?
Follow the money 
#moleg #mogov #Greitens #GreitensTrial #StLouis #Missouri https://t.co/SPxg8LY8Mk</t>
  </si>
  <si>
    <t>RT @CStamper_: George Soros is expanding the model he has tested in Missouri, where the prosecutor he funded is now leading a witch hunt ag…</t>
  </si>
  <si>
    <t>I have no sympathy for your argument. 
The PA lied to the GJ to get an indictment.
You all have slandered a man knowing these charges were fake.
This is the new norm. Use the justice system to prosecute outsiders, just like Trump.
#MOLeg #mogov #GreitensTrial #Greitens https://t.co/8QP7Xjx8Uy</t>
  </si>
  <si>
    <t>RT @ChrisHayesTV: The MO Gov's iCloud photos have been obtained. According to defense atty Jim Martin, the CA received records from Apple l…</t>
  </si>
  <si>
    <t>Total farce.
#KimShady needs to be disbarred.
No photo 
No cloud data 
No case 
DISMISS 
DISBAR
Come on Rex!
#MOLeg #mogov #Greitens #GreitensTrial #StLouis #stl https://t.co/rWJdNXKKKj</t>
  </si>
  <si>
    <t>RT @Mizzourah_Mom: @DeniseYust @ChrisHayesTV Actually it looks like a bi-partisan takedown. Dems are outnumbered in the #moleg and still th…</t>
  </si>
  <si>
    <t>No evidence.
Remind me again what #KimShady and associates told the GJ they had to reach indictment? 
#moleg #mogov #Greitens #GreitensTrial #stl #kcmo https://t.co/WXTli9Cn7w</t>
  </si>
  <si>
    <t>RT @CStamper_: We are about to find out what happens when a Soros-backed prosecutor takes a case to trial without literally any actual evid…</t>
  </si>
  <si>
    <t>Jason.
Who is the funder of Scott Faughn's Money.
That's the key to this.
Are you sitting on it?
#moleg #mogov #Greitens #GreitensTrial https://t.co/ZBU5LxVAKc</t>
  </si>
  <si>
    <t>RT @ResignNowKim: @J_Hancock @ES03784893 @EricGreitens Just following up, Jason: any progress on finding out where @scottfaughn ‘s $70k cam…</t>
  </si>
  <si>
    <t>RT @SpeakerTimJones: @CleanMissouri threatens Missourians who believe in limited government, economic freedom &amp;amp; personal liberty v. those w…</t>
  </si>
  <si>
    <t>RT @CStamper_: Soros-backed prosecutor Kim Gardner has finally abandoned her desperate search for the evidence she should have had in hand…</t>
  </si>
  <si>
    <t>RT @magathemaga1: Speaking of #MoLeg 
We know that Stacey Knewman was colluding with CAO to arrange this. Her words indicate there was coo…</t>
  </si>
  <si>
    <t>Speaking of #MoLeg 
We know that Stacey Knewman was colluding with CAO to arrange this. Her words indicate there was coordination between top #MoGov Democrats 
Even if u could say this was harmless, massive COI, &amp;amp; Stacey has been screaming for #greitens head 
#GreitensTrial https://t.co/NUTm4VINkR</t>
  </si>
  <si>
    <t>RT @magathemaga1: Who is “The Funder”?
The Funder likely has connection to following people:
1. #MoLeg
2. Scott Faughn
3. Skyler 
The Fu…</t>
  </si>
  <si>
    <t>Who is “The Funder”?
The Funder likely has connection to following people:
1. #MoLeg
2. Scott Faughn
3. Skyler 
The Funder could potentially be connection between #mogov, faughn, &amp;amp; Tax Credit interests, as well as media lackeys 
#Greitens #GreitensTrial #missouri #stl #kcmo https://t.co/hfaGgoAV60</t>
  </si>
  <si>
    <t>RT @EdBigCon: No photo, No Case! #moleg https://t.co/7PWXYdolGn</t>
  </si>
  <si>
    <t>RT @YearOfZero: @AngelaLily0501 @magathemaga1 @EricGreitens @MOGOP_Chairman @Rep_TRichardson @ByronYork @MOHouseGOP @gatewaypundit @Norasmi…</t>
  </si>
  <si>
    <t>RT @CStamper_: “Isn’t anyone interested in the questions about the political motivations in this whole ordeal?” Well, some of us are. Unfor…</t>
  </si>
  <si>
    <t>RT @CStamper_: Soros-backed Kim “Gardner hired a private investigator rather than use the St. Louis police, and the investigator, William T…</t>
  </si>
  <si>
    <t>RT @JW1057: Consent. Committee Failure. Prosecutorial Misconduct. @MoRepEvans @TeamGreitens 
#moleg #mogov #greitens #KimShady #IStandWithG…</t>
  </si>
  <si>
    <t>RT @ResignNowKim: @CStamper_ Don’t forget prosecutorial immunity.  They’re untouchable tyrants—— the sort of thing that appeals to a Marxis…</t>
  </si>
  <si>
    <t>@caesar718 @EricGreitens Bingo. Should be dismissed</t>
  </si>
  <si>
    <t>RT @CStamper_: “Prosecutorial discretion gives district attorneys a huge say in the charges and sentences that defendants face. But reform…</t>
  </si>
  <si>
    <t>RT @JW1057: @StevenDialTV @41actionnews This is what a persecution (aka witch hunt) looks like. @EricGreitens we are with you through this…</t>
  </si>
  <si>
    <t>Learn about “Face” and “Asia”
Trump knows what he is doing. America will get a better deal as a result thanks to trumps understanding of Asian culture. 
#moleg #mogov https://t.co/sxrXUK7kvp</t>
  </si>
  <si>
    <t>RT @strmsptr: So it is official, This #GreitensTrial will be centered on three year old hearsay testimony. No photos. Pure waste of the tax…</t>
  </si>
  <si>
    <t>RT @Sticknstones4: Many #Moleg Memebers let Missouri get ripped off for years
Governor Greitens put an end to it 
This is why they want t…</t>
  </si>
  <si>
    <t>RT @CStamper_: Soros-backed prosecutor Kim Gardner’s witch hunt “is the criminalization of politics, something the left has been doing for…</t>
  </si>
  <si>
    <t>RT @ResignNowKim: @ScottCharton @VP @EricGreitens Hey guess what Scott, YOU’RE neck deep in the “Greitens scandal.” Or have you forgotten y…</t>
  </si>
  <si>
    <t>Lol. The prosecution doesn’t even have the evidence which they said they had to reach indictment, and this is your response?
No the correct response is dismissal 
#moleg #mogov #greitens #GreitensTrial https://t.co/LqXpsCnsco</t>
  </si>
  <si>
    <t>Is @jaybarnes5 attempting to taint the jury pool?
#moleg #mogov #greitens #GreitensTrial https://t.co/Dxkpn8UdgL</t>
  </si>
  <si>
    <t>RT @caesar718: Well well, what do you know?! Complete political witch hunt against @EricGreitens. They should have been in receipt of evide…</t>
  </si>
  <si>
    <t>Bench trial now!
#moleg #mogov #greitens #greitenstrial https://t.co/l9HwNMxG4C</t>
  </si>
  <si>
    <t>RT @Sticknstones4: The Special Interest Groups that think they could Run Missouri 
They Paid 120K Cash  to leak a fake sex scandal to try…</t>
  </si>
  <si>
    <t>@USATODAY The charges are bogus. 
Pay attention. https://t.co/pqooY8eaL9</t>
  </si>
  <si>
    <t>RT @TomJEstes: School admins like this guy are now openly opposing a bill that would require public schools to work harder to make sure kid…</t>
  </si>
  <si>
    <t>RT @HotPokerPrinces: HOW TAX CREDITS CONTINUED FOR SO LONG
Follow the Money 💰 
DEVELOPERS 
BANKS
SPECIAL INTERESTS 
LOBBYIST &amp;amp; POLITICAL O…</t>
  </si>
  <si>
    <t>RT @magathemaga1: FLASHBACK #moleg #mogov
Remember this? 
This is when @EricGreitens cut off the gravy train. This was late last year....…</t>
  </si>
  <si>
    <t>RT @CStamper_: Soros spent "more than $3 million into seven local district-attorney campaigns in six states over the past year,” &amp;amp; his inve…</t>
  </si>
  <si>
    <t>FLASHBACK #moleg #mogov
Remember this? 
This is when @EricGreitens cut off the gravy train. This was late last year....
#Greitens #GreitensTrial #Missouri
#StLouis #stl #kcmo #BREAKING
@JohnLamping @EricGreitens @Eric_Schmitt @elijahhaahr @Rep_TRichardson @ByronYork https://t.co/hu63c8JmqU</t>
  </si>
  <si>
    <t>RT @CStamper_: Soros-backed Kim Gardner’s witch hunt centers on whether or not a photograph was taken. “The prosecution does not have the p…</t>
  </si>
  <si>
    <t>Find The Funder, Find The Key
✔️Where is Scott Faughn
✔️Who gave him the money?
✔️Who is Skyler?
👉Who lost the most from #Greitens tax credit reforms?
👉What members of #MoLeg are getting contributions from those who lost big?
Follow the Money💰 
#MoGov #GreitensTrial https://t.co/YHINZQXnpJ</t>
  </si>
  <si>
    <t>It hasn’t earned an such thing. 
Clean Missouri is a scam
#moleg #mogov https://t.co/GJ6iyglkgf</t>
  </si>
  <si>
    <t>RT @CStamper_: Soros-backed Kim Gardner’s witness, the supposed victim’s “ex-husband -- who divorced her over the affair with Greitens -- v…</t>
  </si>
  <si>
    <t>Anybody who doesn’t understand the concept of “Face” in Asian culture and especially Chinese culture shouldn’t comment on what Trump is doing with China
Do your research John. 
#moleg #mogov https://t.co/k654pbXFHv</t>
  </si>
  <si>
    <t>RT @CStamper_: Soros’ with hunt is reaching its apex in Missouri where his prosecutor is currently trying to oust Missouri’s Republican Gov…</t>
  </si>
  <si>
    <t>RT @rhondas_lil_sis: I couldn’t agree more. It’s a shame that some  #MoLeg are letting their distaste for the Gov ‘s actions cause them to…</t>
  </si>
  <si>
    <t>RT @HotPokerPrinces: FOLLOW THE MONEY ➡️➡️➡️MISSOURI COLLUSION 
GREITENS CUT 150 MILLION DOLLARS IN LOW INCOME HOUSING TAX CREDITS.. Devel…</t>
  </si>
  <si>
    <t>RT @Gingrich_of_PA: Anybody else sick of @Judgenap obtuse commentary on @FoxNews? 🙄✋🏻</t>
  </si>
  <si>
    <t>Bench trial now!
#MoLeg #Greitens #GreitensTrial #mogov https://t.co/g0SUE1SDr1</t>
  </si>
  <si>
    <t>https://t.co/1b2vm5eKNO</t>
  </si>
  <si>
    <t>RT @magathemaga1: @ResignNowKim @scottfaughn @Neilin1Neil @RealTravisCook @blackwidow07 @Norasmith1000 @Shawtypepelina @willscharf @DerekGr…</t>
  </si>
  <si>
    <t>https://t.co/U3ygCaXZvu</t>
  </si>
  <si>
    <t>RT @JamesHasson20: “Break with tradition” is an interesting way to describe recognizing a foreign capital as required by a 1995 law... http…</t>
  </si>
  <si>
    <t>RT @magathemaga1: Anybody know what @MariaChappelleN meant???
#moleg #mogov #Greitens #GreitensTrial #StLouis #stl
@Rep_TRichardson @elij…</t>
  </si>
  <si>
    <t>Anybody know what @MariaChappelleN meant???
#moleg #mogov #Greitens #GreitensTrial #StLouis #stl
@Rep_TRichardson @elijahhaahr @RonFRichard @Eric_Schmitt @EricGreitens @MOGOP_Chairman https://t.co/A8g37rQz5S</t>
  </si>
  <si>
    <t>RT @covfefeartist: Mueller charges a ham sandwich with Russia collusion!
👇🏻
One of the entities indicted by the Mueller team, Concord Cater…</t>
  </si>
  <si>
    <t>RT @HotPokerPrinces: Wish somebody would DIG through the 
LOW INCOME HOUSING TAX CREDITS 
150 Million dollars that Greitens did away with…</t>
  </si>
  <si>
    <t>RT @Norasmith1000: This is exactly what I've thought!
 #moleg #mogov https://t.co/ujlXD3PmLW</t>
  </si>
  <si>
    <t>RT @rcaps66: No shit Sherlock! 
Who cares about Kimmel. I am done with him, will never watch his show or anything he affiliated with. He i…</t>
  </si>
  <si>
    <t>RT @starknightz: GOP Senators to McConnell: Address 271 Trump Nominees, 
Get Budget Done or Skip Summer Break https://t.co/nMe3fSuYVL
#QAn…</t>
  </si>
  <si>
    <t>RT @SnowWhite7IAM: Former President George W. Bush slams 'isolation' following President Trump's decision to withdraw from the Iran deal, a…</t>
  </si>
  <si>
    <t>Hey @GeorgeWBush you were a terrible president https://t.co/l8fM1Yidhp</t>
  </si>
  <si>
    <t>RT @e13W52: @WiredSources This hurts, I must admit to being totally naive about W. I can understand him not liking Trump because of the pri…</t>
  </si>
  <si>
    <t>RT @dbongino: When it all comes out John Brennan’s true character is going to be exposed. This man disgraced himself, the CIA, the IC, and…</t>
  </si>
  <si>
    <t>RT @SadUSNVeteran: It always amazes me how much conservative related email ends up in the spam folders of my yahoo and google accounts.</t>
  </si>
  <si>
    <t>RT @Shabbosgoy: Can we talk about merit based immigration now?
https://t.co/nxVJ5Tppkv</t>
  </si>
  <si>
    <t>RT @Nigel_Farage: People don’t speak the truth on Islamic terrorism because they are frightened of being called racist. 
We need to bury t…</t>
  </si>
  <si>
    <t>@Markknight45 @MOHouseGOP @POTUS Yeah? Proof? Lol</t>
  </si>
  <si>
    <t>RT @magathemaga1: Messenger still doesn’t care who gave Scott Faughn his money though.
This is why the St. Louis Post dispatch has no cred…</t>
  </si>
  <si>
    <t>Tim is correct. It's in the public interest.
 Name them.
#moleg #mogov #GreitensTrial #Greitens @SpeakerTimJones https://t.co/c5oQqDb6lR</t>
  </si>
  <si>
    <t>RT @Margare03456100: Limbaugh: Mueller’s Investigation ‘a Cover-up’ of Obama DOJ, FBI Effort to Destroy Trump Presidency (VIDEO) https://t.…</t>
  </si>
  <si>
    <t>Yo @tonymess you talked to your boys over there at the post? You sitting on a story?</t>
  </si>
  <si>
    <t>@NickBSchroer It’s a scam</t>
  </si>
  <si>
    <t>RT @NickBSchroer: Dems in MO trying once more to force their will on the very people that have voted against their radical policies. Hope @…</t>
  </si>
  <si>
    <t>RT @NickBSchroer: Senator talks of dark money but fails to mention the initiative he supports is funded by dark money from #PlannedParentho…</t>
  </si>
  <si>
    <t>RT @NickBSchroer: #CleanMissouri=nothing more than sorry politics. Couched as ethics reform, this initiative gives redistricting power to o…</t>
  </si>
  <si>
    <t>RT @NickBSchroer: Senator also fails to mention #moleg House passed massive ethics reform and gift ban out of House past two yrs under @Rep…</t>
  </si>
  <si>
    <t>RT @NickBSchroer: Would love to hear why @robschaaf supports initiative funded by #DarkMoney in sum of hundreds of thousands from progressi…</t>
  </si>
  <si>
    <t>RT @magathemaga1: Keep spinning tony.
You and charton ain't going to make the question of where Scott Faughn got his money go away.
Basic…</t>
  </si>
  <si>
    <t>RT @Sticknstones4: @for_congress A little fun fact the media isn’t covering 
The Naked Truth 
#greitens #greitenstrial https://t.co/3iMz4jP…</t>
  </si>
  <si>
    <t>RT @netanyahu: Thank you President Trump for keeping your promise to recognize Jerusalem as Israel's capital and to move your embasssy here…</t>
  </si>
  <si>
    <t>RT @JW1057: @KMOXKilleen 2/2 She admits before ever entering basement she knew he was being "sexual" and she was "intrigued" by the idea of…</t>
  </si>
  <si>
    <t>@AnotherSpammer @KMOXKilleen She lied for sure.
Her house testimony doesnt match up with her criminal.
Lied.</t>
  </si>
  <si>
    <t>@AntiqueAdExpert @KMOXKilleen @EricGreitens This is exactly what I thought. Anybody who listened to the tape knows it sounds like a girl who has been busted in the act</t>
  </si>
  <si>
    <t>RT @KMOXKilleen: Hmmmm... https://t.co/vgKJmW8JLr</t>
  </si>
  <si>
    <t>@KMOXKilleen This is exactly what I thought. Anybody who listened to the tape knows it sounds like a girl who has been busted in the act</t>
  </si>
  <si>
    <t>@JW1057 I too would like to see them</t>
  </si>
  <si>
    <t>RT @JW1057: Perhaps, you can try and get the records? 
#moleg #mogov #greitens #KimShady #IStandWithGreitens #GreitensTrial</t>
  </si>
  <si>
    <t>Good question #MoLeg #MoGov #Greitens #GreitensTrial https://t.co/LvrW98ywQr</t>
  </si>
  <si>
    <t>Keep spinning tony.
You and charton ain't going to make the question of where Scott Faughn got his money go away.
Basic investigative reporting would have uncovered that Scott Faugn couldnt even pay his tax Bills six months ago
Follow the money.
#moleg #mogov #GreitensTrial https://t.co/5QdzUZyiFL</t>
  </si>
  <si>
    <t>RT @SKOLBLUE1: @JGibsonDem @stltoday @kevinmcdermott It is EXTREMELY clear that you obviously have ZERO idea how military contracts work, n…</t>
  </si>
  <si>
    <t>The story is a lie.
You live in Bakersfield and clearly havent been paying attention 
#Greitens https://t.co/O9zICCAfUA</t>
  </si>
  <si>
    <t>Media actually at fault for not reporting the major faults of this story.
Tell me. Have you even been paying attention?
KS gave testimony 2 house and then to CA
Her testimonies are inconsistent
Meaning her story changed
She lied
The media isnt telling you this.
#Greitens https://t.co/pNPTE1fMbd</t>
  </si>
  <si>
    <t>Where’s your buddy, Faughn?
And where did he get his money?
Also you know Skyler?
This isn’t going away no matter how much they are paying you to spin.
@MOGOP_Chairman isn’t it about time we get IRS involved?
#moleg #mogov #greitens #GreitensTrial 
@MOHouseGOP @Eric_Schmitt https://t.co/sAZqg0ZcCy</t>
  </si>
  <si>
    <t>RT @famousquotenet: One of the penalties for refusing to participate in politics is that you end up being governed by your inferiors. - Pla…</t>
  </si>
  <si>
    <t>What about Scott Faughn’s money? 
Your seriously going to post this trash when the biggest story — where is Scott faughn and where did he get his money isn’t touched?
Who gave scott the money?
Are you sitting on a story?
#moleg #mogov #GreitensTrial #missouri #kcmo https://t.co/ILZH4WTrVO</t>
  </si>
  <si>
    <t>RT @magathemaga1: @tonymess since U dont want people talking about Stacey Newman's friend or her inconsistent testimony (lies) &amp;amp; perhaps he…</t>
  </si>
  <si>
    <t>@tonymess since U dont want people talking about Stacey Newman's friend or her inconsistent testimony (lies) &amp;amp; perhaps her possibly being manipulated by KG...
Lets talk about who gave Faughn that money?
Is your paper sitting on the story?
#moleg #mogov #GreitensTrial
#Greitens https://t.co/mLek1GwKM9</t>
  </si>
  <si>
    <t>RT @ResignNowKim: @magathemaga1 @scottfaughn @Neilin1Neil @RealTravisCook @blackwidow07 @Norasmith1000 @Shawtypepelina @willscharf @DerekGr…</t>
  </si>
  <si>
    <t>RT @RealOmarNavarro: Everyone join me and chip in to help defeat Maxine Waters. She’s got special interest backing her. I need you to help…</t>
  </si>
  <si>
    <t>@Blackboxhalo @DrewDusenberry @Joop78CJ7 @davidsonmark650 @tonymess @EricGreitens Drew you do know they lied to the grand jury about evidence they had?</t>
  </si>
  <si>
    <t>@tonymess @EricGreitens Hey @tonymess 
You all sitting on a story?
@SpeakerTimJones @HennessySTL
Check out @magathemaga1’s Tweet: https://t.co/AWJKtM7jyK</t>
  </si>
  <si>
    <t>RT @magathemaga1: What is @tonymess going to report?
U cant gag the public.
Judge OKd use of the names for media. Why arent you naming th…</t>
  </si>
  <si>
    <t>@SpeakerTimJones Typo: you cant gag the public. Mayve I should just call her Stacey Newmans friend
#MOLeg #mogov #Greitens #GreitensTrial</t>
  </si>
  <si>
    <t>@tonymess @EricGreitens Heres a better question tony. Why arent you all following the money trail to find out who gave Scott the money?
Are you sitting on a story ?</t>
  </si>
  <si>
    <t>@Blackboxhalo @DrewDusenberry @Joop78CJ7 @davidsonmark650 @tonymess @EricGreitens I've repeatedly pointed out to tony that this woman got caught lying in her testimony and her story changed after 1/29 (inconsistent testimony) and tony refuses to accept reality that maybe these people just arent credible</t>
  </si>
  <si>
    <t>@JKatRose @crashpad01 @sports_stl @tonymess @kodacohen @EricGreitens Jamie is correct. Eric is victim. KS -- which you can find her name easily -- as it is in the public interest at this point kept seeing the man and then they indicted him without the key evidence</t>
  </si>
  <si>
    <t>@Blackboxhalo @tonymess @therebirth @EricGreitens "If you are anonymous, I wont debate you"
That's tony saying he knows hes wrong and cant back up his ideas</t>
  </si>
  <si>
    <t>@Blackboxhalo @tonymess @therebirth @EricGreitens Ya got no problem presuming EG guilt but you gotta a problem with people discussing the names of the accusers who, I might add, have been busted lying already?</t>
  </si>
  <si>
    <t>@Blackboxhalo @tonymess @therebirth @EricGreitens Tony you cannot gag the public. The public has a right to discuss this and further the judge OKd the use of the names in the media.
Also, its alleged victim. And I dont even buy that since she kept seeing him.
What are you going to report. That people are discussing the case?</t>
  </si>
  <si>
    <t>RT @SpeakerTimJones: It's a #HappyMothersDay Sunday &amp;amp; we have a very special "Tim Jones Show" @971FMTalk 7-9p CDT ready to roll! Featuring:…</t>
  </si>
  <si>
    <t>RT @SpeakerTimJones: Behold! The operation behind @CleanMissouri ! Don't be fooled by this @georgesoros funded façade being foisted on Miss…</t>
  </si>
  <si>
    <t>@SpeakerTimJones You can gag the public. We have a right to discuss it. Further the judge okd the media talking about them.
What a clown #MOLeg</t>
  </si>
  <si>
    <t>RT @SpeakerTimJones: The Internet Autocrat Hath Spoken!! So absolutely laughable to watch this washed up dinosaur media character assassin…</t>
  </si>
  <si>
    <t>What is @tonymess going to report?
U cant gag the public.
Judge OKd use of the names for media. Why arent you naming them tony?
What are you going to report exactly? That people are talking about the case as they have right to?
Fourth, alleged.
#MOLeg #GreitensTrial #mogov https://t.co/wsAA0oBqsq</t>
  </si>
  <si>
    <t>@ResignNowKim @scottfaughn @Neilin1Neil @RealTravisCook @blackwidow07 @Norasmith1000 @Shawtypepelina @willscharf @DerekGrier @RightSideUp313 @MOHouseGOP @SKOLBLUE1 That's exactly what I'm suggesting.
We know Watkins gave the name of skyler. We also know the tax credit thing has been rumored. Well the money trail should he easy to follow, shouldnt it? 
Why isnt the media doing it?
#MoLeg #mogov #Greitens #GreitensTrial</t>
  </si>
  <si>
    <t>RT @magathemaga1: SPECULATION #MOLEG
Why does media lack any curiosity as to where @scottfaughn's 💰 came from?
What if media knows where…</t>
  </si>
  <si>
    <t>This also assumes that @EricGreitens doesnt stay and is impeached.
It is very odd how the press isnt digging into this story.
The money bags is the type of thing that sells newspapers. Not legal procedural stuff.
#MoLeg #mogov #Greitens #GreitensTrial 
@Rep_TRichardson #stl</t>
  </si>
  <si>
    <t>SPECULATION #MOLEG
Why does media lack any curiosity as to where @scottfaughn's 💰 came from?
What if media knows where money came from, knows players involved &amp;amp; is sitting on it?
What if they are waiting until after #GreitensTrial so they can screw #Mogov gop too?
#Greitens https://t.co/GXpLKoEvaZ</t>
  </si>
  <si>
    <t>RT @magathemaga1: "The Thing"?
Sounds like The Coup
Saying that in such a way presupposes there was plan in motion
"Failure to..." indic…</t>
  </si>
  <si>
    <t>"The Thing"?
Sounds like The Coup
Saying that in such a way presupposes there was plan in motion
"Failure to..." indicates some #MoLeg members nervous about going through with The Thing
#MoGov nervous about screwing voters over on fake allegations ?
#Greitens #GreitensTrial https://t.co/2RYVHaSQvN</t>
  </si>
  <si>
    <t>RT @JW1057: @joelcurrier The only cloud that I see is over the MO Legislature and St. Louis CAO!
#moleg #mogov #greitens #KimShady #IStandW…</t>
  </si>
  <si>
    <t>The only cloud I see is over #KimShady #MoLeg and the #Missouri media 
Where is Scott faughn?
And where did he get his money?
Also what is "The Thing" ?
#MOLeg #mogov #Greitens #GreitensTrial #TheMoCoup https://t.co/xb84orZRAe</t>
  </si>
  <si>
    <t>@RiverfrontTimes @sarahfenske @ChrisHayesTV @stltoday @KCStar @kmoxnews @KMOXKilleen @MarkReardonKMOX @MarcCox971 @971FMTalk @jallman971 @SpeakerTimJones @AbbyLlorico @ksdknews @CaseyNolen @JoplinGlobe @Emissourian @FOX2now @DJChurchdogg @jrosenbaum @juliematthews50 @TheNewRight</t>
  </si>
  <si>
    <t>He had a consensual affair while he wasnt Gov.
Investigate story instead of relying on our lame media.
Hairdresser story made up
Key question is, who is Scott Faughn and where did he get bags off money to drop off to accusers lawyer?
#mogov #moleg #greitens #GreitensTrial https://t.co/Ac4NVW8yym</t>
  </si>
  <si>
    <t>RT @JW1057: @mffisher Please get the facts straight about what we know regarding the affair between @EricGreitens and Katrina. @JamesMNHarr…</t>
  </si>
  <si>
    <t>RT @magathemaga1: @RGreggKeller 
Was going through #MoLeg tweets &amp;amp; a tweet of yours caught my eye
Whipping votes?  
“Failure to see ‘The…</t>
  </si>
  <si>
    <t>Here’s the link to the orginal tweet in question 
#moleg #mogov #greitens #greitenstrial #TheThing #TheMoCoup #missouri 
@Rep_TRichardson @Eric_Schmitt @MOGOP_Chairman @EricGreitens @TeamGreitens 
Here: https://t.co/qSBLN98dCC</t>
  </si>
  <si>
    <t>@RGreggKeller 
Was going through #MoLeg tweets &amp;amp; a tweet of yours caught my eye
Whipping votes?  
“Failure to see ‘The Thing’ through...”
When I read this, one can’t go through with “the thing” unless prior planning
So The Coup was planned???
#mogov #Greitens #greitenstrial https://t.co/ZvH5jw6ccj</t>
  </si>
  <si>
    <t>RT @magathemaga1: Well it was interesting, wasn’t it? 
You were on location?
Still evading that subpoena, Scott?
Where did you get the m…</t>
  </si>
  <si>
    <t>Well it was interesting, wasn’t it? 
You were on location?
Still evading that subpoena, Scott?
Where did you get the money from?
I think it’s about time we get IRS involved @Rep_TRichardson @MOHouseGOP 
#MoLeg #Mogov #greitens #greitenstrial #missouri #witchhunt #stl #kcmo https://t.co/U61bxU02To</t>
  </si>
  <si>
    <t>@grcfay @MariaChappelleN @Neilin1Neil @RealTravisCook @elijahhaahr @Norasmith1000 @blackwidow07 Does danforth have a beef with @EricGreitens ? #greitens #greitenstrial</t>
  </si>
  <si>
    <t>RT @magathemaga1: Quit trying to change the subject.
Your talking about dark money. Let’s talk about dark money.
Who Gave Scott Faughn th…</t>
  </si>
  <si>
    <t>Quit trying to change the subject.
Your talking about dark money. Let’s talk about dark money.
Who Gave Scott Faughn the money to pay Al Watkins.
@tonymess trying to bury this story
Does @stltoday have connections to person who gave Faughn the money? 
#moleg #mogov #Greitens https://t.co/MSfpRqxDnm</t>
  </si>
  <si>
    <t>RT @magathemaga1: Where did Scott Faughn Get the money? 
About time we get the IRS involved @MissouriGOP 
@MOGOP_Chairman @gatewaypundit…</t>
  </si>
  <si>
    <t>Where did Scott Faughn Get the money? 
About time we get the IRS involved @MissouriGOP 
@MOGOP_Chairman @gatewaypundit @ByronYork @lucianwintrich @EdBigCon @HennessySTL @DRUDGE 
@IngrahamAngle @RaymondArroyo 
#moleg #mogov #greitens #greitenstrial #stlouis #kcmo #missouri https://t.co/MTVFxSZO5w</t>
  </si>
  <si>
    <t>@ewanrross @tomphilpott Wake up and smell the truth. The entire case was is a sham!
They lied about evidence to get the indictment! They don’t even have it 
This case should have been dismissed long ago
https://t.co/S7QoulNSs9</t>
  </si>
  <si>
    <t>@ewanrross @tomphilpott @EricGreitens I can only tell you the truth. I can’t make you believe the truth. That’s up to you. 
https://t.co/NJXA7CPWks</t>
  </si>
  <si>
    <t>@ewanrross @tomphilpott Wake up bro. You clearly aren’t paying attention to the case. I’ve been watchig this closely including analyzing legal documents released to the public since day 1 
@EricGreitens is correct. Total witch hunt. 
The entire thing is a sham.
https://t.co/FHfOYtGCtf</t>
  </si>
  <si>
    <t>RT @magathemaga1: At least @MariaChappelleN is asking!
#GreitensTrial #findfaughn #Greitens #Missouri #MoneyBags https://t.co/JfYr3dFQpc</t>
  </si>
  <si>
    <t>@ewanrross @tomphilpott Still engaging in fallacy. I see you can’t address the facts</t>
  </si>
  <si>
    <t>@ewanrross @tomphilpott But I can play that game too. Your profile says you work at Monsanto. You must work with that Combest guy. He seems pretty well connected. Can you ask him if he knows where Scott Faughn is? Faughn is currently evading a subpoena</t>
  </si>
  <si>
    <t>@ewanrross @tomphilpott But I love it when liberals who presume guilt try to engage in fallacious argumentation. My handle doesn’t matter. The argument does.</t>
  </si>
  <si>
    <t>@ewanrross @tomphilpott They don’t even have evidence they told the grand jury they had to indict. 
So yes, the greitens case is bs and the man is innocent. 
Your nitpicking my handle because you know I’m right and can’t argue with facts. How do you know my handle isn’t an homage to RR bad ass nature?</t>
  </si>
  <si>
    <t>@ewanrross @tomphilpott What did I lie about? Roy Moore was innocent.
The woman in the Missouri case has already been busted lying. See how her story changes from criminal to house testimony (she lied)
Money bags dropped off to the lawyer</t>
  </si>
  <si>
    <t>RT @magathemaga1: U should ask judge why there isnt a bench trial at this point.
Slanted coverage h The @MOHouseGOP releasing incomplete r…</t>
  </si>
  <si>
    <t>@ewanrross @tomphilpott It is fallacious argumentation</t>
  </si>
  <si>
    <t>@ewanrross @tomphilpott It’s a handle not a legal argument dummy.</t>
  </si>
  <si>
    <t>@ewanrross @tomphilpott Address what I'm saying not engage in fallacious argumentation</t>
  </si>
  <si>
    <t>RT @magathemaga1: Hey @Rep_TRichardson @Rep_TRichardson 
And it will be complete electoral uprising if u keep witch hunt going.
We know h…</t>
  </si>
  <si>
    <t>At least @MariaChappelleN is asking!
#GreitensTrial #findfaughn #Greitens #Missouri #MoneyBags https://t.co/JfYr3dFQpc</t>
  </si>
  <si>
    <t>RT @magathemaga1: Hi #moleg
1. No Photo
2. Find Scotty!
3. #MoGov COUP!
4. Moleg Collusion with #KimShady
5. Inconsistent testimony (she l…</t>
  </si>
  <si>
    <t>Hi #moleg
1. No Photo
2. Find Scotty!
3. #MoGov COUP!
4. Moleg Collusion with #KimShady
5. Inconsistent testimony (she lied)
6. $$ unexplained
7.SECRET MEETINGS at HOTELS on EAST SIDE with KS &amp;amp; KG?
9. Newman in on it!
10. #WitchHunt 
Drain the swamp!
#Greitens #greitenstrial https://t.co/g8iG0kWxXR</t>
  </si>
  <si>
    <t>RT @Sticknstones4: @StevenDialTV @41actionnews Find Scott Faughn 
FOLLOW THE MONEY !!!  Some  #moleg are corrupt https://t.co/bEFDVOTo8l</t>
  </si>
  <si>
    <t>U should ask judge why there isnt a bench trial at this point.
Slanted coverage h The @MOHouseGOP releasing incomplete report to taint  jury pool.
@jaybarnes5 &amp;amp; his crew having another public meeting this week 2 further taint jury pool
@Rep_TRichardson #GreitensTrial #Moleg https://t.co/uGchoqD5S3</t>
  </si>
  <si>
    <t>RT @magathemaga1: The real question is why @kcstar wont report the story correctly 
Somebody likely paid these people up make this story u…</t>
  </si>
  <si>
    <t>Hey @Rep_TRichardson @Rep_TRichardson 
And it will be complete electoral uprising if u keep witch hunt going.
We know hairdresser story is made up &amp;amp; we know the charity thing is nonsense, a plan B of sorts since your Plan A wasnt working
#Moleg #mogov #Greitens #Missouri https://t.co/HNMGL6MuH9</t>
  </si>
  <si>
    <t>The real question is why @kcstar wont report the story correctly 
Somebody likely paid these people up make this story up and it is getting scant coverage. 
Where is Scott? 
Media getting paid to to keep their mouths shut?
#Moleg #mogov #GreitensTrial #Greitens #kcmo #STL https://t.co/erGW1emIAm</t>
  </si>
  <si>
    <t>RT @magathemaga1: Democrats want complete gun confiscation.
Dont be fooled
Common sense gun control means what?
We already have common s…</t>
  </si>
  <si>
    <t>Democrats want complete gun confiscation.
Dont be fooled
Common sense gun control means what?
We already have common sense gun laws.
This is what they say so they can keep pushing the Overton window further and further towards their ultimate goal
#moleg #mogov #mosen #2nd https://t.co/8DSbruI4rU</t>
  </si>
  <si>
    <t>RT @magathemaga1: Says a lot about journalism in #Missouri when @MariaChappelleN only one asking hard questions
Where is Scott?
And where…</t>
  </si>
  <si>
    <t>Says a lot about journalism in #Missouri when @MariaChappelleN only one asking hard questions
Where is Scott?
And where did he get his 💰?
Wonder if any journalists getting paid not 2 investigate
Time 2 get IRS involved @Rep_TRichardson 
#Moleg #mogov #Greitens #GreitensTrial https://t.co/LYBzYri0MC</t>
  </si>
  <si>
    <t>RT @magathemaga1: Who is "The Funder"?
Where is the money coming from?
It wasn’t Scott’s Money. IRS NEEDS TO GET INVOLVED
#Greitens #Gre…</t>
  </si>
  <si>
    <t>Who is "The Funder"?
Where is the money coming from?
It wasn’t Scott’s Money. IRS NEEDS TO GET INVOLVED
#Greitens #GreitensTrial #mogov #moleg #greitenscriminalcase #stlouis #kcmo #stl 
@EricGreitens @MOGOP_Chairman @Rep_TRichardson @ByronYork @MOHouseGOP @gatewaypundit https://t.co/atSOm211jb</t>
  </si>
  <si>
    <t>@tomphilpott And trump didnt do anything wrong</t>
  </si>
  <si>
    <t>@tomphilpott Roy moore was innocent my friend. We presume innocence in this country, not guilt. As I've said, you arent paying attention. 
Its already come out that this women has lied in her testimony, the affair was consensual.
You are a journalist or a propagandandist?</t>
  </si>
  <si>
    <t>RT @joelpollak: Singing Hallel at the Kotel to celebrate the reunification of #Jerusalem, 51 years ago today. #YomYerushalaim #YomYerushala…</t>
  </si>
  <si>
    <t>RT @CarlHigbie: Retweet if you want @realdonaldtrump to build the wall in 2018. https://t.co/z2ul9ILi60</t>
  </si>
  <si>
    <t>RT @HotPokerPrinces: A Guy that delivers 70k cash goes into hiding to evade service of supoena, won’t talk about the source of that cash…</t>
  </si>
  <si>
    <t>RT @Sticknstones4: @KDNLABC30 @38sport @Connections22 
By airing on location, you’re accessory to @scottFaughn evading a supoena 
You are…</t>
  </si>
  <si>
    <t>Hey @IngrahamAngle can you tell your boy @ByronYork to come down to #missouri to investigate this story. The Missouri media is ignoring this story. It’s not as the media is saying. 
@RaymondArroyo</t>
  </si>
  <si>
    <t>RT @magathemaga1: Who is "The Funder"?
Where is the money coming from?
It wasn’t Scott’s Money. 
#Greitens #GreitensTrial #mogov #moleg…</t>
  </si>
  <si>
    <t>Who is "The Funder"?
Where is the money coming from?
It wasn’t Scott’s Money. 
#Greitens #GreitensTrial #mogov #moleg #greitenscriminalcase #stlouis #kcmo #stl 
@EricGreitens @MOGOP_Chairman @Rep_TRichardson @ByronYork @MOHouseGOP @gatewaypundit https://t.co/CivUO6OSEr</t>
  </si>
  <si>
    <t>RT @magathemaga1: So @stltoday knows the case is falling apart so they run a pathetic hit piece because they are pathetic.
Justin have you…</t>
  </si>
  <si>
    <t>RT @JW1057: @MariaChappelleN Watkins says he received $120k. Sullivan's contract is capped at $120k. Coincidence?
#moleg #mogov #greitens #…</t>
  </si>
  <si>
    <t>RT @magathemaga1: I’ve been asking this for a while now.
Who is paying Scott Simpson.
He is KS lawyer.
Al Watkins got money bags.
What…</t>
  </si>
  <si>
    <t>RT @Sticknstones4: When you have cash payments , closed door sessions, indictments without evidence &amp;amp; witnesses evading a supoena   You bet…</t>
  </si>
  <si>
    <t>RT @Sticknstones4: 61st Homocide 
Go Lyda Krewson Go !   Your stellar leadship is setting records 
Crime Rises while you allow the city b…</t>
  </si>
  <si>
    <t>@JGibsonDem They don’t even have the evidence they claimed to have for the indictment.
They lied to the grand jury.
Money bags dropped off in the middle of the night to Scott faughn
You haven’t been paying attention</t>
  </si>
  <si>
    <t>@tomphilpott Money bags dropped off in the middle of the night. 
Kim Gardner’s crew lying to the grand jury.
The basis for the indictment not existing.
Get out of your mother jones bubble</t>
  </si>
  <si>
    <t>@tomphilpott Have you been paying attention. Yes or no? Simple question. The man is being setup. 
Have you been following it closely?</t>
  </si>
  <si>
    <t>I’ve been asking this for a while now.
Who is paying Scott Simpson.
He is KS lawyer.
Al Watkins got money bags.
What about Simpson? 
And IF Simpson got some money bags, what was it for?
#moleg #mogov #greitens #GreitensTrial #stl #missouri 
@MOGOP_Chairman @ByronYork https://t.co/f81uYpTPAM</t>
  </si>
  <si>
    <t>RT @JW1057: 2/2 What was spent on two other experts and Enterra? Plus additional work. Don't you wonder if the CAO is actually paying these…</t>
  </si>
  <si>
    <t>RT @realDonaldTrump: Democrats and liberals in Congress want to disarm law-abiding Americans at the same time they are releasing dangerous…</t>
  </si>
  <si>
    <t>RT @ofctimallen: They heard all your voices people!! LMS just might be a reality. Keep it up. Who wants more #LastManStanding ?</t>
  </si>
  <si>
    <t>RT @realDonaldTrump: Ainsley Earnhardt, a truly great person, just wrote a wonderful book, “The Light Within Me,” which is doing really wel…</t>
  </si>
  <si>
    <t>RT @JoeFreedomLove: CBS Skips Reporting Its Own Bad Poll for Mueller...So Fox News Hosts Report It https://t.co/lPOeJN6N6C</t>
  </si>
  <si>
    <t>RT @francissmythe: The Greitens case represents the criminalization of politics, something the Progressive left has been doing for some tim…</t>
  </si>
  <si>
    <t>RT @balthsgirl: The Great Greitens Railroading https://t.co/omhi51qpMM</t>
  </si>
  <si>
    <t>Have you been paying attention to the case? The story is false... https://t.co/TeqCq1Fzg6</t>
  </si>
  <si>
    <t>Too bad the story is false https://t.co/qhZTQk9v8m</t>
  </si>
  <si>
    <t>RT @kimbrussell: Soros’ actions should be criminal 
The Great Greitens Railroading 
https://t.co/Njm0jkPEVk via @AmericanThinker</t>
  </si>
  <si>
    <t>Because people wouldn’t pay up people to make stuff up? https://t.co/bLMK2lRDEq</t>
  </si>
  <si>
    <t>RT @PolitixGal: Eric Greitens was a Democrat. This must be understood if one is to make any sense out of what is happening in the Soros-fun…</t>
  </si>
  <si>
    <t>RT @PolitixGal: SOROS funding DA races across the country so they can bring fake charges against GOP candidates, to damage them politically…</t>
  </si>
  <si>
    <t>Actually it’s total bs case. https://t.co/krl4ADfrmS</t>
  </si>
  <si>
    <t>RT @McGMaryland: The Great Greitens Railroading https://t.co/t30muNFYd5 #mcgnews #news</t>
  </si>
  <si>
    <t>So @stltoday knows the case is falling apart so they run a pathetic hit piece because they are pathetic.
Justin have you been following the case at all?
Complete witch hunt
#moleg #mogov #greitens 
@MOGOP_Chairman @EricGreitens @Rep_TRichardson @elijahhaahr @EricGreitens https://t.co/jiW9iR7G6A</t>
  </si>
  <si>
    <t>@sbpaul This is actually devoid of facts.</t>
  </si>
  <si>
    <t>RT @CStamper_: Already two days into jury selection and Soros-backed Kim Gardner is still desperately in search of evidence she should have…</t>
  </si>
  <si>
    <t>RT @IllimitableMan: "A harmless man is not a good man, a good man is a very very dangerous man who has that under voluntary control." - Jor…</t>
  </si>
  <si>
    <t>RT @EdLatimore: Ventured into the comments of an IG "model" account.
Dudes keep getting more pathetic. I wonder if they really think she'l…</t>
  </si>
  <si>
    <t>RT @IllimitableMan: Virtue signalling is empty posturing to better one's reputation.
Nothing more, nothing less.
When push comes to shove…</t>
  </si>
  <si>
    <t>RT @famousquotenet: The welfare state is not really about the welfare of the masses. It is about the egos of the elites. - Thomas Sowell</t>
  </si>
  <si>
    <t>RT @Mizzourah_Mom: The Great Greitens Railroading https://t.co/9Vjxp0H3Hs via @AmericanThinker</t>
  </si>
  <si>
    <t>RT @IllimitableMan: Less obvious than self-promotion, one of the best uses of Twitter is for brainstorming.
With enough followers, you can…</t>
  </si>
  <si>
    <t>RT @famousquotenet: Where the people fear the government you have tyranny. Where the government fears the people you have liberty. - John B…</t>
  </si>
  <si>
    <t>RT @magathemaga1: Sorry @dcexaminer @ByronYork 
EG innocent 
Get out here 2 #moleg 2 investigate properly
#Missouri media is in cover up…</t>
  </si>
  <si>
    <t>Sorry @dcexaminer @ByronYork 
EG innocent 
Get out here 2 #moleg 2 investigate properly
#Missouri media is in cover up mode
Accusers lawyer received payoffs from a "publisher" out here who hates #Greitens and couldnt even pay bills 6 months ago
#moleg #mogov #GreitensTrial https://t.co/DaYnL9axvM</t>
  </si>
  <si>
    <t>RT @JW1057: Do you think a man who has taken a nonconsensual nude photo of you and sexually and physically abused you can be a good Governo…</t>
  </si>
  <si>
    <t>RT @Sticknstones4: @ScottCharton @EricGreitens @VP You’re so hung up on cheaters, Me Too 
I hate Tax Cheats!  Scott Faughn ‘s 70K needs a f…</t>
  </si>
  <si>
    <t>RT @SKOLBLUE1: @dcexaminer Has anyone seen @scottfaughn ? Last seen with bags of money at least $70,000 paid to Al Watkins in #GreitensTria…</t>
  </si>
  <si>
    <t>RT @magathemaga1: #moleg 
Journalists still haven't found source 4 💰💰 Scott paid #MoneyBagsAl the #MoonValjean lawyer? 
At what point is…</t>
  </si>
  <si>
    <t>#moleg 
Journalists still haven't found source 4 💰💰 Scott paid #MoneyBagsAl the #MoonValjean lawyer? 
At what point is IRS going 2 get involved @MOGOP_Chairman ?
Evading subpoena?
Anybody involved make large purchases?
Who is "The Funder"?
#Greitens #GreitensTrial #mogov https://t.co/N11200MbP5</t>
  </si>
  <si>
    <t>RT @HotPokerPrinces: This Week In Missouri Politics 
More of Scott’s Total BS
70k delivered to Al Watkins
Evading Supoena 
BOYCOTT @KDNLA…</t>
  </si>
  <si>
    <t>RT @TomJEstes: Let the boycotting begin. #findscott #moleg https://t.co/DV1khaaYgb</t>
  </si>
  <si>
    <t>@NeilStruharik @Monetti4Senate @SykesforSenate @AP4Liberty I still need to watch it</t>
  </si>
  <si>
    <t>@NeilStruharik @Monetti4Senate @SykesforSenate @AP4Liberty Thanks for weighing in as objectively as you can!</t>
  </si>
  <si>
    <t>RT @JW1057: Does anyone know, or believe that they know, the affair between @EricGreitens and Katrina Sneed began earlier that 3/21/15?  Ph…</t>
  </si>
  <si>
    <t>RT @TomJEstes: Superintendent openly endorses @clairecmc See #moleg ? These people aren’t on your side. We need to ignore the educrats and…</t>
  </si>
  <si>
    <t>RT @TomJEstes: So, you randomly choose election season to celebrate a Democrat up for election. Whatever, dude. #mosen https://t.co/y8Ak56m…</t>
  </si>
  <si>
    <t>RT @TomJEstes: Austin Petersen continues to rise as the outsider candidate in the #mosen GOP primary. Austin’s dominance of GOP candidate f…</t>
  </si>
  <si>
    <t>Messenger still doesn’t care who gave Scott Faughn his money though.
This is why the St. Louis Post dispatch has no credibility when it comes to reporting truth or offering thoughtful commentary
Tony is a paid 4 propagandist 
#moleg #mogov #greitenstrial #greitens @MOHouseGOP https://t.co/z3484VxhhJ</t>
  </si>
  <si>
    <t>RT @magathemaga1: 🚨 #MoSen Poll 🚨 
I may not be a West Butler County Hillbilly, but I am a West DC Fake Deputy Attorney General Swamp Mons…</t>
  </si>
  <si>
    <t>🚨 #MoSen Poll 🚨 
I may not be a West Butler County Hillbilly, but I am a West DC Fake Deputy Attorney General Swamp Monster, so I was busy last night 
Couldn’t attend the debate
So who won last nights debate?
@Monetti4Senate @SykesforSenate @AP4Liberty 
#MoGov #moleg</t>
  </si>
  <si>
    <t>RT @magathemaga1: Hola #MoLeg 
We still don't know where Scott Faughn got his money!
Why does media in #Missouri take orders from him?
Y…</t>
  </si>
  <si>
    <t>Hola #MoLeg 
We still don't know where Scott Faughn got his money!
Why does media in #Missouri take orders from him?
You don't, you say?
Then why ignore?
Exactly type of thing that gets clicks, yet scant coverage ...
PS. Who is Skyler?
#GreitensTrial #Greitens #mogov #STL https://t.co/akN2HUFjLm</t>
  </si>
  <si>
    <t>RT @DeplorableGoldn: RT 🚨
This #WitchHunt...um, I mean...this "case"...is falling apart faster than a Yugo in a moderate wind storm. 😂 #Kim…</t>
  </si>
  <si>
    <t>RT @MarkHRPh: The #GreitensTrial is a waste of time and taxpayers money.  There is no picture.  Drop it and let’s move on</t>
  </si>
  <si>
    <t>RT @JW1057: Were Philip Sneed and Al Watkins trying to blackmail @EricGreitens ? Philip, Eric wasn't in your life he was in Kitty's life. K…</t>
  </si>
  <si>
    <t>@for_congress Start using #moleg #mogov #Greitens #GreitensTrial</t>
  </si>
  <si>
    <t>RT @magathemaga1: #Missouri Media
Scott Faughn DICTATING journalism in state, as none of U, with few exceptions, will report on where mone…</t>
  </si>
  <si>
    <t>@dcexaminer Follow the money! https://t.co/Hl2kywXAAV</t>
  </si>
  <si>
    <t>@dcexaminer Disageee massively.  Did this piece cover how this is a total hit job?</t>
  </si>
  <si>
    <t>@NYTNational  https://t.co/ln6u8viBga</t>
  </si>
  <si>
    <t>@NYTNational  https://t.co/5oS44NJC3r</t>
  </si>
  <si>
    <t>@NYTNational Did this story cover the cash payments to the lawyer? https://t.co/YPhkR8ZMBo</t>
  </si>
  <si>
    <t>RT @realDonaldTrump: Big week next week when the American Embassy in Israel will be moved to Jerusalem. Congratulations to all!</t>
  </si>
  <si>
    <t>RT @jrsalzman: I’m continually amazed at the number people who are so insulated from the basic principles of human survival that they criti…</t>
  </si>
  <si>
    <t>RT @Robindvlowe: @HuffPost I live in South Africa. And you know nothing that is truly going on. Never read anything so crap by huffpost.</t>
  </si>
  <si>
    <t>RT @Gun_Shots: As per usual, fascists respond to a terrorist attack by trying to disarm the victims.
https://t.co/QEVX8HIRPm #Switzerland</t>
  </si>
  <si>
    <t>@JCPenknife #GreitensTrial #Greitens #MoneyBagsAl #findfaughn #StLouis #KansasCity #stl #KCMO #scammingscott #GreitensCriminalTrial https://t.co/2zuT1NtPeh</t>
  </si>
  <si>
    <t>RT @VisioDeiFromLA: But reporters COULD dig into where Scott Faughn got his money
It wasnt his
He couldnt even pay tax Bill's six months…</t>
  </si>
  <si>
    <t>RT @CStamper_: Soros-backed prosecutor Kim Gardner’s high priced hired gun is laughing at the judge and then lying about it like a child. T…</t>
  </si>
  <si>
    <t>RT @TomJEstes: It’s time to put pressure on the stations that carry Scott’s show. No network should be airing a TV show who’s host is evadi…</t>
  </si>
  <si>
    <t>@paulcurtman @Steffi_Cole @AP4Liberty @SykesforSenate @Monetti4Senate @Kristi414US @EagleEdMartin @StacyOnTheRight @jallman971 Much better judges. Sorry. He’s been wrong on quite a few things legally lately</t>
  </si>
  <si>
    <t>RT @DeplorableGoldn: Oh no!  What a WASTE of taxpayers money!  I want a refund NOW!  #MOSen #mogov #MOLeg #staceynewman #kimshady #Greitens…</t>
  </si>
  <si>
    <t>RT @TomJEstes: Looks like accusers aren’t always honest. Maybe getting the whole story is a good idea before deciding someone’s guilt. #mol…</t>
  </si>
  <si>
    <t>RT @magathemaga1: Some things to ask regarding the #GreitensTrial 
✔ Who is Skyler
✔Source of Money?
✔KS/PS bank statements checked?
✔Wher…</t>
  </si>
  <si>
    <t>Some things to ask regarding the #GreitensTrial 
✔ Who is Skyler
✔Source of Money?
✔KS/PS bank statements checked?
✔Where is Scott?
✔Was there even more money involved?
Follow the money
#Moleg #mogov #Greitens #MoneyBagsAl #stl #stlouis #kcmo #MOSen @Henryhahadavis #MO https://t.co/3NA5fIF7JW</t>
  </si>
  <si>
    <t>@miagl11 @StevenDialTV @CnBsNana @41actionnews Sorry she isnt. Its alleged. She kept seeing him after incident. She has already lied</t>
  </si>
  <si>
    <t>RT @JCPenknife: Greitens = no evidence of a photo.
Trump = no evidence of collusion.
#WitchHunt #GreitensTrial #DrainTheSwamp #deepstate</t>
  </si>
  <si>
    <t>RT @magathemaga1: WE NEED TO TALK, Media.
We still dont know where Scott Faughn is
We still dont know where the money came from
Who is S…</t>
  </si>
  <si>
    <t>WE NEED TO TALK, Media.
We still dont know where Scott Faughn is
We still dont know where the money came from
Who is Skyler? And the funder?
Why no bench trial given the protests &amp;amp; pool being tainted by #MOGov 
Follow the money!
#Greitens #STL #kcmo #GreitensTrial #Missouri https://t.co/uZR83QhUlL</t>
  </si>
  <si>
    <t>RT @SKOLBLUE1: @CStamper_ #Moleg #Mosen #Mogov need to focus on the #crime and #murders in #STL They should also have more concern over the…</t>
  </si>
  <si>
    <t>RT @JW1057: Katrina "Kitty" Sneed doesn't believe her own accusations against @EricGreitens. Kitty embraces metoo and refers to secret phot…</t>
  </si>
  <si>
    <t>RT @RealTravisCook: This #WitchHunt...um, I mean...this "case"...is falling apart faster than a Yugo in a moderate wind storm.  #KimShady #…</t>
  </si>
  <si>
    <t>RT @GartrellLinda: Twitter Is Banning Conservatives for Posting Facts
Social media is owned &amp;amp; run by liberals who don't believe in free spe…</t>
  </si>
  <si>
    <t>RT @continetti: Kanye West, Jordan Peterson, and the revolt against political correctness. My column this week. https://t.co/MEGd46YBEI htt…</t>
  </si>
  <si>
    <t>RT @C_3C_3: The "17 Intelligence Agencies" that supposedly confirmed Russia influenced the 2016 Presidential Election turned out to be just…</t>
  </si>
  <si>
    <t>RT @BillOReilly: Simply put, Americans now understand they are not getting honest information from TV news anymore.  Very shortly, they wil…</t>
  </si>
  <si>
    <t>RT @thebradfordfile: Rod Rosenstein is a fraud. 
Rod is protecting Rod. 
Rod is protecting Comey.
Rod is protecting Hillary.
Rod is pro…</t>
  </si>
  <si>
    <t>@CatFanatic9 Katrina isnt a victim.</t>
  </si>
  <si>
    <t>@mattmfm Its because he is innocent. And it is innocent until proven guilty. I have been following the case closely. The whole story of the accuser is made up. Are you even paying attention?</t>
  </si>
  <si>
    <t>RT @CStamper_: Soros-backed Kim Gardner wasted over $100,000 in taxpayer money to bring in a Harvard professor who today angered the judge…</t>
  </si>
  <si>
    <t>@THatfieldMO It's a meme. Who cares.</t>
  </si>
  <si>
    <t>@MadMaxMilburn @strmsptr @EricGreitens Nope</t>
  </si>
  <si>
    <t>RT @AngelaLily0501: @EricGreitens 
I'm so proud of you for fighting back Governor. Glad we elected a Navy Seal. Kim Gardner and Stacey New…</t>
  </si>
  <si>
    <t>RT @Hope4Hopeless1: @KMOXKilleen @EricGreitens .@POTUS .@EricGreitens #WeThePeople of #MISSOURI STAND AGAINST THE Anti-Constitutional #Esta…</t>
  </si>
  <si>
    <t>#moleg #mogov #GreitensTrial #Greitens https://t.co/cSW846Z56n</t>
  </si>
  <si>
    <t>Tax Credits?
"One question we have is why Stacey Newman’s stepson, Andrew Newman, who works 4 this firm which is owned by Tom Hillman seemingly buddy buddy in video with Al Watkins?"
Story: https://t.co/9FQG0Ms8Ev
Video/story via: @mopns
#Moleg #mogov #GreitensTrial #Greitens https://t.co/5yn95bP8kB</t>
  </si>
  <si>
    <t>@chinyamy Please share these on twitter and Facebook. I didn't make but am spreading the word. Total injustice https://t.co/BA0VRHq2Cp</t>
  </si>
  <si>
    <t>@chinyamy  https://t.co/RhG62oHjUH</t>
  </si>
  <si>
    <t>@chinyamy Heres a few more https://t.co/hTqCyswi2b</t>
  </si>
  <si>
    <t>RT @ChrisHayesTV: Judge just said jury selection will continue into Tuesday which could delay the MO Governor trial at least one day. https…</t>
  </si>
  <si>
    <t>RT @ChrisHayesTV: Judge tore into CAO paid consultant Ronald Sullivan, who laughed after a ruling. Judge said, "I'm not impressed with your…</t>
  </si>
  <si>
    <t>RT @magathemaga1: You could lead with fact they already searched through it and found nothing.
The problem is #KimShady is looking for any…</t>
  </si>
  <si>
    <t>RT @CStamper_: Soros-backed Kim Gardner has already committed numerous sanctionable violations in her politically-motivated witch hunt agai…</t>
  </si>
  <si>
    <t>RT @magathemaga1: So.... 
Not one of 16,000 photos is of the alleged victim &amp;amp; there is no photo that any photo was even taken on the date…</t>
  </si>
  <si>
    <t>RT @SpeakerTimJones: It’s not just Kanye that’s grown tired of being taken for granted. #MOSen #MOLeg  https://t.co/sMyAqCu9r6</t>
  </si>
  <si>
    <t>RT @sigi_hill: @aliemalie @EricGreitens @staceynewman @kimgardner77th SUSPICIOUS: These 'PuritanApostles' want to use "moral turpitude" aga…</t>
  </si>
  <si>
    <t>RT @magathemaga1: "Judge tore into CAO R. Sullivan, who laughed after ruling. Judge said, "I'm not impressed with your continued disrespect…</t>
  </si>
  <si>
    <t>RT @CStamper_: In both D.C. and Missouri, “prosecutors are pursuing a sitting Republican executive with criminal or potentially criminal ch…</t>
  </si>
  <si>
    <t>RT @CStamper_: Soros-backed Kim Gardner is wasting big time taxpayer dollars on a Harvard professor who simply laughs at the judge after th…</t>
  </si>
  <si>
    <t>RT @TomJEstes: The situation with @scottfaughn continues to get more serious. Thanks you to @MariaChappelleN for bringing attention to this…</t>
  </si>
  <si>
    <t>"Judge tore into CAO R. Sullivan, who laughed after ruling. Judge said, "I'm not impressed with your continued disrespect of the court. MO law is clear. You cannot ask witness about evidence that may come up at trial."
#Moleg #mogov #GreitensTrial #Greitens #stl #Missouri
👇👇 https://t.co/EQxPvOSsQk</t>
  </si>
  <si>
    <t>RT @SKOLBLUE1: @ChrisHayesTV This is a disgusting portrayal of the legal profession. Kim Gardner needs to be disbarred and punished ASAP. #…</t>
  </si>
  <si>
    <t>RT @CStamper_: “With the media in her corner,” Soros-backed Kim “Gardner has felt emboldened to play by rules of her own making. She circum…</t>
  </si>
  <si>
    <t>RT @Jesus_isPeace: The Four Shocking Messages That Reveal The #Democrat #WitchHunt Against #Republican #GovEricGreitens
#MOLeg #MOSen #Mis…</t>
  </si>
  <si>
    <t>RT @CStamper_: Soros-backed Kim Gardner’s witch hunt is so chock-full of abuses, unethical conduct and outright illegality that she had to…</t>
  </si>
  <si>
    <t>RT @ChrisHayesTV: We now know what forensic experts found on the Governor's phone. According to the defense, 16,000 images were reviewed &amp;amp;…</t>
  </si>
  <si>
    <t>So.... 
Not one of 16,000 photos is of the alleged victim &amp;amp; there is no photo that any photo was even taken on the date in question. This sham prosecution is a complete joke.
Where is Scott Faughn?
 #moleg #mogov #KimShady #GreitensTrial #greitens #missouri #stl #StLouis https://t.co/PKpW8mYdmZ</t>
  </si>
  <si>
    <t>RT @CStamper_: Not one of 16,000 photos is of the alleged victim AND there is no photo that any photo was even taken on the date in questio…</t>
  </si>
  <si>
    <t>RT @Hope4Hopeless1: @Jesus_isPeace .@POTUS #MISSOURI #Moleg THERE IS VERY CLEAR EVIDENCE OF COLLUSION TO UNSEAT OUR DULY ELECTED GOVERNOR .…</t>
  </si>
  <si>
    <t>RT @CStamper_: In order to prove her case, Soros-backed Kim Gardner must prove, among other things, that a photo was taken and subsequently…</t>
  </si>
  <si>
    <t>RT @magathemaga1: #KimShady is SHADY
#moleg #mogov #GreitensTrial #Greitens https://t.co/nQRt7WYgdS</t>
  </si>
  <si>
    <t>You could lead with fact they already searched through it and found nothing.
The problem is #KimShady is looking for anything becagee she has no case.
Total witch hunt 
COUP
@Rep_TRichardson @Eric_Schmitt @EricGreitens @MOHouseGOP @MissouriGOP 
#moleg #mogov #GreitensTrial https://t.co/dbCy9vQX6Q</t>
  </si>
  <si>
    <t>#KimShady is SHADY
#moleg #mogov #GreitensTrial #Greitens https://t.co/nQRt7WYgdS</t>
  </si>
  <si>
    <t>@RiverfrontTimes @FOX2now @AbbyLlorico @ksdknews @CaseyNolen @JessicaKSDK @JeanieSmithKSDK @HennessySTL  @gatewaypundit @Ijames2018 @Project_Veritas @DRUDGE @dbongino @Rep_TRichardson @shawnrhoads154 @Cernovich @Thomas1774Paine @kmbc @NickBenderKMBC @KMOXKilleen @SpeakerTimJones</t>
  </si>
  <si>
    <t>@BillEigel @willscharf @SheenaGreitens @TeamGreitens @TomJEstes @TrumpChess @toadtws @TxSecurityGal @Ijames2018 @chadler_usa @smart_hillbilly @Steffi_Cole @paulcurtman @jallman971 @Markknight45 @MarcCox971 @ninekiller @realJLogan @Pissyjo @melody_grover @AWESOMECQ @CornejoForMO</t>
  </si>
  <si>
    <t>Hi #moleg
1. No Photo
2. Find Scotty!
3. #MoGov COUP!
4. Moleg Collusion with #KimShady
5. Inconsistent testimony (she lied)
6. $$ unexplained
7.SECRET MEETINGS at HOTELS on EAST SIDE with KS &amp;amp; KG?
9. Newman in on it!
10. #WitchHunt 
Drain the swamp!
#Greitens #greitenstrial https://t.co/tnkS0VmEqD</t>
  </si>
  <si>
    <t>RT @hrtablaze: The next Governor of California @JoinTravisAllen absolutely destroys Jorge Ramos on his own show! 😂 This is a beatdown of ep…</t>
  </si>
  <si>
    <t>RT @TheLastRefuge2: Wow – VP Mike Pence Shares Note From American Held Captive in North Korea… https://t.co/jWmh8w3WY3 https://t.co/ZqRTDGq…</t>
  </si>
  <si>
    <t>@TomSteyer He slept with a girl? Great! I’ll be voting for him again!</t>
  </si>
  <si>
    <t>RT @Barnes_Law: Nope. The civil case is stayed, so no discovery allowed. Second, SAR records are NOT available in civil discovery, anyway.…</t>
  </si>
  <si>
    <t>RT @fab_NHC: @LarrySchweikart @davealvord164 President Obama and his government actively worked AGAINST the citizens of the United States.…</t>
  </si>
  <si>
    <t>@LarrySchweikart @Jayla589 Bro, sessions gonna actually do something?</t>
  </si>
  <si>
    <t>RT @VisioDeiFromLA: Source of Faughn’s Money?
Did Simpson also get money bag dropped to him in the middle of the night? 
Simpson, Sneed,…</t>
  </si>
  <si>
    <t>RT @NickBSchroer: Missouri just became the 46th state to #RaisetheAge. Congrats @WallingfordMO and thank you to all in #moleg that supporte…</t>
  </si>
  <si>
    <t>@HennessySTL Any more details?</t>
  </si>
  <si>
    <t>@RightSideUp313 @314TruthSeeker @gracehaun @EricGreitens #GreitensTrial https://t.co/TtFfswjusI</t>
  </si>
  <si>
    <t>@RightSideUp313 @314TruthSeeker @gracehaun @EricGreitens This grace lady didnt even read the testimonies otherwise she would know she was lying https://t.co/RCvJgBAPZh</t>
  </si>
  <si>
    <t>@J_Hancock @MariaChappelleN @scottfaughn @ScottSifton @BobOnderMO Where is scott?
#FindFaughn https://t.co/91IOCY4vj0</t>
  </si>
  <si>
    <t>RT @KamVTV: DEMOCRAT approval for @realDonaldTrump's North Korea policy is up 20%. #MAGA
Blue wave sinking ..  https://t.co/gyNxIiPNuy</t>
  </si>
  <si>
    <t>RT @Str8DonLemon: One of my favs to describe this whole mess.
Follow the money!
#greitenstrial #GreitensCriminalTrial 
#Greitens #stlouis…</t>
  </si>
  <si>
    <t>@grcfay @Sticknstones4  https://t.co/9EOH4JPm5y</t>
  </si>
  <si>
    <t>@Sticknstones4 @kmbc @KrisKetzKMBC This</t>
  </si>
  <si>
    <t>@strmsptr @kmbc @KrisKetzKMBC This</t>
  </si>
  <si>
    <t>@J_Hancock @MariaChappelleN @scottfaughn @ScottSifton @BobOnderMO Where is Scott?
Where did his money come from?
Why isnt anybody asking the source of the money? 
#MoLeg #Mogov #greitens #GreitensCriminalTrial #GreitensTrial #findfaughn #stl #donnybrookstl #Missouri https://t.co/UMr6FrcFPR</t>
  </si>
  <si>
    <t>RT @christoferguson: Remind me again why a bench trial was not allowed? #Moleg https://t.co/Es26FwocMA</t>
  </si>
  <si>
    <t>RT @kwilli1046: Love It! #Trump Poll numbers are spiking so much Reuters is quarantining the data. Winning never felt so good. https://t.co…</t>
  </si>
  <si>
    <t>RT @RealJamesWoods: “Other than talking about Russia, raising taxes and impeaching the president, Democrats are incapable of producing one…</t>
  </si>
  <si>
    <t>RT @RealJamesWoods: Now that the Boy Scouts no longer exist and must accept girls, how is it possible Girl Scouts still exist, but don’t ac…</t>
  </si>
  <si>
    <t>RT @VisioDeiFromLA: Interesting. 
And KG?
Kim Gardner (#KimShady)
Don Tisaby (#TriflingTisaby)
Scott Simpson
Katrina Sneed
All met in “a…</t>
  </si>
  <si>
    <t>@joelcurrier Why is there no bench trial? 
You think the judge is afraid to rule on this? I’m honestly curious he’s afraid of the riots that will ensue should he aquit</t>
  </si>
  <si>
    <t>RT @DeplorableGoldn: RT 🚨
1. Newman Lynch Mob 
@StaceyNewman seems 2 be Involved In #greitens witch hunt in some way. She also helped orga…</t>
  </si>
  <si>
    <t>RT @memoriadei: There is so much hate going on about my #MoGov #GreitensTrial that I cannot tell Democrats from Republicans!  Now that is N…</t>
  </si>
  <si>
    <t>RT @J_Hancock: . @MariaChappelleN says she plans to go one by one through the 34-member Senate, asking each Senator if they know where @sco…</t>
  </si>
  <si>
    <t>RT @TheJordanRachel: President Trump and Vice President Pence warmly greeted the hostages in person at 3:00 AM after freeing them from year…</t>
  </si>
  <si>
    <t>RT @HotPokerPrinces: Fake News in the making
💰💵 + 👨🏼‍💻👨🏻‍💻 = Nothing Burger 🍔 
#findfaughn #greitens #moleg https://t.co/91Go8i3wjQ</t>
  </si>
  <si>
    <t>RT @magathemaga1: Waiting 4 @ScottCharton to get off phone with @scottfaughn as they figure how 2 spin latest news showing this 2 be scam a…</t>
  </si>
  <si>
    <t>Waiting 4 @ScottCharton to get off phone with @scottfaughn as they figure how 2 spin latest news showing this 2 be scam as latest public motion shows KG, Scott Simpson, K. Sneed &amp;amp; D. Tisaby meeting at hotel on 1/29
SHADY!
#satire
#moleg #mogov #GreitensTrial #Greitens #stl https://t.co/sHElGvNXh4</t>
  </si>
  <si>
    <t>RT @memoriadei: I am ashamed of #moleg the first time in the 15 yrs I have been in this great state.  Your pressure in posts and #media hav…</t>
  </si>
  <si>
    <t>RT @magathemaga1: #donnybrookstl #GreitensTrial
Can you please discuss this and why the media isnt covering this?
Thank you. https://t.co…</t>
  </si>
  <si>
    <t>RT @VisioDeiFromLA: Many women read book &amp;amp; if u have read it, u would know her testimony in many parts sounds exactly like book
Relevant.…</t>
  </si>
  <si>
    <t>RT @VisioDeiFromLA: Hey did you hear about this? 
Kim Gardner (#KimShady)
Don Tisaby (#TriflingTisaby)
Scott Simpson
Katrina Sneed
All me…</t>
  </si>
  <si>
    <t>RT @DeplorableGoldn: RT 🚨Hey did you hear about this? 
Kim Gardner (#KimShady)
Don Tisaby (#TriflingTisaby)
Scott Simpson
Katrina Sneed
A…</t>
  </si>
  <si>
    <t>RT @VisioDeiFromLA: That means journalists and columnists can start using it.
The public needs to be informed, tony. 
#moleg #mogov #grei…</t>
  </si>
  <si>
    <t>RT @memoriadei: #moleg You say #MoGov #Greitens #GreitensTrial cant do his job under the circumstances so he must resign. You and #media ma…</t>
  </si>
  <si>
    <t>RT @VisioDeiFromLA: @kmbc @KrisKetzKMBC question:
Kim Gardner (#KimShady)
Don Tisaby (#TriflingTisaby)
Scott Simpson
Katrina Sneed
All me…</t>
  </si>
  <si>
    <t>RT @magathemaga1: @kmbc @KrisKetzKMBC @Sticknstones4 @SKOLBLUE1 @Avenge_mypeople @Lautergeist @Hope4Hopeless1 @HotPokerPrinces @Norasmith10…</t>
  </si>
  <si>
    <t>RT @magathemaga1: @kmbc @KrisKetzKMBC Questions 
How do you explain the collusion between the Missouri legislature, Stacey Newman, Kim Gar…</t>
  </si>
  <si>
    <t>@chinyamy  https://t.co/nhyOS4JJUL</t>
  </si>
  <si>
    <t>@chinyamy  https://t.co/K7OjQJEhiw</t>
  </si>
  <si>
    <t>@chinyamy  https://t.co/JTz098rROR</t>
  </si>
  <si>
    <t>@chinyamy Please share on Facebook Twitter if you think this witty hunt. https://t.co/J3PYg4kpZU</t>
  </si>
  <si>
    <t>@chinyamy Heres a couple of memes</t>
  </si>
  <si>
    <t>@chinyamy U in Missouri?</t>
  </si>
  <si>
    <t>RT @VisioDeiFromLA: Bench TRIAL NOW, Judge!
#moleg #mogov #greitens #greitenstrial https://t.co/w4ZlPNI12J</t>
  </si>
  <si>
    <t>RT @VisioDeiFromLA: Yes, let’s follow the money. 
Let’s start asking where Scott Faughn got his money. 
You down?
I’m totally down.
Fol…</t>
  </si>
  <si>
    <t>RT @VisioDeiFromLA: Another question:
Kim Gardner (#KimShady)
Don Tisaby (#TriflingTisaby)
Scott Simpson
Katrina Sneed
All met in “a hote…</t>
  </si>
  <si>
    <t>RT @magathemaga1: Hmmm..... 
#MoLeg #MoGov #GreitensTrial #Greitens #stlouis #missouri #stl #kcmo https://t.co/CBrGbcgACF</t>
  </si>
  <si>
    <t>RT @HotPokerPrinces: MEDIA, TIME TO STOP GETTING YOUR STRINGS PULLED BY SCOTT FAUGHN
 FOLLOW THE MONEY !
120K CASH BUYS A FAKE SEX SCANDA…</t>
  </si>
  <si>
    <t>@J_Hancock @MariaChappelleN @scottfaughn @ScottSifton @BobOnderMO Ask Maria what she meant by this. She has me blocked. 
Also where is Scotty????
I have called her out in the past, so I have no idea what she means here. I’m assuming a connection of some sort???
#MoLeg #MoGov #Greitens #GreitensTrial #GreitensCriminalCase #stlouis https://t.co/Z38JRDOzMB</t>
  </si>
  <si>
    <t>@kmbc @KrisKetzKMBC @Sticknstones4 @SKOLBLUE1 @Avenge_mypeople @Lautergeist @Hope4Hopeless1 @HotPokerPrinces @Norasmith1000 @RealTravisCook @EdBigCon @YearOfZero @Neilin1Neil @Pantszilla77 How is it that, despite all precedence, slanted media coverage, bias from Missouri House, and the public knowing about this — despite this — the judge still hasn’t issued a bench trial.
Is he afraid 2 rule on case because liberals will riot and will go after him when he acquits?</t>
  </si>
  <si>
    <t>@kmbc @KrisKetzKMBC @Sticknstones4 @SKOLBLUE1 @Avenge_mypeople @Lautergeist @Hope4Hopeless1 @HotPokerPrinces @Norasmith1000 @RealTravisCook @EdBigCon @YearOfZero Or how about the money bags Scott Faughn dropped off to Al Watkins. Why isn’t the media covering this story?
#GreitensCriminalTrial #GreitensTrial #Greitens #missouri #stlouis #stl #kcmo #witchhunt https://t.co/1w6pLzH6Gb</t>
  </si>
  <si>
    <t>@kmbc @KrisKetzKMBC Questions 
How do you explain the collusion between the Missouri legislature, Stacey Newman, Kim Gardner, and Katrina Sneed?
Stacey Newman worked with the prosecutor to arrange this. You can’t just explain that away. 
#GreitensTrial #stlouis #stl #missouri https://t.co/hvFudeEHxO</t>
  </si>
  <si>
    <t>Hmmm..... 
#MoLeg #MoGov #GreitensTrial #Greitens #stlouis #missouri #stl #kcmo https://t.co/CBrGbcgACF</t>
  </si>
  <si>
    <t>RT @shesova: This man Faughn runs the Missouri Times. He has a real bone to pick with @EricGreitens Suddenly he has $50K in cash delivered…</t>
  </si>
  <si>
    <t>RT @magathemaga1: @Sticknstones4 @shesova @EricGreitens @TuckerCarlson @FoxNews @molegislature Follow the money!
#MoLeg #mogov #Greitens #…</t>
  </si>
  <si>
    <t>RT @Hope4Hopeless1: @Buschbeer2015 @RealTravisCook @ResignNowKim @Nanci2GH @VisioDeiFromLA @JW1057 @joelcurrier @HereLiesMoon @SheenaGreite…</t>
  </si>
  <si>
    <t>@SpeakerTimJones @staceynewman Off topic but Alaska is beautiful.
It will help you get the stench out of your mind of Stacey Newman’s Alinsky bs</t>
  </si>
  <si>
    <t>RT @VisioDeiFromLA: @EdBigCon @sarahkendzior @StaarVellocet Sarah is an idiot. Hey Sarah how many times have you been wrong about russia?…</t>
  </si>
  <si>
    <t>@rxpatrick Dude, has any reporter asked why this hasn’t gone to bench trial already?</t>
  </si>
  <si>
    <t>@Sticknstones4 @shesova @EricGreitens @TuckerCarlson @FoxNews @molegislature Follow the money!
#MoLeg #mogov #Greitens #Missouri #GreitensCriminalTrial #greitenstrial #stl #kcmo #stlouis #kansascity #WitchHunt #breaking #FindFaughn #FollowTheMoney https://t.co/QAcrAZhaIH</t>
  </si>
  <si>
    <t>RT @magathemaga1: Yeah and thanks to Lauren and her sham report on the tape, the entire pool is tainted #greitenstrial 
#greitens https://…</t>
  </si>
  <si>
    <t>RT @magathemaga1: Tell me again how there shouldn’t be a bench trial? They have people tainting the poll right outside the court house!
#g…</t>
  </si>
  <si>
    <t>Tell me again how there shouldn’t be a bench trial? They have people tainting the poll right outside the court house!
#greitenstrial #greitens #moleg #mogov @jrosenbaum #stl #stlouis #missouri @EricGreitens @Eric_Schmitt @MissouriGOP https://t.co/72U9qVrOP5</t>
  </si>
  <si>
    <t>RT @magathemaga1: #GreitensTrial
Wonder if any of the potential jurors know #Moleg was coordinating with the circuit attorneys office???…</t>
  </si>
  <si>
    <t>RT @magathemaga1: #GreitensTrial #stl #stlouis #KimShady https://t.co/glvbN5EW6z</t>
  </si>
  <si>
    <t>RT @magathemaga1: #GreitensTrial #WitchHunt https://t.co/XgHAQHEinV</t>
  </si>
  <si>
    <t>#GreitensTrial
Wonder if any of the potential jurors know #Moleg was coordinating with the circuit attorneys office???
#moleg #mogov #kimshady #Greitens https://t.co/zXCWF3SAzE</t>
  </si>
  <si>
    <t>Yeah and thanks to Lauren and her sham report on the tape, the entire pool is tainted #greitenstrial 
#greitens https://t.co/MqPX7E1fVI</t>
  </si>
  <si>
    <t>RT @magathemaga1: #greitenstrial #donnybrookstl https://t.co/mzagomPcoJ</t>
  </si>
  <si>
    <t>#donnybrookstl #GreitensTrial
Can you please discuss this and why the media isnt covering this?
Thank you. https://t.co/lMDtTMmbSW</t>
  </si>
  <si>
    <t>#GreitensTrial #WitchHunt https://t.co/XgHAQHEinV</t>
  </si>
  <si>
    <t>#GreitensTrial #stl #stlouis #KimShady https://t.co/glvbN5EW6z</t>
  </si>
  <si>
    <t>#greitenstrial #donnybrookstl https://t.co/mzagomPcoJ</t>
  </si>
  <si>
    <t>RT @EdBigCon: @sarahkendzior @StaarVellocet #Fact Bought and paid for GOPe are the ones trying to impeach him.  Hafner was fired because he…</t>
  </si>
  <si>
    <t>RT @MSTLGA: FOLLOW THE MONEY
Who was the source of the 120K Cash ?
#Moleg #MoGov #Greitens https://t.co/d1nMvvWoBc</t>
  </si>
  <si>
    <t>RT @MSTLGA: @RonFRichard You’re derelict of your duty 
The governor can sign passed bills into law 
Stop screwing Missouri Voters with yo…</t>
  </si>
  <si>
    <t>RT @magathemaga1: WitchHunt Still On!
#ScammingScott running media while RUNNING FROM MEDIA!
#MoneyBagsAl got 20k MORE!
#KimShady is, well…</t>
  </si>
  <si>
    <t>WitchHunt Still On!
#ScammingScott running media while RUNNING FROM MEDIA!
#MoneyBagsAl got 20k MORE!
#KimShady is, well, SHADY!
BONUS:
✔️Judicial misconduct OK!
✔️#MoLeg coordinating with KG?
✔️Where did 💰 come from?
✔️No Photo!
#mogov #greitens #stl #greitenstrial https://t.co/DMMccvHWDL</t>
  </si>
  <si>
    <t>RT @Thomas1774Paine: RIGGED: Emails Prove FBI Brass Coached Comey After He was Fired; Urged Sit Down with Mueller Prior to Senate Testimony…</t>
  </si>
  <si>
    <t>RT @magathemaga1: Good Morning #MoLeg
We need to talk
We still dont know where Scott Faughn is
We still dont know where the money came f…</t>
  </si>
  <si>
    <t>Good Morning #MoLeg
We need to talk
We still dont know where Scott Faughn is
We still dont know where the money came from
Who is Skyler?
Why hasn't the judge issued a bench trial given the protests &amp;amp; the pool being tainted by #MOGov 
Follow the money!
#Greitens #STL #kcmo https://t.co/ENtNRLGzjE</t>
  </si>
  <si>
    <t>@memoriadei  https://t.co/XxSm4hxDUK</t>
  </si>
  <si>
    <t>RT @memoriadei: For so many who say they believe in our Constitution and justice system, there seems to be a lot who believe #Greitens is g…</t>
  </si>
  <si>
    <t>RT @VisioDeiFromLA: Non citizens SHOULD NOT BE COUNTED, PERIOD. Only citizens.
Also clean Missouri is a giant scam perpetrated on the peop…</t>
  </si>
  <si>
    <t>RT @VisioDeiFromLA: Outsider advice
U screwed a man. Lied about him. Released incomplete report, timed 4 maximum political damage
U all a…</t>
  </si>
  <si>
    <t>RT @HotPokerPrinces: WHEN THE SHERIFF GIVES YOU A HUG  &amp;amp; PATS YOU ONTHE BACK FOR SUPPORT 
YOU KNOW ITS A WITCH HUNT  !    GO GOVERNOR GREI…</t>
  </si>
  <si>
    <t>RT @RealTravisCook: Hey now--the kitty (Sneed, that is) screwed the Governor just as much as he screwed her.  She's just as much to blame f…</t>
  </si>
  <si>
    <t>Maybe hes innocent?
#moleg https://t.co/diAsiYrcgZ</t>
  </si>
  <si>
    <t>RT @ThomasSowell: "The political left has never understood that, if you give the government enough power to create 'social justice,' you ha…</t>
  </si>
  <si>
    <t>RT @RepMarkMeadows: Please remember to pray for Otto Warmbier's family today, as well https://t.co/dq36LTFzto</t>
  </si>
  <si>
    <t>RT @aaron_hedlund: General rule of thumb: never trust people who chant "Death to America." #mosen https://t.co/eK7cCy8a28</t>
  </si>
  <si>
    <t>RT @Monetti4Senate: Stay on target. Be there soon @realDonaldTrump to provide Air cover as the next US Senator from Missouri. #ReadyforMone…</t>
  </si>
  <si>
    <t>@daniel4missouri @AP4Liberty @EricGreitens @HawleyMO Islam needs reformation. Thats the simple truth. We have some Muslim Americans who are fighting to reform it but they are cast out as the "uncle toms" of the religion. It's a younger religion so it hasn't gone through change and moderation like christianity has</t>
  </si>
  <si>
    <t>@JoshAlterity @AP4Liberty @EricGreitens @HawleyMO  https://t.co/llaWZgA3V4</t>
  </si>
  <si>
    <t>@Monetti4Senate @joel_capizzi @Shawtypepelina @SykesforSenate @ChanelRion Good answer tony. I love how much fight there is between courtland, monetti, and Austin's people. Shows Missouri is hungry</t>
  </si>
  <si>
    <t>RT @Monetti4Senate: I support @realDonaldTrump decision to pull out of a BAD DEAL with Iran. The deal made NO sense strategically, militari…</t>
  </si>
  <si>
    <t>@TheTrussel @NoMoSocialism75 @JoshAlterity @HawleyMO @RedState @AP4Liberty I've had my spats with Austin people but wasnt Red State praising him just a few years ago as the alternative to trump. I do not trust this publication at all</t>
  </si>
  <si>
    <t>@theILchronicle @BruceRauner This was an issue far before rauner.</t>
  </si>
  <si>
    <t>RT @realDonaldTrump: Looking forward to greeting the Hostages (no longer) at 2:00 A.M.</t>
  </si>
  <si>
    <t>RT @Monetti4Senate: I say we have a competition between the candidates and see who delivers the best shots on target. I am ready anytime, a…</t>
  </si>
  <si>
    <t>RT @DuckDuckGo: If you ever get asked why you should use DuckDuckGo instead of Google, here's a definitive answer by @yegg:
https://t.co/2…</t>
  </si>
  <si>
    <t>RT @TheOnlyKinsey: Israel is very honored to display a positive Trump billboard! https://t.co/VlV1VRJJql</t>
  </si>
  <si>
    <t>RT @CStamper_: “There is no doubt that this case smells of politics. Missouri Times and Scott Faughn’s heavy cash involvement leaves little…</t>
  </si>
  <si>
    <t>RT @melody_grover: Why all the interest in @HafnerMO? The ultimate #FakeNews is interviewing fired campaign consultants whose sense of ethi…</t>
  </si>
  <si>
    <t>RT @VisioDeiFromLA: (1) Thread.
The worst thing establishment hates the most about the internet?
The realization that politics is somethi…</t>
  </si>
  <si>
    <t>RT @VisioDeiFromLA: 2 LIBS on #MoLeg complaining about #DACA
👉They aren’t undocumented
👉They R illegal 
👉DACA unconstitutional
👉Trump offe…</t>
  </si>
  <si>
    <t>RT @DM30959: @MOLegDems @Kip_Kendrick Illegal is illegal.. you should learn the laws! Absolutely no #DACA, NoAmnesty snd No financial aid o…</t>
  </si>
  <si>
    <t>RT @VisioDeiFromLA: Non citizens should not get benefits that citizens get.
Incentivizes further illegal immigration. The fact they can us…</t>
  </si>
  <si>
    <t>RT @ResignNowKim: @JW1057 @joelcurrier @jw1057 : who are Phil Sneed and Katrina Sneed? #moleg #mogov</t>
  </si>
  <si>
    <t>RT @CStamper_: Looks like this abortion-loving group has joined Soros-backed Kim Gardner’s witch hunt against our Republican Governor. I ho…</t>
  </si>
  <si>
    <t>RT @VisioDeiFromLA: Neither does #Missouri GOP by depriving him of fairness.
This has been complete coup attempt since day 1
Not fan of m…</t>
  </si>
  <si>
    <t>RT @VisioDeiFromLA: @CoreyDJackson @MissouriTimes @EricGreitens If you look at both depositions, she is clearly lying. I feel like she may…</t>
  </si>
  <si>
    <t>RT @VisioDeiFromLA: Claire out of step with MO. If election about ideas, GOP wins. If about oppressors vs oppressed (imagined), she wins
#…</t>
  </si>
  <si>
    <t>RT @VisioDeiFromLA: FAN THE FLAMES!
BON FIRES EVERYWHERE!
Alinski advocated INSTIGATION. In some ways, turned out 2 be good
Civil rights m…</t>
  </si>
  <si>
    <t>RT @ResignNowKim: @Buschbeer2015 @Nanci2GH @JW1057 @joelcurrier @HereLiesMoon Potty mouth! I’d say it’s dishonorable.  I’d say the ex husba…</t>
  </si>
  <si>
    <t>RT @ResignNowKim: @Buschbeer2015 @Nanci2GH @JW1057 @joelcurrier @HereLiesMoon And hey Busch....I don’t get the gun sandwhich photo, but her…</t>
  </si>
  <si>
    <t>RT @VisioDeiFromLA: @ResignNowKim @Buschbeer2015 @Nanci2GH @JW1057 @joelcurrier @HereLiesMoon @SheenaGreitens @EricGreitens Very interestin…</t>
  </si>
  <si>
    <t>RT @SpeakerTimJones: I’m going to Alaska in two weeks. So...that means I do have permission from @staceynewman to take my long gun? #MOLeg…</t>
  </si>
  <si>
    <t>RT @DeplorableGoldn: Holy hell!
RT 🚨
Very interesting.
#MoLeg #MoGov #Greitens #GreitensIndictment #stlouis #stl #kcmo https://t.co/sIxiXf…</t>
  </si>
  <si>
    <t>RT @Barnes_Law: Ethics investigations disclosed. Tax liens revealed. IRS investigations unearthed. Treasury Inspector opening a case into h…</t>
  </si>
  <si>
    <t>RT @ATeamMom1: Let @staceynewman know we the people have had it with her destructive, hateful, Marxist, Alinsky tactics. #RFA #RadioFreeAll…</t>
  </si>
  <si>
    <t>RT @Sticknstones4: #DONNYBROOKSTL
Please discuss #MoLeg Collusion https://t.co/MtEfW3y0EZ</t>
  </si>
  <si>
    <t>RT @Sticknstones4: @ws_missouri This is not advice
It’s Collusion #moleg https://t.co/JywdqBy7TZ</t>
  </si>
  <si>
    <t>RT @sigi_hill: @LaurenTrager @KMOV @HafnerMO @EricGreitens @missioncontinue Why don't you report the revealing Kitty Sneeds text messages,…</t>
  </si>
  <si>
    <t>RT @Sticknstones4: MISSOURI COLLUSION 
MEMES DONT LIE  BUT #MOLEG DOES
Corrupt Politicians, Prosecutor, Political Operatives
Payoff &amp;amp; Uni…</t>
  </si>
  <si>
    <t>RT @VisioDeiFromLA: Jane, that’s a very good question.
Are we in the 50s where McCathyism ran rampant and people engaged in baseless with…</t>
  </si>
  <si>
    <t>RT @VisioDeiFromLA: (4) But @bryanmink15 if you want to talk money, I’m game
Let’s talk money
No. Better.
Let’s follow the money
Where…</t>
  </si>
  <si>
    <t>RT @JW1057: @stltoday The statute requires subsequent transmission. An act to take picture and act to transmit picture. What evidence do yo…</t>
  </si>
  <si>
    <t>RT @VisioDeiFromLA: Only person slut shaming is U
Rest of us view woman as strong &amp;amp; capable of making own sexual decisions. Which would ex…</t>
  </si>
  <si>
    <t>RT @CStamper_: Soros-backed prosecutor asks judge to keep jury from learning her witnesses’ lawyer received $100,000 cash payment &amp;amp; that he…</t>
  </si>
  <si>
    <t>RT @NickBSchroer: Words from Dems in #moleg past two days: Fully funding formula for #PublicEducation (two yrs in a row) is not enough mone…</t>
  </si>
  <si>
    <t>RT @Monetti4Senate: Let’s have a competition. Results not talk. We can go to the range and see who is on 🎯 https://t.co/VOSnlZiPHN</t>
  </si>
  <si>
    <t>I like this.
Shooting contest!
Who is down?
#MOSEN 
@AP4Liberty @Monetti4Senate @SykesforSenate @HawleyMO https://t.co/vTuVLCXipu</t>
  </si>
  <si>
    <t>RT @christoferguson: Bad #StL City eminent domain deal also a bad tax credit scam. #Moleg  https://t.co/cCncrc6Uil via @PostDispatchbiz</t>
  </si>
  <si>
    <t>RT @Avenge_mypeople: In case you haven't seen the latest article describing how @staceynewman used Kitty Sneed to attempt to bring down Gov…</t>
  </si>
  <si>
    <t>RT @magathemaga1: Money Bag Man Still On The RUN!
Scott Faughn still MIA &amp;amp; with #Missouri not knowing where source 4 money 2 #MoneyBagsAl…</t>
  </si>
  <si>
    <t>Kyle still believes a consensual affair is "abuse"
What happened to presumption of innocence? https://t.co/rKTVwW4eTC</t>
  </si>
  <si>
    <t>This isnt a bribe dummy. https://t.co/242ebVSxR5</t>
  </si>
  <si>
    <t>Money Bag Man Still On The RUN!
Scott Faughn still MIA &amp;amp; with #Missouri not knowing where source 4 money 2 #MoneyBagsAl came from, figure I'd do a little poll
Who is your favorite person 2 meme in #MoLeg &amp;amp; #MoGov politics? 
Satire is fun, but does Faughn take the crown?
#STL</t>
  </si>
  <si>
    <t>RT @SKOLBLUE1: I see my boss in that meeting, well done! @EricGreitens you are doing a wonderful job! Thank you for your hard work and dedi…</t>
  </si>
  <si>
    <t>RT @TomJEstes: First of all, I can tweet whenever I want, and I will continue to do so. Secondly, mocking Jane Dueker is not political, it’…</t>
  </si>
  <si>
    <t>@lbrown1213 @EricGreitens What if they were the most competent for the job?</t>
  </si>
  <si>
    <t>@strmsptr @EricGreitens 👍👍</t>
  </si>
  <si>
    <t>RT @EricGreitens: We’re shaking up government to bring more jobs and higher pay to Missouri. Today, it was great to meet with the team of b…</t>
  </si>
  <si>
    <t>@Shawtypepelina @NeilStruharik @joel_capizzi @LovesRemo @NoMoSocialism75 @BigLeague2020 @realDonaldTrump @SykesforSenate @AP4Liberty @POTUS He has a defamation case that I hope he wins, and I'll say Roy was flawed but he should have won and many say he did win as there was shady stuff going down. The man was already controversial and none of this came out before?</t>
  </si>
  <si>
    <t>@Shawtypepelina @NeilStruharik @joel_capizzi @LovesRemo @NoMoSocialism75 @BigLeague2020 @realDonaldTrump @SykesforSenate @AP4Liberty @POTUS Yeah... and where did they go after the election?
Dropped off the face of the earth.
30 years! Right when they are pursing the me too crap. So obvious. And the media helped slander him!</t>
  </si>
  <si>
    <t>@LovesRemo @joel_capizzi @NeilStruharik @NoMoSocialism75 @BigLeague2020 @realDonaldTrump @SykesforSenate @AP4Liberty @POTUS One thing is for sure, there will never ever be a liberty candidate to win office if we keep open borders</t>
  </si>
  <si>
    <t>@LovesRemo @joel_capizzi @NeilStruharik @NoMoSocialism75 @BigLeague2020 @realDonaldTrump @SykesforSenate @AP4Liberty @POTUS If people assimilate, and plant roots and eventually become fully American, they realize that government is far more bad than good. Hence why dems dont actually want to fix the problem</t>
  </si>
  <si>
    <t>@LovesRemo @joel_capizzi @NeilStruharik @NoMoSocialism75 @BigLeague2020 @realDonaldTrump @SykesforSenate @AP4Liberty @POTUS Now ask yourself, why were libs against that way too generous trump  deal on DACA? Because even though it was asking for little in return it cut off chain migration. 
Democrats dont want people assimilating. They want and need 1st gen and 2nd gen to keep flooding country.</t>
  </si>
  <si>
    <t>@LovesRemo @joel_capizzi @NeilStruharik @NoMoSocialism75 @BigLeague2020 @realDonaldTrump @SykesforSenate @AP4Liberty @POTUS Correct. But look at the stats and I have them to back up my claims
 3rd 4th 5th gen Latinos start getting more conservative.</t>
  </si>
  <si>
    <t>@joel_capizzi @NeilStruharik @LovesRemo @NoMoSocialism75 @BigLeague2020 @realDonaldTrump @SykesforSenate @AP4Liberty @POTUS Love the discussion but I wonder how many Austin people actually voted for trump. Immigration and closing the border are what essentially helped him win the primary and then the election. No other issue was as important</t>
  </si>
  <si>
    <t>@joel_capizzi @NeilStruharik @LovesRemo @NoMoSocialism75 @BigLeague2020 @realDonaldTrump @SykesforSenate @AP4Liberty @POTUS Conservative naturally sure, but not when it comes to what governments role is. America is an anomaly. Remember, tyranny is still the norm. We are lucky. That’s why slow and very limited immigration is what we need and only when we need it</t>
  </si>
  <si>
    <t>@joel_capizzi @NeilStruharik @LovesRemo @NoMoSocialism75 @BigLeague2020 @realDonaldTrump @SykesforSenate @AP4Liberty @POTUS Correct. But, you have to look at a couple of things. If your even, say, a legal immigrant from Mexico, your filter on the world is completely different. You have a fundamental different view on how rights work and the role of government.</t>
  </si>
  <si>
    <t>@NeilStruharik @joel_capizzi @LovesRemo @NoMoSocialism75 @BigLeague2020 @realDonaldTrump @SykesforSenate @AP4Liberty @POTUS Roy Moore was innocent. Flawed candidate but he was innocent</t>
  </si>
  <si>
    <t>@joel_capizzi @NeilStruharik @LovesRemo @NoMoSocialism75 @BigLeague2020 @realDonaldTrump @SykesforSenate @AP4Liberty @POTUS Trumps polls numbers sucked. But that didn’t convince me not to vote for him for example</t>
  </si>
  <si>
    <t>@joel_capizzi @NeilStruharik @LovesRemo @NoMoSocialism75 @BigLeague2020 @realDonaldTrump @SykesforSenate @AP4Liberty @POTUS One other point, talking about numbers like you are doing is a logical argument. That’s not good persuasion. The proper way to persuade would be to do it rhetorically or emotionally, and then use that fact as a justification.</t>
  </si>
  <si>
    <t>@joel_capizzi @NeilStruharik @LovesRemo @NoMoSocialism75 @BigLeague2020 @realDonaldTrump @SykesforSenate @AP4Liberty @POTUS If anything, we need a moratorium and/or deportations. Moratorium to give time to asssimilage those here so that they are American. Not hyphenated Americans. 
Look how Rome fell</t>
  </si>
  <si>
    <t>@joel_capizzi @NeilStruharik @LovesRemo @NoMoSocialism75 @BigLeague2020 @realDonaldTrump @SykesforSenate @AP4Liberty @POTUS You could say that we can educate immigrants and I would certainly agree, but who controls academia? 99 percent liberals. How many people know that our rights come from god or nature? Not many millennial. This is a product of our school system.</t>
  </si>
  <si>
    <t>@joel_capizzi @NeilStruharik @LovesRemo @NoMoSocialism75 @BigLeague2020 @realDonaldTrump @SykesforSenate @AP4Liberty @POTUS Required reading 
https://t.co/w4YZpDJbGw</t>
  </si>
  <si>
    <t>@joel_capizzi @NeilStruharik @LovesRemo @NoMoSocialism75 @BigLeague2020 @realDonaldTrump @SykesforSenate @AP4Liberty @POTUS People coming in have a completely different lenses on what governments role in our lives our and all it takes is that one election for the progressives to solidify their ultimate goal. Removal of the 1st and 2nd amendment</t>
  </si>
  <si>
    <t>@joel_capizzi @NeilStruharik @LovesRemo @NoMoSocialism75 @BigLeague2020 @realDonaldTrump @SykesforSenate @AP4Liberty @POTUS You have to remember. But even so, as long as 1st gen are pouring in that will skew the country further and further left until one day we will have a one party country. It has already happened in California.</t>
  </si>
  <si>
    <t>@joel_capizzi @NeilStruharik @LovesRemo @NoMoSocialism75 @BigLeague2020 @realDonaldTrump @SykesforSenate @AP4Liberty @POTUS The single greatest threat to liberty is open borders. 
It’s just a fact. Look at stats. It’s not until 4-5 gen to immigrants legal or illegal start trending right, and as long as we have open borders allowing waves of 1st gen immigrants who view government as provider.</t>
  </si>
  <si>
    <t>@NeilStruharik @joel_capizzi @LovesRemo @NoMoSocialism75 @BigLeague2020 @realDonaldTrump @SykesforSenate @AP4Liberty @POTUS Joels concern is very valid for many of us. I will support whoever wins but it’s important we ask these questions</t>
  </si>
  <si>
    <t>@NeilStruharik @joel_capizzi @LovesRemo @NoMoSocialism75 @BigLeague2020 @realDonaldTrump @SykesforSenate @AP4Liberty @POTUS I dont like numbers argument either. Certainly it’s important, but how important? The winner would get RNC support. Also I don’t doubt austnites passion but how much was that raised for just this campaign? 
Remember the media spent a year harping on trump for not spending money</t>
  </si>
  <si>
    <t>RT @VisioDeiFromLA: Should we ban women using FaceTime for sexy talk? Did U read depos?
KS testified in deposition that in June 2015 she u…</t>
  </si>
  <si>
    <t>RT @Sticknstones4: @MariaChappelleN 
There Needs to Be More Outrage From the Corrupt Club at #Moleg 
Sorry but the lackluster interest in…</t>
  </si>
  <si>
    <t>RT @magathemaga1: ATTENTION #moleg 
Has anybody seen Scott Faughn?
Is anybody asking:
✔Where his money came from?
✔What was it for?
✔Why…</t>
  </si>
  <si>
    <t>ATTENTION #moleg 
Has anybody seen Scott Faughn?
Is anybody asking:
✔Where his money came from?
✔What was it for?
✔Why didnt he disclose it?
✔Was there more?
✔Did KS/PS get some?
✔Bank Statements?
✔Skyler?
LOL!!!
#mogov #missouri #Greitens #STL #StLouis #kcmo #kcmo https://t.co/Rclalpmidj</t>
  </si>
  <si>
    <t>RT @AllenWest: Masculinity is now “toxic” &amp;amp; a “mental illness.” The #BoyScouts of America is dropping 'Boys' frm name. This is the culture…</t>
  </si>
  <si>
    <t>RT @joelpollak: Arrived in Israel a few hours ago and I’ve already been stopped three times by people who want to thank America for @realDo…</t>
  </si>
  <si>
    <t>RT @magathemaga1: Can somebody ask Maria what she meant by her tweet:
"Scott Faughn-Tilley-Parson-Republic Services-Exelon connection"
Is…</t>
  </si>
  <si>
    <t>Can somebody ask Maria what she meant by her tweet:
"Scott Faughn-Tilley-Parson-Republic Services-Exelon connection"
Is she blowing smoke?
Is it related to #Greitens ?
Also where is Faughn? Where did he get his money bags?
#Mogov #FindFaughn #moleg
@MariaChappelleN #STL #KCMO https://t.co/UlbWYKXRFc</t>
  </si>
  <si>
    <t>RT @Jesus_isPeace: Why #StLouis #CircuitAttorney #KimGardner Must Be Investigated—and Stopped!
#MOGovernor #EricGreitens #CCOT #PJNet #MoL…</t>
  </si>
  <si>
    <t>RT @Norasmith1000: Kim Gardner conspired with lead witness and #moleg Dems to bring down our Governor. Dirty Dems are getting good at this…</t>
  </si>
  <si>
    <t>RT @kanyewest: You don't have to agree with trump but the mob can't make me not love him. We are both dragon energy. He is my brother. I lo…</t>
  </si>
  <si>
    <t>@jc1ndiana @Steffi_Cole @SykesforSenate @AP4Liberty @Monetti4Senate Lol... I just came back.  Zero online enthusiasm and I'm posting to places where his people should see</t>
  </si>
  <si>
    <t>RT @Jamierodr10: You Should #NEVER Make Deals With A Country That Does This 👇To Our Soldiers. This Is Your Legacy @BarackObama &amp;amp; @JohnKerry…</t>
  </si>
  <si>
    <t>RT @dbongino: Let’s make liberals play by their new “rules” &amp;amp; we’ll see how they like it. 
Please, DO NOT MISS my podcast today for the det…</t>
  </si>
  <si>
    <t>RT @michaeldweiss: Recall that while Obama was negotiating the deal, his WH would leak every IAF attack on Syria to the press. The message…</t>
  </si>
  <si>
    <t>RT @kanyewest: free thinking is a super power</t>
  </si>
  <si>
    <t>RT @_Makada_: This is why we need a wall. This is an invasion. https://t.co/jB31FpvcXV</t>
  </si>
  <si>
    <t>RT @ColumbiaBugle: .@RepHagan knocks it out of the park on Immigration &amp;amp; drugs from Mexico.
"We have to go on offense. Building the wall m…</t>
  </si>
  <si>
    <t>RT @Jamierodr10: GOOD MORNING PATRIOTS 🇺🇸🇺🇸           This 👇 Is A Movement! Praying For All Of You &amp;amp; President Trump This Morning!! @realDo…</t>
  </si>
  <si>
    <t>RT @Barnes_Law: My name is Michael Avenatti, founder of a bankrupt law firm &amp;amp; a business being sued by almost everyone involved. Last week,…</t>
  </si>
  <si>
    <t>RT @HennessySTL: SCOTT ADAMS: Media Is Hurting Black People By Policing Who They Are Allowed To Talk To https://t.co/isAtzBa3Pb</t>
  </si>
  <si>
    <t>RT @MikeDelMoro: JUST IN: U.S. Secretary of State Mike Pompeo is expected to return with the three Americans held captive by North Korea, b…</t>
  </si>
  <si>
    <t>RT @MilitaryEarth: This is so cute 💕 https://t.co/VdQV02itHM</t>
  </si>
  <si>
    <t>RT @mitchellvii: Our guy's got balls. What's urs got?</t>
  </si>
  <si>
    <t>RT @NickAirus: 3 judges in a row have now discredited the Mueller probe. Still the mainstream media tap dances around it ... this is a ROGU…</t>
  </si>
  <si>
    <t>RT @RealJamesWoods: Today #Twitter features Moments about everything from Jaden Smith at a ball to what happens inside your dishwasher when…</t>
  </si>
  <si>
    <t>RT @kwd63122: @brhodes Biased polls mean nothing. A bad deal is a bad deal.</t>
  </si>
  <si>
    <t>RT @EliLake: If only there was a clause in the constitution that would make these kinds of international agreements more durable. https://t…</t>
  </si>
  <si>
    <t>RT @RepDeSantis: The Iran deal has never been the law of the land because it was never ratified as a treaty by the Senate (or enacted as st…</t>
  </si>
  <si>
    <t>RT @thebradfordfile: YOU GAVE THEM PALLETS OF CASH--you fool. If Iran is closer to a nuclear weapon, it is because of you.
Speaking of you…</t>
  </si>
  <si>
    <t>RT @MMMAGA9: You are a POS radical globalist. Your reaction is assurance that POTUS Trump made the right decision. You sold out the USA, pu…</t>
  </si>
  <si>
    <t>RT @realDonaldTrump: John Kerry can’t get over the fact that he had his chance and blew it! Stay away from negotiations John, you are hurti…</t>
  </si>
  <si>
    <t>RT @realDonaldTrump: The Iran Deal is defective at its core. If we do nothing, we know what will happen. In just a short time, the world’s…</t>
  </si>
  <si>
    <t>RT @magathemaga1: #Missouri Media
Scott Faughn DICTATING journalism in state, as none of U, with few exceptions, will report where money h…</t>
  </si>
  <si>
    <t>#Missouri Media
Scott Faughn DICTATING journalism in state, as none of U, with few exceptions, will report where money he gave AL came from...
U afraid of Scotty?
By not investigating, U have proven yourselves 2 be horrible journalists 
#moleg #mogov #greitens #STL #FindScott https://t.co/4DdWbNcz5m</t>
  </si>
  <si>
    <t>RT @HotPokerPrinces: How in the Hell is Scott Faughn still in hiding
Evading a supoena?
I’m calling on the Members of #Moleg to cancel the…</t>
  </si>
  <si>
    <t>RT @CStamper_: Why were #moleg Democratic leaders texting with the lead witness and communicating with Soros-backed prosecutor Kim Gardner…</t>
  </si>
  <si>
    <t>RT @Education4Libs: BREAKING NEWS.
President Trump has decided to pull out of the Iran deal.
It’s almost as if everything Obama “accompli…</t>
  </si>
  <si>
    <t>WitchHunt Still On!
#ScammingScott running media while RUNNING FROM MEDIA!
#MoneyBagsAl got 20k MORE!
#KimShady is, well, SHADY!
BONUS:
✔️Judicial misconduct OK!
✔️#MoLeg coordinating with Kim Shady?
✔️Where did 💰 come from?
✔️No Photo!
#mogov #greitens #stl #kcmo https://t.co/03J8F2eUON</t>
  </si>
  <si>
    <t>RT @Sticknstones4: Missouri Collusion 
@MOLegDems  @walshgina @GailBeatty @staceyNewman
I Missed this juicy detail in your outraged press…</t>
  </si>
  <si>
    <t>RT @MSTLGA: Simply Outrageous Behavior 
Not Shocking Though
This is what the Far Left has Resulted too 
Sumbodybetter start to investigate…</t>
  </si>
  <si>
    <t>RT @VisioDeiFromLA: "What happens when an “activist” runs of out enemies to fight? What happens when society rewards false accusers &amp;amp; victi…</t>
  </si>
  <si>
    <t>RT @VisioDeiFromLA: @grcfay They all knew about the affair
Because it was just an affair. 
Its not morally right but we dont imprison peo…</t>
  </si>
  <si>
    <t>RT @TomJEstes: I wonder how many pages on Jane’s iPad Pro are filled with “all work and no play makes Jane a dull girl” ?? #moleg #mogov ht…</t>
  </si>
  <si>
    <t>RT @VisioDeiFromLA: #MoLeg journalists 
3 months ahead of y’all
Check my commentary/citizen journalism about Newman 
What is nature of a…</t>
  </si>
  <si>
    <t>RT @VisioDeiFromLA: She knew.
#moleg #mogov #greitens #mosen #missouri #stl #kcmo #kansascity #StLouis #greitensindictment #witchhunt @joe…</t>
  </si>
  <si>
    <t>RT @magathemaga1: @TomJEstes @MariaChappelleN @scottfaughn She is earning the Rod Rosenstein is a Criminal #MoLeg JUSTICE award
Also where…</t>
  </si>
  <si>
    <t>@TomJEstes @MariaChappelleN @scottfaughn She is earning the Rod Rosenstein is a Criminal #MoLeg JUSTICE award
Also where is Scott?
#MOGov #ScammingScott #greitens #stlouis #stl #MOSen https://t.co/GQZcXrxPGV</t>
  </si>
  <si>
    <t>RT @TomJEstes: @MariaChappelleN is blowing @scottfaughn up right now!! Scott! Where are you Scott??!! Hilarious! #moleg #findscott</t>
  </si>
  <si>
    <t>RT @VisioDeiFromLA: “In the case of the witch hunt against Eric #Greitens, we at last have the evidence that we knew to be there all along:…</t>
  </si>
  <si>
    <t>RT @VisioDeiFromLA: Another question, we’ve been yelling about this since day 1. You journalists knew about this. Why didn’t you ask her qu…</t>
  </si>
  <si>
    <t>RT @VisioDeiFromLA: Ask her, what a “new activist” means
Funny how citizens have been calling out Newman in her involvement in all of this…</t>
  </si>
  <si>
    <t>RT @VisioDeiFromLA: LOL!!!
Newman has been one of people screaming for @EricGreitens head from get go!
I have well documented this on twt…</t>
  </si>
  <si>
    <t>RT @grcfay: https://t.co/ARZ3scxVbq 6-9am.  This is a must listen. https://t.co/bbU7rfzuIo</t>
  </si>
  <si>
    <t>RT @grcfay: EXCLUSIVE – Hantler: The Four Shocking Messages That Reveal The Democrat Witch Hunt Against Republican Gov. Eric Greitens https…</t>
  </si>
  <si>
    <t>RT @HotPokerPrinces: Oh  #Moleg  
Slimey Scott Faughn delivers 70k  cash  &amp;amp; than hides 
To evade a supoena
Bad Times for The Missouri Ti…</t>
  </si>
  <si>
    <t>RT @ResignNowKim: Journalism 101, by: @jrosenbaum @tonymess @kcstar @KCStarOpinion @stltoday @LaurenTrager &amp;amp; @KMOV : if it ain’t in a press…</t>
  </si>
  <si>
    <t>RT @JW1057: @ws_missouri Will, have you not been paying attention? Kim Gardner incompetent, corrupt, a criminal, brought a farce of indictm…</t>
  </si>
  <si>
    <t>@Neilin1Neil @realDonaldTrump @inthejungle234 @YearOfZero @SykesforSenate @Sticknstones4 @RealTravisCook @Norasmith1000 @EricGreitens @TuckerCarlson @liberty1776son @seanhannity @SheriffClarke 👍👍👍</t>
  </si>
  <si>
    <t>RT @Sticknstones4: 8)  NO COERCION  👇👇👇
Katrina testified to giving Consent 
The behind closed door 🚪 house committee lead a series of que…</t>
  </si>
  <si>
    <t>RT @Sticknstones4: 6 &amp;amp; 7     THE BARE NAKED TRUTH  👇👇👇
6 ) NO PHOTO &amp;amp; NO WITNESS TO TESTIFY THEY EVER SAW SUCH PHOTO 
7) KATRINA NAKED FA…</t>
  </si>
  <si>
    <t>RT @realDonaldTrump: I will be speaking to my friend, President Xi of China, this morning at 8:30. The primary topics will be Trade, where…</t>
  </si>
  <si>
    <t>RT @magathemaga1: 🚨 #MoLeg #MoGov 🚨 
POLL TIME!!!
Which #MoSen candidate shoots a gun better?
@SykesforSenate @AP4Liberty @Monetti4Senat…</t>
  </si>
  <si>
    <t>🚨 #MoLeg #MoGov 🚨 
POLL TIME!!!
Which #MoSen candidate shoots a gun better?
@SykesforSenate @AP4Liberty @Monetti4Senate @HawleyMO 
#missouri #stlouis #kansascity #kcmo #stl #maga #Redwave2018 #RedWaveRising2018 #MAGA2018</t>
  </si>
  <si>
    <t>RT @RealTravisCook: #KimShady needs to go. 10 murders in her city in 10 days--but she's focused on railroading Governor #Greitens instead o…</t>
  </si>
  <si>
    <t>RT @RealTravisCook: Going on https://t.co/LqVNagt9Kx at 2:00 CST discussing what would happen--in terms of politics &amp;amp; voting--if the Libs w…</t>
  </si>
  <si>
    <t>@BillEigel @willscharf @SheenaGreitens @TeamGreitens @TomJEstes @TrumpChess @toadtws @TxSecurityGal @Ijames2018 @chadler_usa @smart_hillbilly @Steffi_Cole @paulcurtman @jallman971 @Markknight45 @MarcCox971 @ninekiller @realJLogan @Pissyjo @melody_grover @AWESOMECQ @joel_capizzi</t>
  </si>
  <si>
    <t>RT @magathemaga1: Good afternoon #MoLeg #MoGov except @Rep_TRichardson 
Based on recent filings, looks like “KS”  coordinated with the MO…</t>
  </si>
  <si>
    <t>Good afternoon #MoLeg #MoGov except @Rep_TRichardson 
Based on recent filings, looks like “KS”  coordinated with the MO House as well as #KimShady &amp;amp; Stacey Newman
She also discussed profiting off this whole #Greitens thing, per the new filing. See “LOL!!!”
Read it!
#stl #kcmo https://t.co/anU2490iEd</t>
  </si>
  <si>
    <t>RT @Str8DonLemon: Good morning #moleg 
Where is Scott Faughn?
Where did his money come from?
FOLLOW THE MONEY
Notice certain people who…</t>
  </si>
  <si>
    <t>RT @SpeakerTimJones: That’s right ladies! Only 9 legislative days remain in the horrific career of Big Gov’t, gun grabbing, abortion on dem…</t>
  </si>
  <si>
    <t>RT @JW1057: @jrosenbaum @EricGreitens @mattmfm 
Greitens vs Schneiderman. 
#moleg #mogov #greitens #KimShady #IStandWithGreitens https://…</t>
  </si>
  <si>
    <t>ATTENTION #moleg 
Has anybody seen Scott Faughn?
Is anybody asking:
✔Where his money came from?
✔What was it for?
✔Why didnt he disclose it?
✔Was there more?
✔Did KS/PS get some?
✔Bank Statements?
✔Skyler?
LOL!!!
#mogov #missouri #Greitens #STL #StLouis #kcmo #kcmo https://t.co/FBfKqR5ZTs</t>
  </si>
  <si>
    <t>RT @HotPokerPrinces: The Acuser never said she was coerced into a sex act
In fact she said she gave consent. relations were consensual 
Th…</t>
  </si>
  <si>
    <t>RT @HotPokerPrinces: The “NAKED TRUTHS”
No Photo or Copy has ever been seen
Accuser Never told the Committee
She used FaceTime with Greit…</t>
  </si>
  <si>
    <t>RT @HotPokerPrinces: There’s No Device this Alledged Photo was taken
The Acuser has Never seen the Alledged Photo
No Evidence the Alledge…</t>
  </si>
  <si>
    <t>RT @HotPokerPrinces: “Reeks of Sactions” is what Judge Burlison has said of Prosecution. The bad stench of Lies. 
Follow Along  ⬇️⬇️⬇️
#G…</t>
  </si>
  <si>
    <t>RT @HotPokerPrinces: House Committee has not yet heard Greitens side of the story.  He has stated, post trial he will be able to share his…</t>
  </si>
  <si>
    <t>RT @HotPokerPrinces: A Conscience Affair 
Follow Along  ⬇️⬇️⬇️
#Greitens #Schneiderman https://t.co/Gzr6r6g1N3</t>
  </si>
  <si>
    <t>RT @HotPokerPrinces: Closed Door House Investigative committee Never Cross Examined witness that they found credible.
What’s a sexy workou…</t>
  </si>
  <si>
    <t>RT @HotPokerPrinces: The Only Thing Greitens &amp;amp; Schneiderman have in common is the fact they both have the same 1st name Eric
Let’s Review…</t>
  </si>
  <si>
    <t>RT @magathemaga1: @pochelp @VisioDeiFromLA @EricGreitens Oh but they are lying.
Take for example the failure to cross examine the witness…</t>
  </si>
  <si>
    <t>RT @AndyHortin18: David Limbaugh: Here's what's ironic: The Mueller investigation is set on the pretense of protecting democracy, yet we ha…</t>
  </si>
  <si>
    <t>RT @DLoesch: Full video of Hollywood anti-gun group and their hired guns running families out of public parks because someone asked a quest…</t>
  </si>
  <si>
    <t>RT @RealTravisCook: "We just want common sense gun legislation!" they always say...Ok, if  you want common sense gun legislation, then lets…</t>
  </si>
  <si>
    <t>RT @IngrahamAngle: Bob Mueller is suddenly on the defense after the special counsel's very bad week in court. In just a minute, Andy McCart…</t>
  </si>
  <si>
    <t>@DeplorableGoldn @LoveHateAllEmot @flipsville @FoxNews #Greitens #GreitensIndictment #STL https://t.co/JcGLUxesS8</t>
  </si>
  <si>
    <t>@DeplorableGoldn @LoveHateAllEmot @flipsville @FoxNews #Greitens https://t.co/8H4xKMFtAK</t>
  </si>
  <si>
    <t>@pochelp @VisioDeiFromLA @EricGreitens @blackwidow07 @HotPokerPrinces @SKOLBLUE1 @Norasmith1000 @Sticknstones4 @RealTravisCook @Hope4Hopeless1 @Lautergeist @BillEigel @ErgoStreetNurse @Eric_Schmitt @Neilin1Neil @joshdcaplan @RepAnnWagner @RepBlainePress @CornejoForMO I see you cant actually refute the facts. Thanks for confirming I'm right</t>
  </si>
  <si>
    <t>@pochelp @VisioDeiFromLA @EricGreitens @blackwidow07 @HotPokerPrinces @SKOLBLUE1 @Norasmith1000 @Sticknstones4 @RealTravisCook @Hope4Hopeless1 @Lautergeist @BillEigel @ErgoStreetNurse @Eric_Schmitt @Neilin1Neil @joshdcaplan Read.
#greitens #missouri https://t.co/1N5AnvMJS2</t>
  </si>
  <si>
    <t>@pochelp @VisioDeiFromLA @EricGreitens @blackwidow07 @HotPokerPrinces @SKOLBLUE1 @Norasmith1000 @Sticknstones4 @RealTravisCook @Hope4Hopeless1 @Lautergeist @BillEigel @ErgoStreetNurse @Eric_Schmitt @Neilin1Neil @joshdcaplan #Greitens #GreitensCriminalCase #GreitensIndictment #greitensreport https://t.co/ySujnsc494</t>
  </si>
  <si>
    <t>@pochelp @VisioDeiFromLA @EricGreitens @blackwidow07 @HotPokerPrinces @SKOLBLUE1 @Norasmith1000 @Sticknstones4 @RealTravisCook @Hope4Hopeless1 @Lautergeist @BillEigel @ErgoStreetNurse #Greitens https://t.co/X71FvKeYBZ</t>
  </si>
  <si>
    <t>@pochelp @VisioDeiFromLA @EricGreitens Oh but they are lying.
Take for example the failure to cross examine the witness 
So her house testimony and her criminal testimony didnt match up.
She lied
She has no credibilty.
You arent paying attention 
#moleg #mogov #greitens #STL https://t.co/d3JrneF1E5</t>
  </si>
  <si>
    <t>RT @Jillibean557: BREAKING: General Michael Flynn endorses Troy Downing for U.S. Senate, slams his opponent Sen. John Tester for spreading…</t>
  </si>
  <si>
    <t>@pochelp @VisioDeiFromLA 1. The media is lying 
2. The Republican legislature is lying 
3. You are in California and aren’t paying attention 
4. Party lines don’t matter. This is outsider vs insider,
5. Read the attached images,
6. It was a consensual kinky affair
7. She’s already been caught lying https://t.co/nzqgxWl9wr</t>
  </si>
  <si>
    <t>RT @magathemaga1: I have to give @scottfaughn some credit. This making him look like ultimate media mogul in #Missouri cuz MO media FOLLOWI…</t>
  </si>
  <si>
    <t>I have to give @scottfaughn some credit. This making him look like ultimate media mogul in #Missouri cuz MO media FOLLOWING his lead on not doing any investigative reporting into this
I wonder if @tonymess has to get his column approved by Scott? 
#moleg #mogov #Greitens #STL https://t.co/ayHTT70jl3</t>
  </si>
  <si>
    <t>RT @magathemaga1: Why would Eric resign over a fake story?
You still believe that ?
✔Contradictory testimony (she lied)
✔Money dropped of…</t>
  </si>
  <si>
    <t>RT @magathemaga1: You know the hairdresser and abuse story is completely made up Chelsea.... it was a consensual affair.
Not paying attent…</t>
  </si>
  <si>
    <t>RT @SpeakerTimJones: So another self-righteous, sanctimonious, “holier than thou”, fake, fraud Dem goes down. Head’s up @staceynewman - #MO…</t>
  </si>
  <si>
    <t>RT @magathemaga1: Maybe Schneiderman is guilty and @EricGreitens is innocent?
Certainly the contradictory testimony from KS (She Lied) wou…</t>
  </si>
  <si>
    <t>RT @magathemaga1: It's illegal
Daca never constitutional, but even so @realDonaldTrump offered a very generous offer that he didnt have to…</t>
  </si>
  <si>
    <t>RT @TomJEstes: Things continue to go down hill for poor Scott. #findscott #MOLeg https://t.co/nNIYRsTxdp</t>
  </si>
  <si>
    <t>RT @DeplorableGoldn: RT 🚨
. @EricGreitens attorneys want to question @scottfaughn but they’ve been unable to serve him with a subpoena.
“F…</t>
  </si>
  <si>
    <t>Why would Eric resign over a fake story?
You still believe that ?
✔Contradictory testimony (she lied)
✔Money dropped off to lawyer
✔Text messages showing intent to profit
✔Consensual 
LOL!!!
You paying attention?
#moleg #mogov #greitens #STL #kcmo #Missouri #stlouis https://t.co/MIc5T65phW</t>
  </si>
  <si>
    <t>RT @TrumpChess: The deep state swamp of corrupt politicians want you and @POTUS to resign or be impeached -- show me some evidence! Keep up…</t>
  </si>
  <si>
    <t>RT @SKOLBLUE1: @DaRon_McGee @PeterforMO @crystal_quade @Dougbeck562 @Martha4MO @EricGreitens Wow! No honor to the employees that work for t…</t>
  </si>
  <si>
    <t>You know the hairdresser and abuse story is completely made up Chelsea.... it was a consensual affair.
Not paying attention...
#moleg #mogov #Greitens https://t.co/Qh5etHDQYS</t>
  </si>
  <si>
    <t>It's illegal
Daca never constitutional, but even so @realDonaldTrump offered a very generous offer that he didnt have to offer &amp;amp; dems spit on it
Democrats spit on DACA
@gop actually stuck up for them, despite them being illegals with deferred deportation orders
#moleg #mogov https://t.co/bhlrd9Whza</t>
  </si>
  <si>
    <t>Maybe Schneiderman is guilty and @EricGreitens is innocent?
Certainly the contradictory testimony from KS (She Lied) would indicate so.
And then the whole 120 grand being dropped off to the lawyer....
#moleg #mogov #Greitens https://t.co/ktlahgNY05</t>
  </si>
  <si>
    <t>RT @NickBSchroer: The good fight isn't always a pleasant one #moleg https://t.co/QIn64H5qp3</t>
  </si>
  <si>
    <t>RT @MSTLGA: Fake News Missouri Times
Stories Pimped to You and 
Paid For by Lobbyists &amp;amp; special interests groups 
Bought Narratives are not…</t>
  </si>
  <si>
    <t>@NoMoSocialism75 @Sticknstones4 @SKOLBLUE1 @Shawtypepelina @EdBigCon @Eric_Schmitt @Avenge_mypeople @jrosenbaum @HennessySTL @HotPokerPrinces @Norasmith1000 That's weird where did u get the screen shot? Cached?</t>
  </si>
  <si>
    <t>RT @VisioDeiFromLA: @ScottCharton 
Where is UR buddy Faughn? Any radio communication? 
Not buddies anymore? I think the public would like…</t>
  </si>
  <si>
    <t>RT @SKOLBLUE1: Well this is interesting! @scottfaughn  where are you? #moleg #mosen #STL #Benchwarrant @FBIStLouis this sounds like crimina…</t>
  </si>
  <si>
    <t>RT @HennessySTL: Taking Stoicism Beyond the Self: The Power To Change Society https://t.co/eX80lIZu4N https://t.co/mbdXtJ7SLB</t>
  </si>
  <si>
    <t>RT @VisioDeiFromLA: Stacey Newman &amp;amp; KS TEXTS 
Coordinating with KG?
“Ms. Newman sent a text to K.S., providing K.S. the name and phone nu…</t>
  </si>
  <si>
    <t>RT @Monetti4Senate: Met w/ Ambassador &amp;amp; Senior Trade Advisor to the European Union in St Louis at the World Trade Center so as to build rel…</t>
  </si>
  <si>
    <t>RT @RyanSPowers: "Does something about it." = Voting with Barack Obama 93% of the time. #MOSen https://t.co/1Wma8nuR04</t>
  </si>
  <si>
    <t>@SKOLBLUE1 @NoMoSocialism75 @Shawtypepelina @Sticknstones4 @EdBigCon @Eric_Schmitt @Avenge_mypeople @jrosenbaum @HennessySTL @HotPokerPrinces @Norasmith1000 U got the link or what should I search for? I can probably find a cached version</t>
  </si>
  <si>
    <t>@NoMoSocialism75 @Shawtypepelina @Sticknstones4 @EdBigCon @Eric_Schmitt @SKOLBLUE1 @Avenge_mypeople @jrosenbaum @HennessySTL @HotPokerPrinces @Norasmith1000 Lol. I don’t believe that for a second. But let’s play along. Where did you hear that? And how do you go 11k in debt to keep a story quiet? Lawyers? That seems suspect, as he shopped this tape around during 2016 election also per reporting and depos</t>
  </si>
  <si>
    <t>@NoMoSocialism75 @Shawtypepelina @Sticknstones4 @EdBigCon @Eric_Schmitt @SKOLBLUE1 @Avenge_mypeople @jrosenbaum @HennessySTL @HotPokerPrinces @Norasmith1000 @HawleyMO Not hot on Hawley but to be fair, I don’t know a lot about him, but how do you get the akin comparison? Lot of people could say the same about @AP4Liberty or @SykesforSenate . How do you arrive at that supposition?</t>
  </si>
  <si>
    <t>@fox4kc @41actionnews @KCTV5 @kmbc @Project_Veritas @BooneCoMOGOP @shesova @PoliticalShort @PaidRussianBot @Pantszilla77 @AWESOMECQ @JessicaKSDK @Rambobiggs @BillEigel @joel_capizzi @joelpollak @gatewaypundit @ggreenwald @jerome_corsi @christoferguson @tonycolombo971 @tonymess</t>
  </si>
  <si>
    <t>@NoMoSocialism75 @Shawtypepelina @Sticknstones4 @EdBigCon @Eric_Schmitt @SKOLBLUE1 @Avenge_mypeople @jrosenbaum @HennessySTL @HotPokerPrinces @Norasmith1000 Yeah, I know. Media is dirty. Just imagine what they will throw up against #MoSen candidate that is conservative whole carrying water for Claire</t>
  </si>
  <si>
    <t>@Avenge_mypeople @NoMoSocialism75 @Shawtypepelina @Sticknstones4 @EdBigCon @Eric_Schmitt @SKOLBLUE1 @jrosenbaum @HennessySTL @HotPokerPrinces @Norasmith1000 Yup</t>
  </si>
  <si>
    <t>@NoMoSocialism75 @Shawtypepelina @Sticknstones4 @EdBigCon @Eric_Schmitt @SKOLBLUE1 @Avenge_mypeople @jrosenbaum @HennessySTL @HotPokerPrinces @Norasmith1000 Yeah, apparently it was more than 100k which isn’t surprising. If somebody is willing to pay that much to have a woman make up a story, they’d probably spend more.
#moleg #mogov #greitens</t>
  </si>
  <si>
    <t>RT @CJheartart: Don’t fall for this! It’s as dirty for Missouri as a initiative can be! #moleg #BeInformed https://t.co/GlLJ1VHIXN</t>
  </si>
  <si>
    <t>RT @Norasmith1000: @VisioDeiFromLA I had a feeling from the beginning that Stacey Newman was heavily involved in this, she hates Greitens!…</t>
  </si>
  <si>
    <t>RT @HennessySTL: Meet the Mole. Soon. Very soon. #moleg you will never forget. https://t.co/D2Wpg4I3e6</t>
  </si>
  <si>
    <t>RT @VisioDeiFromLA: So, we still have investigative reporters, don't we?
This is very critical.
It needs to be investigated and it  shows…</t>
  </si>
  <si>
    <t>RT @CStamper_: Prior to opening an investigation, and without disclosing it, Soros-backed prosecutor Kim Gardner communicated “with Missour…</t>
  </si>
  <si>
    <t>RT @CStamper_: “A prosecutor knows not to meet a witness alone. It’s simply not done.” Yet Soros-backer prosecutor Kim Gardner and her “lea…</t>
  </si>
  <si>
    <t>RT @magathemaga1: The #GreitensIndictment FACTS
#moleg #mogov #MOSen #missouri #stlouis #STL #kcmo #greitenscriminalcase #KansasCity #Witc…</t>
  </si>
  <si>
    <t>RT @magathemaga1: #GreitensCriminalCase #Greitens #kcmo #stlouis #STL #missouri #GreitensIndictment #Witchhunt #BREAKING #Witchhunt #Kansas…</t>
  </si>
  <si>
    <t>The #GreitensIndictment FACTS
#moleg #mogov #MOSen #missouri #stlouis #STL #kcmo #greitenscriminalcase #KansasCity #WitchHunt #KimShady #MoneyBagsAl #ScammingScott #TriflingTisaby #BREAKING https://t.co/DykNod3eUt</t>
  </si>
  <si>
    <t>RT @CStamper_: “One of the lead witnesses in this case... was paid for his testimony and participation, by forces unknown. The prosecutor k…</t>
  </si>
  <si>
    <t>#GreitensCriminalCase #Greitens #kcmo #stlouis #STL #missouri #GreitensIndictment #Witchhunt #BREAKING #Witchhunt #KansasCity #KimShady #ThisIsAmerica #justice
Fun fact on The @EricGreitens issue. https://t.co/ywtBLNXuPB</t>
  </si>
  <si>
    <t>RT @magathemaga1: Apparently 70 grand dropped off 2 #MoneyBagsAl not 50k
✔Meanwhile, who is Skyler?
✔What was money for?
✔Where did #Scamm…</t>
  </si>
  <si>
    <t>Apparently 70 grand dropped off 2 #MoneyBagsAl not 50k
✔Meanwhile, who is Skyler?
✔What was money for?
✔Where did #ScammingScott get it?
✔Where is Scotty now?
✔Will Al Watkins next excuse be even more outlandish?
#moleg #mogov #Greitens #GreitensCriminalCase #STL #kcmo https://t.co/J4K7MnyGFT</t>
  </si>
  <si>
    <t>RT @magathemaga1: FYI #GreitensCriminalCase
This is a complete and total witch hunt!
@RealTravisCook 
@Eric_Schmitt 
@MOHouseGOP 
@Missou…</t>
  </si>
  <si>
    <t>FYI #GreitensCriminalCase
This is a complete and total witch hunt!
@RealTravisCook 
@Eric_Schmitt 
@MOHouseGOP 
@MissouriGOP 
@BooneCoMOGOP 
@SpeakerTimJones 
@JW1057 
@Thomas1774Paine 
@joel_capizzi 
@joelpollak 
@Rep_TRichardson 
@AP4Liberty 
#StLouis #Kcmo #greitens https://t.co/jYp1umF8KX</t>
  </si>
  <si>
    <t>RT @VisioDeiFromLA: 100 percent agree
 News Media 
Do your jobs
Or U R no better than The Missouri Times
👉Where did #ScammingScott's mo…</t>
  </si>
  <si>
    <t>RT @VisioDeiFromLA: Tweets from PS 
These are actions of somebody who is mad his wife CHEATED ON HIM with @EricGreitens 
Not actions of a…</t>
  </si>
  <si>
    <t>RT @VisioDeiFromLA: That CAO is seeking warrant 4 cell phone &amp;amp; email account week before trial SAYS EVERYTHING
1. This should've been done…</t>
  </si>
  <si>
    <t>@TomJEstes They find him????</t>
  </si>
  <si>
    <t>RT @magathemaga1: LOL!!!
WitchHunt Still On!
#ScammingScott running media while RUNNING FROM MEDIA!
#MoneyBagsAl got 20k MORE!
#KimShady…</t>
  </si>
  <si>
    <t>LOL!!!
WitchHunt Still On!
#ScammingScott running media while RUNNING FROM MEDIA!
#MoneyBagsAl got 20k MORE!
#KimShady is, well, SHADY!
BONUS:
✔️Judicial misconduct OK!
✔️#MoLeg thinks voters 4 idiots!
✔️Where did 💰 come from?
✔️No Photo!
#mogov #greitens #stl #kcmo https://t.co/cFTtpU2cLj</t>
  </si>
  <si>
    <t>RT @Avenge_mypeople: @jrosenbaum @scottfaughn That Scott Faughn sure has a lot of cash. Where'd he get it? https://t.co/DcPcXSIAAD</t>
  </si>
  <si>
    <t>RT @Sticknstones4: @jrosenbaum @scottfaughn Hi Jason, Any update on faughn receiving a supoena or is he still in hiding ?  Did judge issue…</t>
  </si>
  <si>
    <t>RT @JW1057: @Norasmith1000 No photo. 
No witness who ever saw alleged photo.
No evidence of what alleged photo depicted.
No evidence of sub…</t>
  </si>
  <si>
    <t>RT @CStamper_: Soros-backed Kim Gardner “has ignored cases that were easy wins, prosecuted cops with what looks like outright malice, and l…</t>
  </si>
  <si>
    <t>RT @Norasmith1000: @JW1057 @KRCG13 @stlcao Gardner is getting desperate isn't she?!?! Still no picture I'm guessing, maybe because there IS…</t>
  </si>
  <si>
    <t>RT @HennessySTL: And this crooked MO House committee (they all hang out in Candy Man @ScottFaughn's weird party pad in JC after hours) is a…</t>
  </si>
  <si>
    <t>RT @CStamper_: In Soros-backed prosecutor Kim Gardner’s witch hunt, “Missouri House Democratic leadership were actively conspiring with the…</t>
  </si>
  <si>
    <t>RT @CStamper_: Soros-backed prosecutor Kim Garner “needs to be removed from office in order to send a message to prosecutors around the nat…</t>
  </si>
  <si>
    <t>RT @CStamper_: Soros-backed “Kim Gardner has clearly, repeatedly and consistently violated the ethics of her profession and brought disgrac…</t>
  </si>
  <si>
    <t>RT @CStamper_: While Soros-backed prosecutor Kim Gardner focused on her political witch hunt, “almost half of all felony cases from 2018 ha…</t>
  </si>
  <si>
    <t>RT @VirginiaMAGAKAG: 🚨  #Indiana #IN 🚨
gets to VOTE this TUESDAY, MAY 8!! 🇺🇸✅ 
#IN01 #IN02 #IN03 #IN04 #IN05 #IN06 #IN07 #IN08 #IN09
Trump…</t>
  </si>
  <si>
    <t>RT @MightyBusterBro: THE LIBERAL'S COUP D'ETAT
IS REAL! 
A WAR TO OBSTRUCT &amp;amp; REMOVE PRESIDENT TRUMP.
#WitchHunt IS NOT A THEORY.
TO WIN T…</t>
  </si>
  <si>
    <t>RT @Barnes_Law: When Trump's legal team was doing a poor job defending him publicly, you never heard a peep out of the media about them but…</t>
  </si>
  <si>
    <t>RT @realDonaldTrump: Our high level delegation is on the way back from China where they had long meetings with Chinese leaders and business…</t>
  </si>
  <si>
    <t>RT @TomJEstes: I came across this today. Is this a thing? Is Scott hiding from a subpoena?? #moleg https://t.co/bJD6lj7Ofs</t>
  </si>
  <si>
    <t>RT @SpeakerTimJones: #RealNews you may have missed. Students standing up for the Second Amendment. #2A #gunsense #MOLeg  https://t.co/y6Ym7…</t>
  </si>
  <si>
    <t>RT @JW1057: @chrisregniertv @TeamGreitens @stlcao @StLCountyRepub @MissouriGOP @MissouriTimes @SheenaGreitens 
The persecution of @EricGre…</t>
  </si>
  <si>
    <t>RT @HotPokerPrinces: THE PHOTO 📸
No Device 
No Knowledge of such Picture from KS
No photo of Nudity
No transmission of photo 
#Greitens #m…</t>
  </si>
  <si>
    <t>RT @HotPokerPrinces: THE NAKED TRUTH THE MEDIA REFUSES TO TELL YOU
KS testified in her deposition n June 2015 she used FaceTime with greit…</t>
  </si>
  <si>
    <t>RT @magathemaga1: I wasn't joking #Missouri media
0 reporting on where money to #MoneyBagsAl came from makes U look like puppets &amp;amp; like Sc…</t>
  </si>
  <si>
    <t>I wasn't joking #Missouri media
0 reporting on where money to #MoneyBagsAl came from makes U look like puppets &amp;amp; like Scott is running the show! 
Is he?
Many unanswered questions here:
Where did money come from?
-Did KS/PS get a cut?
-Text messages
-Etc
#moleg #mogov #STL https://t.co/9bUyYHd93s</t>
  </si>
  <si>
    <t>RT @HotPokerPrinces: @kmov @ksdk @kmoxnews @stltoday @RiverfrontTimes @KCStar @Missourinet @NewsTribune @springfieldNL @JoplinGlobe  @Misso…</t>
  </si>
  <si>
    <t>#Missouri Media
Scott Faughn DICTATING journalism in state, as none of U, with few exceptions, will report on where money he gave AL came from...
Are U afraid of Scotty?
By not investigating, U have proven yourselves to be horrible journalists 
#moleg #mogov #greitens #STL https://t.co/wgnYiUFgxT</t>
  </si>
  <si>
    <t>RT @YearOfZero: @ads302s @JW1057 @blackwidow07 @Neilin1Neil @A_Tall_Turner @stltoday @EricGreitens And as we are finding out, there is a li…</t>
  </si>
  <si>
    <t>RT @YearOfZero: @Neilin1Neil @ads302s @JW1057 @blackwidow07 @A_Tall_Turner @stltoday @EricGreitens U still can’t say normal behavior of a h…</t>
  </si>
  <si>
    <t>RT @PoliticalShort: Mueller has no worries about how to pay for his legal team: We pay for it. Not only is Mueller personally unaffected by…</t>
  </si>
  <si>
    <t>RT @RyanAFournier: Liberals say, "If confiscating guns saves just one life, it's worth it". Well then, if deporting all illegal immigrants…</t>
  </si>
  <si>
    <t>RT @RepStevenSmith: @CNN We can stay home next time. https://t.co/QfrE2TXKqQ</t>
  </si>
  <si>
    <t>RT @DrWestheimer: One of the best moment of my life was watching @realDonaldTrump being sworn in as @POTUS. I’m proud of my President and t…</t>
  </si>
  <si>
    <t>RT @vnuek: 'We may have to close up our country to get this straight': Trump floats the idea of shutting down the border and says 'you can'…</t>
  </si>
  <si>
    <t>RT @Thomas1774Paine: Study: ‘Collective Narcissism’ Drives Liberal Belief in Fake News https://t.co/WVfwbAvkD4</t>
  </si>
  <si>
    <t>RT @RealCandaceO: White people make up over 63% of America. If this country was fundamentally racist, Obama could NOT have served two terms…</t>
  </si>
  <si>
    <t>RT @gatewaypundit: IT'S TIME=&amp;gt; Hold AWOL AG Sessions in Contempt! His DOJ and FBI are Corrupt - His Mueller Probe is Out of Control https:/…</t>
  </si>
  <si>
    <t>@Vets4AP @TheTrussel @NoMoSocialism75 @LovesRemo @BigLeague2020 @realDonaldTrump @SykesforSenate @AP4Liberty @POTUS @HawleyMO Dude imagine liberals would cry like babies. Gun shooting, and then go on a white tail hunt. With the hero shot. Whoever gets best buck, wins.</t>
  </si>
  <si>
    <t>@Vets4AP @TheTrussel @NoMoSocialism75 @LovesRemo @BigLeague2020 @realDonaldTrump @SykesforSenate @AP4Liberty @POTUS @HawleyMO I actually love this idea.</t>
  </si>
  <si>
    <t>@TheTrussel @NoMoSocialism75 @LovesRemo @BigLeague2020 @realDonaldTrump @SykesforSenate @AP4Liberty @POTUS @HawleyMO Since your a @AP4Liberty fanboy, here a question, has Hawley shot a gun on camera? I know this sounds silly, but he’s the only guy I haven’t seen a gun ad for. I want to do a comparison on who fires a gun the best lol</t>
  </si>
  <si>
    <t>@TheTrussel @NoMoSocialism75 @LovesRemo @BigLeague2020 @realDonaldTrump @SykesforSenate @AP4Liberty @POTUS @HawleyMO He’s big picture. What we need are a million Stephen millers by his side. Part of this problem is obstruction and dc making it hard to hire outsiders</t>
  </si>
  <si>
    <t>@TheTrussel @NoMoSocialism75 @LovesRemo @BigLeague2020 @realDonaldTrump @SykesforSenate @AP4Liberty @POTUS @HawleyMO Look trump is just the vessel. He ain’t perfect, but he’s the best shot at getting some real conservative/liberty based stuff since Reagan and he’s already delivered, but more work to be done. 
The staffing issue is a big issue. Too many swamp people surrounding him.</t>
  </si>
  <si>
    <t>@TheTrussel @NoMoSocialism75 @LovesRemo @BigLeague2020 @realDonaldTrump @SykesforSenate @AP4Liberty @POTUS @HawleyMO Omnibus was a distaster. No sugar coating it. The problem I see is more of a staffing issue. I don’t expect trump read a 500 page thing, but he needs staff surrounding him helping him and people in senate/congress pushing back on nonsense.</t>
  </si>
  <si>
    <t>@TheTrussel @NoMoSocialism75 @LovesRemo @BigLeague2020 @realDonaldTrump @SykesforSenate @AP4Liberty @POTUS @HawleyMO Respect for him and ted Cruz went up after election as they didnt act like major douches because they lost to trump. Gotta make sure Cruz wins reelection also</t>
  </si>
  <si>
    <t>@TheTrussel @NoMoSocialism75 @LovesRemo @BigLeague2020 @realDonaldTrump @SykesforSenate @AP4Liberty @POTUS @HawleyMO Yeah, I love rand, but he can be frustrating at times, but his intentions are always good and principled, and I'm glad we have him because hes been major ally of trump, and im with him on abolishing fisa courts. He is strong on border for most part, and stands his ground.</t>
  </si>
  <si>
    <t>@TheTrussel @NoMoSocialism75 @LovesRemo @BigLeague2020 @realDonaldTrump @SykesforSenate @AP4Liberty @POTUS @HawleyMO Your absolutism isnt persuasive. I dont like ladderboy, but to be fair, I haven't heard him speak much or articulate much. 
Obviously rand paul in the Senate would be far better than a Lindsey Graham. But trump needs back up. He also needs somebody to keep him on right course</t>
  </si>
  <si>
    <t>@TheTrussel @NoMoSocialism75 @LovesRemo @BigLeague2020 @realDonaldTrump @SykesforSenate @AP4Liberty @POTUS In this case, what trump said there was bad, but that's a rare occasion and we know he misspoke.</t>
  </si>
  <si>
    <t>@TheTrussel @NoMoSocialism75 @LovesRemo @BigLeague2020 @realDonaldTrump @SykesforSenate @AP4Liberty @POTUS On "some" things. But we also need far more people who will back him fully. 
No more Lindsey Grahams blocking stuff when he is actually doing conservative things</t>
  </si>
  <si>
    <t>RT @JW1057: @KathieConway @aaron_hedlund Guilt must be proven beyond a reasonable doubt. When the state fails to prove guilt the verdict is…</t>
  </si>
  <si>
    <t>RT @aaron_hedlund: Consider for one moment the possibility that Greitens may actually be innocent. Why would he ever resign? If you can't e…</t>
  </si>
  <si>
    <t>RT @Sticknstones4: #moleg Lawmakers need to cancel your Missouri Times https://t.co/PkBkvlnnis</t>
  </si>
  <si>
    <t>RT @thealexvanness: @splcenter Next up on the SPLC’s hate group list... https://t.co/SiwOxSGcUa</t>
  </si>
  <si>
    <t>RT @TomJEstes: Scott Charton is an expert on leadership. #noheisnt #moleg https://t.co/zKf8VxF12U</t>
  </si>
  <si>
    <t>RT @kwilli1046: How is it that Sally Yates used the Logan Act to interrogate General Flynn for conversations w/Russian Ambassador Kislyak a…</t>
  </si>
  <si>
    <t>RT @RichardTBurnett: Trump Women...👍🏻😎 https://t.co/eeBzFlfG7v</t>
  </si>
  <si>
    <t>RT @AJA_Cortes: #ProtrainerTip
-you all need to be training back WAY MORE than your front 
For every rep of pressing, you should do 3 rep…</t>
  </si>
  <si>
    <t>RT @SpeakerTimJones: RIGHT NOW: The Tim Jones Show! @971FMTalk 7-9p CDT - UP NEXT: #MOLeg State Senator @BobOnderMO w/ some BREAKING NEWS!…</t>
  </si>
  <si>
    <t>RT @melody_grover: @MissouriGOP needs to sanction #mosen primary debates. The people lose when DC butts in. The state party has to be the o…</t>
  </si>
  <si>
    <t>@AngelaLily0501 Mueller and RR needs to go!</t>
  </si>
  <si>
    <t>RT @AngelaLily0501: No coincidences. #QAnon #MAGA #Mueller #MuellerSham #JohnKerry #ThisIsAmerica #STLCards #moleg https://t.co/q3rIjdBVcm</t>
  </si>
  <si>
    <t>RT @VisioDeiFromLA: Right thing is to fight obviously fake charges if they are. The Hairdresser story is clearly fake. Tell me colleen. Are…</t>
  </si>
  <si>
    <t>RT @aaron_hedlund: Translation: the liberal media wants Greitens to resign even if he's innocent. There is nothing that could possibly happ…</t>
  </si>
  <si>
    <t>RT @JW1057: @StLCountyRepub @EricGreitens @TeamGreitens @SheenaGreitens 
I am truth and justice and @stlcao and @jaybarnes5 are frauds!…</t>
  </si>
  <si>
    <t>RT @WiredSources: BREAKING: After being caught colluding with John Kerry, Iran says US would regret quitting nuclear deal 'like never befor…</t>
  </si>
  <si>
    <t>RT @VisioDeiFromLA: All them "Parson Tax Credit Bots" dont care about due process
If list an issue, should have been the basis for case &amp;amp;…</t>
  </si>
  <si>
    <t>RT @FoxNews: Rudy Giuliani: "There is no evidence of collusion with the Russians, gone. There's no evidence of obstruction of justice. Ever…</t>
  </si>
  <si>
    <t>RT @JW1057: @JeffSmithMO @ScottCharton If the story is true, then it boils down to a citizen exercising his constitutional right. It's the…</t>
  </si>
  <si>
    <t>RT @Sticknstones4: And that key player was Stacey Newman.  Texts were found from her to Ks conspiring with house dem leadership &amp;amp; Kim Gardn…</t>
  </si>
  <si>
    <t>RT @Sticknstones4: The fact that the media would report this falsehood is just another indication of how biased the coverage of this case h…</t>
  </si>
  <si>
    <t>RT @SKOLBLUE1: Has anyone in #Missouri seen @scottfaughn ? Has anyone seen a #corrupt politician or owner of the #MissouriTimes ? Rachel Du…</t>
  </si>
  <si>
    <t>@thefirstTessa @stltoday Are u in Missouri? Its definitely a scam</t>
  </si>
  <si>
    <t>RT @magathemaga1: 🚨 POLL TIME 🚨 
Good evening #MoLeg #MoGov
In the event that @EricGreitens resigns or is impeached over this witch hunt…</t>
  </si>
  <si>
    <t>🚨 POLL TIME 🚨 
Good evening #MoLeg #MoGov
In the event that @EricGreitens resigns or is impeached over this witch hunt &amp;amp; the fake KS story, what are the odds @mikeparson rolls back #Greitens tax credit reforms &amp;amp; resumes the corruption?
#greitens #missouri #stlouis #stl #kcmo</t>
  </si>
  <si>
    <t>RT @magathemaga1: #MoLeg #Mogov
What's all this talk about Scott Faughn going into hiding?
It's ok cuz even if he was, I'm sure #MISSOURI…</t>
  </si>
  <si>
    <t>#MoLeg #Mogov
What's all this talk about Scott Faughn going into hiding?
It's ok cuz even if he was, I'm sure #MISSOURI media is asking great questions like:
✔Where did money come from?
✔What was it for?
✔Did KS or PS get this money
✔Who is Skyler?
Right?
#Greitens #stl https://t.co/GcMQ4tRPKi</t>
  </si>
  <si>
    <t>@NeilStruharik @LovesRemo @NoMoSocialism75 @BigLeague2020 @realDonaldTrump @SykesforSenate @AP4Liberty @POTUS What I do like about all this? There is fierce debate. It shows lot of passion on the right in Missouri</t>
  </si>
  <si>
    <t>RT @SaraCarterDC: .@DevinNunes sent classified letter to AG Sessons asking for info/ AG Sessions DOJ ignored—-Move forward with contempt re…</t>
  </si>
  <si>
    <t>RT @realDonaldTrump: Our Southern Border is under siege. Congress must act now to change our weak and ineffective immigration laws. Must bu…</t>
  </si>
  <si>
    <t>RT @RealTravisCook: We should also send our military to the border and treat it like the war zone that it is! #BuildTheWall #maga https://t…</t>
  </si>
  <si>
    <t>RT @RealCandaceO: Fun fact: I don’t drink alcohol. 
But if I did, I would have a beer with @PrisonPlanet. This video is EPIC 😂😂 
Spot-on an…</t>
  </si>
  <si>
    <t>RT @EdBigCon: @GovGreitensMO Speaking at the Missouri Law Enforcement Memorial.
What a solemn event honoring those that gave all. #moleg ht…</t>
  </si>
  <si>
    <t>RT @VisioDeiFromLA: Everything I dont like is "Alt-Right" or "Russian" or a "bot"
I call it The emotional child's guide to online politica…</t>
  </si>
  <si>
    <t>RT @DuellLauderdale: No matter who you support in #MOSen primary I think we should want to see robust #debate. Incldng a traditional live d…</t>
  </si>
  <si>
    <t>@NoMoSocialism75 @Shawtypepelina @BigLeague2020 @realDonaldTrump @SykesforSenate @AP4Liberty @POTUS @tpusa_mizzou Tickets?</t>
  </si>
  <si>
    <t>RT @ResignNowKim: @RGreggKeller @BarklageCompany @johnrhancock Grassroots ain’t happy.  Judgment day’s a comin’.  Are your candidates prepa…</t>
  </si>
  <si>
    <t>RT @VisioDeiFromLA: Why #STL CA Kim Gardner Must Be Investigated—and Stopped
"#StLouis CA Kim Gardner has clearly, repeatedly &amp;amp; consistent…</t>
  </si>
  <si>
    <t>What about Obamas lies, Jake? https://t.co/noUVzHR1JM</t>
  </si>
  <si>
    <t>RT @VisioDeiFromLA: Key points of this article
1. The inappropriate contact between Kim Gardner, the lead witness in this case, and member…</t>
  </si>
  <si>
    <t>@blackwidow07 @FN4AP @ohsynesthesia @SuchHate @Blackboxhalo @Koenig4MO @shesova @johncombest @joelpollak @BooneCoMOGOP @STLCountyGOP @stlyrs @StLCountyRepub @SykesforSenate @ChanelRion @strmsptr @Hope4Hopeless1 @DaynaGould @grcfay @wu_ferguson @RetNavy93 @TonyMonetti @TheNewRight @EricGreitens @TheJusticeDept Well... I'll tell you about the constitutional crisis that we are currently in at another time that the media isnt reporting
Major reform is needed with the fisa courts</t>
  </si>
  <si>
    <t>RT @BrandonBEP78: @Pickles0201 @BigLeague2020 @NoMoSocialism75 @magathemaga1 @realDonaldTrump @SykesforSenate @AP4Liberty @POTUS If we don'…</t>
  </si>
  <si>
    <t>RT @JenWoodruff79: @4USAtoday @Barnes_Law @PerryBullock Meaning Rod Rosenstein had no legal authority to expand Mueller’s scope beyond Russ…</t>
  </si>
  <si>
    <t>RT @Harlan: “I dream about going up against Pocahontas”
-@realDonaldTrump 
Lolol 😂
#MAGA 🇺🇸 https://t.co/CMYuwS2Yrl</t>
  </si>
  <si>
    <t>RT @Red_State_Rebel: But of course . . . is America now a "Banana Republic"?
Seems like it is.
Comey told lawmakers FBI agents saw 'no phy…</t>
  </si>
  <si>
    <t>RT @magathemaga1: #MoGov #MoLeg 
🚨 POLL 🚨
Which #MoSen candidate has proper charisma &amp;amp; personality to beat Claire in November? Elections…</t>
  </si>
  <si>
    <t>#MoGov #MoLeg 
🚨 POLL 🚨
Which #MoSen candidate has proper charisma &amp;amp; personality to beat Claire in November? Elections are about issues, but also the person, &amp;amp; people want to see themselves in the candidate
@AP4Liberty @Monetti4Senate @SykesforSenate @HawleyMO 
#missouri</t>
  </si>
  <si>
    <t>RT @SKOLBLUE1: @stlpublicradio @ScottCharton "It's too bad we couldn't have gotten the Missouri Legislature to go after the crime in St. Lo…</t>
  </si>
  <si>
    <t>RT @kanyewest: take a walk outside.  Fresh air is healing</t>
  </si>
  <si>
    <t>RT @HotPokerPrinces: @ksdk Please do not have biased journalist influenced by their own hatred  commenting on air regarding greitens being…</t>
  </si>
  <si>
    <t>RT @RealJamesWoods: Tim Allen is one of the best comedy actors alive. I still laugh out loud watching #GalaxyQuest and I’ve seen it half a…</t>
  </si>
  <si>
    <t>RT @Norasmith1000: @HotPokerPrinces Well, we all knew there was a good reason Kitty fought so hard to keep the defense from getting hold of…</t>
  </si>
  <si>
    <t>RT @jcavaiani: #moleg #mogov https://t.co/rBcMPhOdpw</t>
  </si>
  <si>
    <t>RT @WesleyWeglarek: Governor Greitens is currently speaking at the annual Law Enforcement Memorial Service to remember all of those officer…</t>
  </si>
  <si>
    <t>#MoLeg #MoGov 
Governor #Greitens is currently speaking at the annual Law Enforcement Memorial Service to remember all of those officers who have died during service @KOMUnews
#stlouis #missouri #stl #kcmo https://t.co/Ry07toW8va</t>
  </si>
  <si>
    <t>RT @HotPokerPrinces: Follow this Money Trail 💵💰💵💰👇👇
Check the Republic Services, Tilley, Bardgett, Lathrop &amp;amp; Gage money trail
Who are the…</t>
  </si>
  <si>
    <t>RT @Hope4Hopeless1: @magathemaga1 @realDonaldTrump https://t.co/3mqCk0jQYB
Please listen to US Senate Candidate #MOSEN .@SykesforSenate fro…</t>
  </si>
  <si>
    <t>RT @TheNewRight: Geeezzee Loueeeeze..
Somebody is having a bad day. 
Gettin’ mentioned in some pretty troublesome tweets..
Gettin’ twist…</t>
  </si>
  <si>
    <t>RT @HotPokerPrinces: @TheNewRight https://t.co/xQtxFZCb0m</t>
  </si>
  <si>
    <t>RT @PrisonPlanet: Retweet if you still don’t care about Stormy Daniels.</t>
  </si>
  <si>
    <t>RT @Str8DonLemon: Feliz Cinco De Mayo #MoLeg #Mogov !
Margaritas at @flystl Chili's! 
#Greitens news:
1. KS text messages EXPOSED
2. 100…</t>
  </si>
  <si>
    <t>RT @RebekahWorsham: I know where I won't be eating any longer in Dallas...#2A https://t.co/q9s26Jk1b9</t>
  </si>
  <si>
    <t>RT @ChuckNASCAR: Soooooo, Twitter apparently doesn’t like us saying we need to defend our border from caravans, if you’ve been wondering wh…</t>
  </si>
  <si>
    <t>RT @Norasmith1000: @ScottCharton @KurtEricksonPD @EricGreitens @stltoday @McGrawMilhaven @550KTRS What is your point Scott? A lot has chang…</t>
  </si>
  <si>
    <t>RT @Norasmith1000: @magathemaga1 @blackwidow07 @BigJShoota @SKOLBLUE1 @HotPokerPrinces @Hope4Hopeless1 @Sticknstones4 @philip_saulter @EdBi…</t>
  </si>
  <si>
    <t>RT @RetNavy93: @stl7thward @EricGreitens You need to shut your trap and get over it. We the citizens of Missouri elected the Governor in to…</t>
  </si>
  <si>
    <t>RT @Sticknstones4: That is a problem. How in hell can you know someone is guilty but not know what he is guilty of? Sounds like a sham to m…</t>
  </si>
  <si>
    <t>RT @TomJEstes: Thanks to 1500 Soros-funded liars, this far left gerrymandering will go on the ballot. It’s no problem though, once people k…</t>
  </si>
  <si>
    <t>RT @Cernovich: Hahahaha this is f-cking everything.
Remember when I told you that Mueller indicted 13 "Russia bots" as a fake PR stunt?
W…</t>
  </si>
  <si>
    <t>RT @IngrahamAngle: Emmett Flood is a man I’ve known for 25 years, and I admire him greatly.  He is exceedingly kind, generous and humble—an…</t>
  </si>
  <si>
    <t>RT @JeanieSmithKSDK: Today, Governor @EricGreitens authorized the deployment of Missouri Army National Guard troops and resources to the so…</t>
  </si>
  <si>
    <t>RT @magathemaga1: Another dead body in Democrat ran  #Stlouis 
And all Democrats can think about is how they can smuggle more illegal alie…</t>
  </si>
  <si>
    <t>Another dead body in Democrat ran  #Stlouis 
And all Democrats can think about is how they can smuggle more illegal aliens into the country.
#mogov #moleg #mosen #stl #kcmo #missouri #invasion #immigration #breaking https://t.co/K3K4HqjqmV</t>
  </si>
  <si>
    <t>@Shawtypepelina @JBobSTL @EricGreitens @Sticknstones4 @HennessySTL @RealTravisCook @HotPokerPrinces @Lautergeist @RightSideUp313 @SKOLBLUE1 @EdBigCon @Eric_Schmitt Lol.
So tired of this talking point.
It's not about Republicans vs Democrats.
This is about outsider vs insider. That's why they hate him and setting him up! 
Plus they've already lied in their first report!</t>
  </si>
  <si>
    <t>RT @Sticknstones4: GOOD MORNING CROOKED #MOLEG 
@mikelkehoe @elijahhaahr @DougLibla25 @robschaaf
@RonFRichard @jaybarnes5 @shawnrhoads154…</t>
  </si>
  <si>
    <t>RT @HotPokerPrinces: Rep Stacey Newman, Missouri House Dem Leadership &amp;amp; St Louis Circuit Attorney Kim Gardner CONSPIRED with Greitens Mistr…</t>
  </si>
  <si>
    <t>RT @HotPokerPrinces: Some Hard Evidence of a #witchhunt in #Greitens   #moleg involvement in Lies
Gov. Greitens' lawyers: 'The lying and c…</t>
  </si>
  <si>
    <t>RT @HotPokerPrinces: Scott Faughn in hiding Evading Supoena Service for Deposition 
Bag Man that dropped 5Ok to attorney Al Watkins 
#Mol…</t>
  </si>
  <si>
    <t>RT @HotPokerPrinces: #Greitens Mistress LOL’s !!! When her friend proposes she might be Rich when the story 1st broke 
#moleg 
https://t.…</t>
  </si>
  <si>
    <t>@theknobboy @JW1057 @jrosenbaum @EricGreitens @LaurenTrager @scottfaughn Lol. He wasnt even govenor! And I'm glad you admit, it was just an affair. Sorry but people have affairs. It's a fact of life, should we go and fire everybody for having an affair?</t>
  </si>
  <si>
    <t>RT @larryelder: Attn. Special Counsel Mueller:
Good news. I think we've found some...COLLUSION!!!
"John Kerry Working To Undermine Trump…</t>
  </si>
  <si>
    <t>RT @CHIZMAGA: Do I feel bad for Illegal Immigrants? Not for a damn second.
Make your own Country great. 
We’ve got enough problems of our…</t>
  </si>
  <si>
    <t>RT @ChrisHayesTV: MO Gov's defense says recently discovered text messages reveal possibility alleged victim could profit. Court motion quot…</t>
  </si>
  <si>
    <t>RT @Sticknstones4: Missouri is #1 in Black Homocide 
How much younger are we going to allow victims to be
This boy was 14 years old killed…</t>
  </si>
  <si>
    <t>Just like Obamas ICANN HANDOVER the weakened america and free speech? https://t.co/6282HrrB1C</t>
  </si>
  <si>
    <t>RT @TheRoboCartMan: @KamalaHarris There's something not right with net neutrality.   Can't quite put my finger on it.... oh, yeah! That's i…</t>
  </si>
  <si>
    <t>RT @Gale427: MT @CStamper_: Soros-backed prosecutor Kim Gardner has already been sanctioned by the court in this witch hunt. Her handpicked…</t>
  </si>
  <si>
    <t>RT @Heart_landart: #mogov More is revealed in Missouri governor case https://t.co/ZFvAVwu8i5</t>
  </si>
  <si>
    <t>RT @magathemaga1: 3. Newman Lynch Mob
Part 3 of Allmans explanation 
#RadioFreeAllman #MoLeg #Mogov
#Greitens #missouri #STL #stlouis #ce…</t>
  </si>
  <si>
    <t>RT @magathemaga1: 2. Newman Lynch Mob
Part 2 of Allmans explanation 
#RadioFreeAllman #MoLeg #Mogov
#Greitens #missouri #STL #stlouis #ce…</t>
  </si>
  <si>
    <t>RT @magathemaga1: 1. Newman Lynch Mob 
Stacey Newman seems 2 be Involved In #greitens witch hunt in some way. She also helped organize wit…</t>
  </si>
  <si>
    <t>4. Newman Lynch Mob
The full video in its entirety can be found at this link:
https://t.co/xzK9Q7eGUC
#RadioFreeAllman #MoLeg #mogov #Greitens #stlouis #stl #missouri #kimshady #MoneyBagsAl #scammingscott #mosen</t>
  </si>
  <si>
    <t>3. Newman Lynch Mob
Part 3 of Allmans explanation 
#RadioFreeAllman #MoLeg #Mogov
#Greitens #missouri #STL #stlouis #censorship #freespeech
@jallman971 @TheNewRight https://t.co/ImSAPAxklX</t>
  </si>
  <si>
    <t>2. Newman Lynch Mob
Part 2 of Allmans explanation 
#RadioFreeAllman #MoLeg #Mogov
#Greitens #missouri #STL #stlouis #censorship #freespeech
@jallman971 @TheNewRight https://t.co/XTRAPr7zqH</t>
  </si>
  <si>
    <t>1. Newman Lynch Mob 
Stacey Newman seems 2 be Involved In #greitens witch hunt in some way. She also helped organize witch hunt over an innocuous tweet. Remember she organized LYNCH MOB against @jallman971 
#RadioFreeAllman explains: 
#MOleg #mogov #stlouis #missouri #STL https://t.co/C0VsSP4FWX</t>
  </si>
  <si>
    <t>RT @Sticknstones4: This is a gift @MariaChappelleN 
We Thank you for your fairness 😘❤️
Peace ✌️ https://t.co/xQy7MNbZsi</t>
  </si>
  <si>
    <t>RT @VisioDeiFromLA: @celestebott @GilbertBailon I publicly criticize the post dispatch daily as everybody should for your biased one sided…</t>
  </si>
  <si>
    <t>RT @VisioDeiFromLA: Your coverage has been one sided.
✔️Use same bad picture over and over
✔️Not reporting names of accusers 
✔️Minimizing…</t>
  </si>
  <si>
    <t>RT @magathemaga1: #MoGov JUSTICE AWARD goes to ...
MARIA CHAPELLE NADAL
I have criticisms, but you recognized that everybody deserves due…</t>
  </si>
  <si>
    <t>#MoGov JUSTICE AWARD goes to ...
MARIA CHAPELLE NADAL
I have criticisms, but you recognized that everybody deserves due process &amp;amp; fairness!
You've grown as a person!
Thanks 4 not signing the #moleg
Witch Hunt Petition! 
#Greitens deserves fairness
#missouri #stlouis #STL https://t.co/lSpKHh6zdF</t>
  </si>
  <si>
    <t>@s_kupp @BigLeague2020 @realDonaldTrump U in mo?</t>
  </si>
  <si>
    <t>RT @FoxNews: .@SebGorka: "Robert Mueller is trying to pin a crime on the president and it cannot be allowed. This is America." #Hannity htt…</t>
  </si>
  <si>
    <t>RT @TomFitton: Kerry making quiet play to save Iran deal with foreign leaders: report.  I'm waiting for the Left to scream treason and for…</t>
  </si>
  <si>
    <t>RT @therealroseanne: old ppl!!! register and vote! 🚨May 8th Is Critical🚨
✔️Ohio Primary
✔️Indiana Primary
✔️West Virginia Primary
✔️North…</t>
  </si>
  <si>
    <t>@SykesforSenate @Monetti4Senate @AP4Liberty</t>
  </si>
  <si>
    <t>RT @magathemaga1: #MoSen #MoGov #MoLeg 
🚨 POLL TIME 🚨
Which Senate candidate will back @realDonaldTrump the most and end this UNCONSTITUT…</t>
  </si>
  <si>
    <t>#MoSen #MoGov #MoLeg 
🚨 POLL TIME 🚨
Which Senate candidate will back @realDonaldTrump the most and end this UNCONSTITUTIONAL witch hunt on him for the mere crime of WINNING?
The Mueller investigation is like Russia, an investigation in search of crime.
Who will stop it?</t>
  </si>
  <si>
    <t>RT @CoreyLMJones: John Kerry is a traitor and a disgrace to this country.
Kerry secretly met with top-ranking Iranian officials to try and…</t>
  </si>
  <si>
    <t>RT @memoriadei: #Ialegis #Iowa thank you!! #Heartbeat #ProLife 
And #moleg you should be instead of witch hunting!</t>
  </si>
  <si>
    <t>RT @magathemaga1: 🚨 #MoLeg #MoGov #MoSen 🚨
POLL TIME!!!!
With new information coming 2 light about how accuser KS coordinated with lawmak…</t>
  </si>
  <si>
    <t>🚨 #MoLeg #MoGov #MoSen 🚨
POLL TIME!!!!
With new information coming 2 light about how accuser KS coordinated with lawmakers in the media today, how will the witch hunters try 2 distract &amp;amp; disrupt narrative next?
#moleg #mogov #greitens #GreitensIndictment #Missouri
#stl #KCMO</t>
  </si>
  <si>
    <t>RT @magathemaga1: The woman LIED
Did u not read latest news?
He is entitled to a trial and any action prior to that would be a blatant at…</t>
  </si>
  <si>
    <t>The woman LIED
Did u not read latest news?
He is entitled to a trial and any action prior to that would be a blatant attack on #Missouri voters that would make PUTIN PROUD.
What's going on here, happens in Russia. Let the process play out. Dont be like putin!
#moleg #mogov https://t.co/BPTUbzvEF1</t>
  </si>
  <si>
    <t>RT @magathemaga1: The more we learn on the  #GreitensIndictment, the more we begin to realize, when reporters FOLLOW THE MONEY, &amp;amp; facts com…</t>
  </si>
  <si>
    <t>The more we learn on the  #GreitensIndictment, the more we begin to realize, when reporters FOLLOW THE MONEY, &amp;amp; facts come out about case, #Missouri realizes EVEN MORE this is a TOTAL WITCH HUNT &amp;amp; SCAM
What reporter has guts 2 FOLLOW THE MONEY? 
#moleg #mogov #Greitens #Satire https://t.co/ySCpe3fqXV</t>
  </si>
  <si>
    <t>RT @Norasmith1000: @Sticknstones4 Pretty sure we all know who that MO rep was...lol. #moleg</t>
  </si>
  <si>
    <t>RT @Sticknstones4: #Moleg  &amp;amp; #KimShady Shame on You !   You conspired to unseat a duly elected governor 
#greitens #witchhunt 
Gov. Greite…</t>
  </si>
  <si>
    <t>RT @Sticknstones4: What on earth is he affraid of ? It’s HIS money
@MarkReardonKMOX 
Breaking Scott Faugn went into Hiding 
#greitens htt…</t>
  </si>
  <si>
    <t>RT @VisioDeiFromLA: I watched interview w/ #ScammingScott few weeks ago where u had unusual body language when speaking. Very odd.
That as…</t>
  </si>
  <si>
    <t>RT @VisioDeiFromLA: Alexandra 
How does it feel to know news is coming out the "accuser" is a liar and coordinated with #MoLeg on this sca…</t>
  </si>
  <si>
    <t>RT @HotPokerPrinces: Major Developments in #Greitens 
Gov. Greitens' lawyers: 'The lying and concealing has not stopped' https://t.co/fuWB…</t>
  </si>
  <si>
    <t>RT @TheJordanRachel: BREAKING: John Kerry has secretly met multiple times with a top-ranking Iranian official to save the Iran deal and "ap…</t>
  </si>
  <si>
    <t>RT @CLewandowski_: A well respected Law Professor at George Washington University explains why Olivia Nuzzi breaking into my place in DC is…</t>
  </si>
  <si>
    <t>RT @dcexaminer: Judge in Paul Manafort case presses DOJ to explain charges that have "nothing to do with Russia" https://t.co/X2NJdqzNa0 ht…</t>
  </si>
  <si>
    <t>RT @FoxNews: .@marklevinshow on Mueller probe: "They wanna treat [@realDonaldTrump] like they treated @MarthaStewart. Well guess what, he's…</t>
  </si>
  <si>
    <t>RT @AmericanMex067: Good luck impeaching this President for crimes that never happened! @realDonaldTrump 
#JobsReport https://t.co/AiBC3IcX…</t>
  </si>
  <si>
    <t>RT @chuckwoolery: CNN Writer Says Pro-Trump Kanye West Should Be Denied Right To Express Opinions https://t.co/wbb1vghrto https://t.co/GyjU…</t>
  </si>
  <si>
    <t>RT @mikandynothem: Democrat attacks on African Americans that depart the dark side is nothing new. 
Kanye West departure exposed exactly wh…</t>
  </si>
  <si>
    <t>RT @NRA: The #2A is about more than just gun ownership, it is about freedom! @GovAbbott 🇺🇸 #NRAAM #2A</t>
  </si>
  <si>
    <t>RT @larryelder: Attn: @SnoopDogg
"The notion that there’s some authentic way of being black, that if you’re going to be black you have to…</t>
  </si>
  <si>
    <t>RT @DRUDGE_REPORT: JOHN KERRY SHADOW DIPLOMACY EXPOSED... https://t.co/B5HzIqcwF9</t>
  </si>
  <si>
    <t>RT @DevinNunes: OMG! Logan Act violations!!  Send in the G Men... https://t.co/FA1dydJGQb</t>
  </si>
  <si>
    <t>RT @DRUDGE_REPORT: Accuses team of 'lying,' targeting president... https://t.co/NcAi6wxCXn</t>
  </si>
  <si>
    <t>RT @sean_spicier: “President Trump doesn’t care about mental health!”—say people who believe there are 67 genders</t>
  </si>
  <si>
    <t>@HotPokerPrinces @FN4AP @ohsynesthesia @SuchHate @Blackboxhalo @Koenig4MO @shesova @blackwidow07 @johncombest @joelpollak @BooneCoMOGOP @STLCountyGOP @stlyrs @StLCountyRepub @SykesforSenate @ChanelRion @strmsptr @Hope4Hopeless1 @DaynaGould @grcfay @wu_ferguson @RetNavy93 @TonyMonetti @TheNewRight @NSFMill @TweepleBug @paulmaga45 @ed_grimly @6079__Smith_W @joel_capizzi @juliematthews50 @971FMTalk @jbro_1776 @JAllman @HawleySightings @Pantszilla77 @Beatlebaby64 @88YahamaKeys @YearOfZero @blackwidow07 @BigJShoota @tracey_vinsand @TuckerCarlson @seanhannity @JW1057</t>
  </si>
  <si>
    <t>@VisioDeiFromLA @Rep_TRichardson @Eric_Schmitt @NSFMill @TweepleBug @paulmaga45 @ed_grimly @6079__Smith_W @joel_capizzi @juliematthews50 @971FMTalk @jbro_1776 @JAllman @HawleySightings @Pantszilla77 @Beatlebaby64 @88YahamaKeys @YearOfZero @blackwidow07 @BigJShoota @tracey_vinsand @TuckerCarlson @seanhannity @JW1057</t>
  </si>
  <si>
    <t>RT @Sticknstones4: #greitens motion says politics were in play starting 1-11 when MO Rep texted alleged victim “my House Dem leadership ins…</t>
  </si>
  <si>
    <t>@NSFMill @TweepleBug @paulmaga45 @ed_grimly @6079__Smith_W @joel_capizzi @juliematthews50 @971FMTalk @jbro_1776 @jallman971 @HawleySightings @Pantszilla77 @Beatlebaby64 @88YahamaKeys @YearOfZero @blackwidow07 @BigJShoota @tracey_vinsand @TuckerCarlson @seanhannity @JW1057</t>
  </si>
  <si>
    <t>@blackwidow07 @FN4AP @ohsynesthesia @SuchHate @Blackboxhalo @Koenig4MO @shesova @johncombest @joelpollak @BooneCoMOGOP @STLCountyGOP @stlyrs @StLCountyRepub @SykesforSenate @ChanelRion @strmsptr @Hope4Hopeless1 @DaynaGould @grcfay @wu_ferguson @RetNavy93 @TonyMonetti @TheNewRight Hahah. Well, I will respectfully disagree with you there.</t>
  </si>
  <si>
    <t>RT @VisioDeiFromLA: Wait what? 
Into hiding?
#moleg #mogov #Greitens #ScammingScott #MoneyBagsAl https://t.co/IMsR3vpBJg</t>
  </si>
  <si>
    <t>@blackwidow07 @Sticknstones4 @EdBigCon @Shawtypepelina @RealTravisCook @HennessySTL @HotPokerPrinces @Eric_Schmitt @jrosenbaum @Avenge_mypeople @SKOLBLUE1 That's a good question. That was April 2017 per the Facebook public post?</t>
  </si>
  <si>
    <t>RT @ChrisHayesTV: Latest MO Gov defense filing says it would like to depose @scottfaughn about the mysterious $100,000 cash payments but “i…</t>
  </si>
  <si>
    <t>RT @VisioDeiFromLA: Now this is an interesting theory. Would be a public service if any actual journolist would to the public a favor and a…</t>
  </si>
  <si>
    <t>RT @VisioDeiFromLA: Lame attempt 2 change the narrative now more truth is coming out.
I have worked with many journalists years ago &amp;amp; seen…</t>
  </si>
  <si>
    <t>RT @Avenge_mypeople: #moleg
#mogov
#mosen
#Greitens https://t.co/qdcNc3C18M</t>
  </si>
  <si>
    <t>RT @VisioDeiFromLA: @Rep_TRichardson 
Tell me again how your "witness" is supposed 2 be credible? Her testimony already contradictory &amp;amp; no…</t>
  </si>
  <si>
    <t>RT @JW1057: @aaron_hedlund Al Watkins' continued practice of law is clearly prejudicial to the administration of justice. He should be disb…</t>
  </si>
  <si>
    <t>RT @magathemaga1: #GREITENS ALERT
ht: @ChrisHayesTV 
"MO Gov's defense says recently discovered text messages reveal possibility alleged v…</t>
  </si>
  <si>
    <t>RT @JW1057: @BigJShoota @Rep_TRichardson @RonFRichard @jaybarnes5 practicing Lavrentiy Beria's philosophy of "[y]ou bring me the man, I'll…</t>
  </si>
  <si>
    <t>@FN4AP @ohsynesthesia @SuchHate @Blackboxhalo @Koenig4MO @shesova @blackwidow07 @joelpollak @BooneCoMOGOP @STLCountyGOP @stlyrs @StLCountyRepub @SykesforSenate @ChanelRion @strmsptr @Hope4Hopeless1 @DaynaGould @grcfay @wu_ferguson @RetNavy93 @TonyMonetti @TheNewRight @DRUDGE</t>
  </si>
  <si>
    <t>@HotPokerPrinces @FN4AP @ohsynesthesia @SuchHate @Blackboxhalo @Koenig4MO @shesova @blackwidow07 @johncombest @joelpollak @BooneCoMOGOP @STLCountyGOP @stlyrs @StLCountyRepub @SykesforSenate @ChanelRion @strmsptr @Hope4Hopeless1 @DaynaGould @grcfay @wu_ferguson @RetNavy93 @TonyMonetti @TheNewRight</t>
  </si>
  <si>
    <t>RT @HotPokerPrinces: BREAKING 
SCOTT FAUGHN  HAS GONE INTO HIDING 
EVADING DEPOSITION &amp;amp; PROCESS SERVERS 
#moleg #missouricollusion #grei…</t>
  </si>
  <si>
    <t>RT @HotPokerPrinces: MO Gov's defense says recently discovered text messages reveal possibility alleged victim could profit. Court motion q…</t>
  </si>
  <si>
    <t>RT @JW1057: @KRCG13 Yes. I am not aware of corrupt legislative leaders ever previously trying to stage a coup d'état in MO. 
#moleg #mogov…</t>
  </si>
  <si>
    <t>RT @magathemaga1: "MO Gov defense motion says politics in play starting 1-11 when MO Rep texted alleged victim “my House Dem leadership ins…</t>
  </si>
  <si>
    <t>RT @CStamper_: Soros-backed prosecutor Kim Gardner’s “pattern of skirting the rules and law which are the foundation of the criminal justic…</t>
  </si>
  <si>
    <t>RT @CStamper_: “In order to conceal the video and then notes taken by Mr. Tisaby, everyone had to be on the same page. So, in her depositio…</t>
  </si>
  <si>
    <t>RT @aaron_hedlund: Al Watkins clearly has mastered the art of having fun at his job. Granted, the collateral damage is facilitating corrupt…</t>
  </si>
  <si>
    <t>RT @CStamper_: A Democrat state rep texted the alleged victim encouraging her to get a lawyer and providing Soros-backed prosecutor Kim Gar…</t>
  </si>
  <si>
    <t>RT @JW1057: @RonFRichard do you have anything to tell the people of MO?
@gcmitts @jeanielauer @TommiePierson @Rep_TRichardson @TeamGreiten…</t>
  </si>
  <si>
    <t>RT @CStamper_: “He sat twelve inches from her, he took ten pages of notes, he asked for specific quotes, he asked her to spell names, and s…</t>
  </si>
  <si>
    <t>RT @CStamper_: Soros-backed prosecutor Kim Gardner has already been sanctioned by the court in this witch hunt. Her handpicked investigator…</t>
  </si>
  <si>
    <t>RT @magathemaga1: I may only be a West DC Fake Deputy AG, but I DO KNOW based on public info, Scott Faughn &amp;amp; Stacey Newman are 2 of the big…</t>
  </si>
  <si>
    <t>@ChrisHayesTV CC @Eric_Schmitt @paulcurtman</t>
  </si>
  <si>
    <t>RT @ChrisHayesTV: MO Gov defense motion says politics were in play starting 1-11 when MO Rep texted alleged victim “my House Dem leadership…</t>
  </si>
  <si>
    <t>"MO Gov defense motion says politics in play starting 1-11 when MO Rep texted alleged victim “my House Dem leadership insist you need a lawyer fast.” Motion says Rep texted a week later- “STL Circuit Attorney Kim Gardner, she said you can have your attorney call her”
 #moleg https://t.co/2ziYTx5ye9</t>
  </si>
  <si>
    <t>@ChrisHayesTV Wtf</t>
  </si>
  <si>
    <t>#GREITENS ALERT
ht: @ChrisHayesTV 
"MO Gov's defense says recently discovered text messages reveal possibility alleged victim could profit. Court motion quotes text from friend "it’s kind of cool – you might become rich off it." Court motion says K.S. responded, "LOL!!!”
#moleg https://t.co/N4wfpmiX3h</t>
  </si>
  <si>
    <t>I may only be a West DC Fake Deputy AG, but I DO KNOW based on public info, Scott Faughn &amp;amp; Stacey Newman are 2 of the biggest proponents of Anti #Greitens COUP
✔50k paid to AL
✔Newman bringing accuser 2 capital April 2017 &amp;amp; new developments...
🤔
#moleg #mogov #Missouri
#STL https://t.co/RoHKtf8Pbx</t>
  </si>
  <si>
    <t>RT @Str8DonLemon: @Sticknstones4 @RealTravisCook @karmamichele @magathemaga1 @EricGreitens @Rep_TRichardson @HotPokerPrinces @strmsptr @Hop…</t>
  </si>
  <si>
    <t>RT @magathemaga1: ⚠️ #MoneyBagsAl Update ⚠️
"Lawyers for Al Watkins are trying to block a subpoena seeking records on who is paying their…</t>
  </si>
  <si>
    <t>⚠️ #MoneyBagsAl Update ⚠️
"Lawyers for Al Watkins are trying to block a subpoena seeking records on who is paying their bills. Watkins says he doesn't know, but he told us he hopes someone drops by "a pile of cash soon." 
HT: @rxpatrick 
#Moleg #Mogov #Greitens #kimshady https://t.co/pcuj74atex</t>
  </si>
  <si>
    <t>RT @FoxNews: President @realDonaldTrump: "@JohnKerry - not the best negotiator we've ever seen. He never walked away from the table except…</t>
  </si>
  <si>
    <t>RT @Pantszilla77: 11 Year Old Docked Points For Not Bashing Trump https://t.co/vVDob71wzf #Trending via @pjmedia_com</t>
  </si>
  <si>
    <t>RT @magathemaga1: Its called the 5th amendment Jason.
Also it would be unwise to speak to reporters given there is a trial going on. Come…</t>
  </si>
  <si>
    <t>RT @CStamper_: “The actions of the Circuit Attorney and her sidekick investigator are reprehensible. They have greatly prejudiced the defen…</t>
  </si>
  <si>
    <t>RT @Sticknstones4: SHAME ON EVERY SINGLE ONE OF YOU
THAT CONSPIRED 
SHAME ON YOU 
#MOLEG https://t.co/9nzNTszGAn</t>
  </si>
  <si>
    <t>Its called the 5th amendment Jason.
Also it would be unwise to speak to reporters given there is a trial going on. Come on man. You know this
#moleg #mogov #Greitens #GreitensIndictment https://t.co/y7rH86ijcR</t>
  </si>
  <si>
    <t>RT @JW1057: @jrosenbaum @EricGreitens Why do reporters believe that the 1st Amendment is the only amendment? There are 26 other amendments,…</t>
  </si>
  <si>
    <t>RT @Str8DonLemon: Hey @J_Hancock 
How come stacey Newman didnt?
#moleg #mogov #mosen #mosenate https://t.co/17dACl3oZc</t>
  </si>
  <si>
    <t>RT @Sticknstones4: #MOLEG SENATORS 
WE APPRECIATE &amp;amp; SALUTE YOU
FOR RESPECTING YOUR CONSTITUENTS &amp;amp; THE WILL OF #MISSOURI VOTERS
SEN MARIA…</t>
  </si>
  <si>
    <t>RT @melody_grover: Unproven allegations. You also have a strange conception of time if March to May (the time stamp is May 29) counts as "j…</t>
  </si>
  <si>
    <t>RT @StevenDialTV: The Missouri Senator who posted on social media that President Trump should be asasinated did not sign #GreitensSpecialSe…</t>
  </si>
  <si>
    <t>@tgilbert_13 @JW1057 @MoGov @EricGreitens They are corrupt. Clearly you must have just started following this.
How about lying about evidence and hiring "outside investigators" to start?</t>
  </si>
  <si>
    <t>RT @MoGov: Here’s a taste of what happened Wednesday evening at the @MoGov celebration honoring outstanding state employees. https://t.co/g…</t>
  </si>
  <si>
    <t>RT @VisioDeiFromLA: My fav Parson-Tax credit bot.
The law, is as written. A consensual affair isn’t illegal nor a reason 2 impeach.
No co…</t>
  </si>
  <si>
    <t>RT @GovGreitensMO: This week, we took time to recognize state workers who have gone above and beyond to get results for Missouri citizens.…</t>
  </si>
  <si>
    <t>RT @TrumpChess: @GovGreitensMO We are standing with you Gov Greitens just know that #MoVoters do not like what the deep state swamp is tryi…</t>
  </si>
  <si>
    <t>RT @VisioDeiFromLA: @GovGreitensMO Keep up great work! Real strength is continuing 2 do people’s work day to day in spite of EVIL forces tr…</t>
  </si>
  <si>
    <t>RT @RetNavy93: @kmoxnews @tkinder You people in the #moleg are out of your fricking minds. What kind of president are you setting. Just bec…</t>
  </si>
  <si>
    <t>RT @VisioDeiFromLA: Wow. I agree with Nadal.
"Chappelle-Nadal said, even though she's been critical of Greitens, she believes his trial sh…</t>
  </si>
  <si>
    <t>RT @JW1057: @VisioDeiFromLA @Rep_TRichardson @Eric_Schmitt @EricGreitens @MariaChappelleN can't say that I agree with much of your politics…</t>
  </si>
  <si>
    <t>RT @JW1057: Now know that Stacey Newman and Dems were involved from the beginning. Newman arranged meeting between Kitty and @stlcao. Gardn…</t>
  </si>
  <si>
    <t>RT @strmsptr: #moleg Gary Romine and Kevin Engler you are put on notice. Mr Romine, you have lost my support for any reelection bid. Mr Eng…</t>
  </si>
  <si>
    <t>RT @strmsptr: #moleg is hell bent on nullifying the choice of #WeThePeople for Missouri Governor by calling a special session to continue t…</t>
  </si>
  <si>
    <t>RT @Norasmith1000: @Shawtypepelina @staceynewman @SenatorNasheed @LacyClayMO1 @brucefranksjr @MariaChappelleN @ElliottDavisTV That's how it…</t>
  </si>
  <si>
    <t>RT @Sticknstones4: REPUBLICAN HOUSE &amp;amp; SENATORS THAT VOTE TO 
IMPEACH GOVERNOR #GREITENS
WILL TURN MISSOURI BLUE 🔵
@mikeparson WILL NOT C…</t>
  </si>
  <si>
    <t>RT @JW1057: I am in possession of TMC secret donor list!
2015 https://t.co/aK2jCEnF0P
2014 https://t.co/iDmpYIeVa1
@MOHOUSECOMM @TeamGrei…</t>
  </si>
  <si>
    <t>RT @DeplorableGoldn: RT 🚨
Oh I do believe Mr. Richard needs to start chirping like a canary and explain why his errand boi dropped $50Gs! I…</t>
  </si>
  <si>
    <t>RT @shesova: WOW @molegislature #moleg is trending! I wonder why? Maybe because what is happening to @realDonaldTrump is happening to @Eric…</t>
  </si>
  <si>
    <t>RT @BryanLowry3: New filing from @EricGreitens starts with this: "'Justice, and only justice, you shall pursue. . .' Those words from Deute…</t>
  </si>
  <si>
    <t>RT @memoriadei: #moleg #gop #committee @TeamHawley your conservatives are not very happy...true conservatives.  We are more embarrassed by…</t>
  </si>
  <si>
    <t>RT @Str8DonLemon: Why didnt STACEY NEWMAN NOT SIGN THIS?
Why didnt STACEY NEWMAN NOT SIGN THIS?
Why didnt STACEY NEWMAN NOT SIGN THIS?
W…</t>
  </si>
  <si>
    <t>RT @Str8DonLemon: Oh hi sharon! I took the day off.
Are you still going around claiming the hairdresser story is true using the "me too" l…</t>
  </si>
  <si>
    <t>RT @Str8DonLemon: It's great place. Where else could you have people going around accusing people of fake stories
It's a modern day salem…</t>
  </si>
  <si>
    <t>RT @Str8DonLemon: Hey @walshgina 
Why don't you ask STACEY NEWMAN what part she had in this scam!
Look at the new motion!
We know this i…</t>
  </si>
  <si>
    <t>RT @Sticknstones4: #KimShady paid a $10,000 retainer and agreed to pay $475 an hour TO CONVINCE A JURY(without evidence) that there was a p…</t>
  </si>
  <si>
    <t>RT @magathemaga1: Reminder to #MoLeg 
You try impeachment before @EricGreitens gets his day in court, you are playing with electoral fire.…</t>
  </si>
  <si>
    <t>Reminder to #MoLeg 
You try impeachment before @EricGreitens gets his day in court, you are playing with electoral fire. 
In fact, doing anything before then would be ANTI AMERICAN. 
@Rep_TRichardson 
#Mogov #Mosen #greitens #GreitensIndictment #missouri #stlouis #stl #KCMO https://t.co/oNu21GwTbG</t>
  </si>
  <si>
    <t>@ErgoStreetNurse @RealTravisCook @joel_capizzi @melody_grover @plwy31 @JohnLamping @DaynaGould @jallman971 @Monetti4Senate @AP4Liberty @SykesforSenate @johncombest @BigJShoota @BackTheCops @BackThePolice @BackTheBlueUSA @BackTheBlue911 @HotPokerPrinces @TheNewRight @MoScarlet The worst thing to happen was to take minor things like out of our lives. Single parent homes skyrocketed in the 80s and the first mass shootings started late 90s. Lack of family and lack of god</t>
  </si>
  <si>
    <t>RT @RealTravisCook: @karmamichele @magathemaga1 @EricGreitens @Rep_TRichardson @HotPokerPrinces @strmsptr @Hope4Hopeless1 @Avenge_mypeople…</t>
  </si>
  <si>
    <t>RT @John_KissMyBot: 💥”God Damn You To Hell” 💥
Michael Caputo, a former Trump campaign adviser, Blasted the Senate Intelligence Committee a…</t>
  </si>
  <si>
    <t>RT @JW1057: @MeghanKRCG13 @EricGreitens There is no honor in resigning when confronted with lies and false accusations. The honorable thing…</t>
  </si>
  <si>
    <t>RT @JW1057: @HotPokerPrinces @jrosenbaum @Rep_TRichardson Anyone who respects Todd Richardson should be committed to an insane asylum. 
#m…</t>
  </si>
  <si>
    <t>@karmamichele @EricGreitens @Rep_TRichardson @HotPokerPrinces @strmsptr @Hope4Hopeless1 @Avenge_mypeople @Blackboxhalo @SKOLBLUE1 @RealTravisCook @Norasmith1000 @Sticknstones4 @Eric_Schmitt It’s worse than you think</t>
  </si>
  <si>
    <t>@RealTravisCook @ErgoStreetNurse @joel_capizzi @melody_grover @plwy31 @JohnLamping @DaynaGould @jallman971 @Monetti4Senate @AP4Liberty @SykesforSenate @johncombest @BigJShoota @BackTheCops @BackThePolice @BackTheBlueUSA @BackTheBlue911 @HotPokerPrinces @TheNewRight @MoScarlet To @ErgoStreetNurse point I overall agree but obama really was bad and I voted for the guy in 08</t>
  </si>
  <si>
    <t>RT @Str8DonLemon: Why is Kathie Conway, a tax payer funded #MoLeg rep on Twitter giving her opinion which is of course biased TAINTING THE…</t>
  </si>
  <si>
    <t>RT @HotPokerPrinces: WHO IS  SKYLER ROSS
@RonFRichard 
WAS HE BAG MAN #2 
#MOLEG  #GREITENS #50K
WHAT WOULD MEC SAY ABOUT YOUR ERRAND B…</t>
  </si>
  <si>
    <t>RT @CStamper_: This convicted felon media member manages to make the media look even more dishonest, which is quite an achievement. I don’t…</t>
  </si>
  <si>
    <t>@Markknight45 @KMOV @GovGreitensMO Well media hates conservatives period but I’ve heard kmox has an axe to grind. Got any backstory?</t>
  </si>
  <si>
    <t>@RealTravisCook @ErgoStreetNurse @joel_capizzi @melody_grover @plwy31 @JohnLamping @DaynaGould @jallman971 @Monetti4Senate @AP4Liberty @SykesforSenate @johncombest @BigJShoota @BackTheCops @BackThePolice @BackTheBlueUSA @BackTheBlue911 @HotPokerPrinces @TheNewRight @MoScarlet I gave him a chance and actually voted for him in 08 and thought maybe some of his critics were wrong at the time, but oh, how they were right and we should have listened. The problem is McCain was horrible and bush made it all possible</t>
  </si>
  <si>
    <t>@RealTravisCook @ErgoStreetNurse @joel_capizzi @melody_grover @plwy31 @JohnLamping @DaynaGould @jallman971 @Monetti4Senate @AP4Liberty @SykesforSenate @johncombest @BigJShoota @BackTheCops @BackThePolice @BackTheBlueUSA @BackTheBlue911 @HotPokerPrinces @TheNewRight @MoScarlet So when a white guy says “I want equality” they think even THAT IS racist.</t>
  </si>
  <si>
    <t>@RealTravisCook @ErgoStreetNurse @joel_capizzi @melody_grover @plwy31 @JohnLamping @DaynaGould @jallman971 @Monetti4Senate @AP4Liberty @SykesforSenate @johncombest @BigJShoota @BackTheCops @BackThePolice @BackTheBlueUSA @BackTheBlue911 @HotPokerPrinces @TheNewRight @MoScarlet Want to know why so many minorities and liberals think trump is racist despite not being one? Because Obama’s people stoked anti white sentiment over the last 8 years to play identity politics</t>
  </si>
  <si>
    <t>@RealTravisCook @ErgoStreetNurse @joel_capizzi @melody_grover @plwy31 @JohnLamping @DaynaGould @jallman971 @Monetti4Senate @AP4Liberty @SykesforSenate @johncombest @BigJShoota @BackTheCops @BackThePolice @BackTheBlueUSA @BackTheBlue911 @HotPokerPrinces @TheNewRight @MoScarlet Also look into Obama’s people and how they viewed obama. They viewed him as a sort of Jesus like figure and want history to remember him as a sort of “Time after obama” just like “time after Jesus” ... they want to wipe the past clean.</t>
  </si>
  <si>
    <t>@RealTravisCook @ErgoStreetNurse @joel_capizzi @melody_grover @plwy31 @JohnLamping @DaynaGould @jallman971 @Monetti4Senate @AP4Liberty @SykesforSenate @johncombest @BigJShoota @BackTheCops @BackThePolice @BackTheBlueUSA @BackTheBlue911 @HotPokerPrinces @TheNewRight @MoScarlet Look up Andrew Sullivan’s essay “Goodbye to all that” ... an actual great argument for obama back in 2007. But he did the complete opposite</t>
  </si>
  <si>
    <t>@RealTravisCook @ErgoStreetNurse @joel_capizzi @melody_grover @plwy31 @JohnLamping @DaynaGould @jallman971 @Monetti4Senate @AP4Liberty @SykesforSenate @johncombest @BigJShoota @BackTheCops @BackThePolice @BackTheBlueUSA @BackTheBlue911 @HotPokerPrinces @TheNewRight @MoScarlet Further, obama set race relations back 50 years by his focus on identity politics. 
He could have been a guy to move us past race. Instead he poured gasoline on it</t>
  </si>
  <si>
    <t>@RealTravisCook @ErgoStreetNurse @joel_capizzi @melody_grover @plwy31 @JohnLamping @DaynaGould @jallman971 @Monetti4Senate @AP4Liberty @SykesforSenate @johncombest @BigJShoota @BackTheCops @BackThePolice @BackTheBlueUSA @BackTheBlue911 @HotPokerPrinces @TheNewRight @MoScarlet People who don’t know their history will claim I’m being hyperbolic but actually look and read what the progressives wrote. They view the constitution as outdated.  And needing to be replaced.</t>
  </si>
  <si>
    <t>@RealTravisCook @ErgoStreetNurse @joel_capizzi @melody_grover @plwy31 @JohnLamping @DaynaGould @jallman971 @Monetti4Senate @AP4Liberty @SykesforSenate @johncombest @BigJShoota @BackTheCops @BackThePolice @BackTheBlueUSA @BackTheBlue911 @HotPokerPrinces @TheNewRight @MoScarlet Look into Obama’s people unfortunately I agree. He wanted a fundamental “transformation” 
And by that he isn’t just saying anti white (which he was). He wants the true progressive vision.
If you read your history books a true progressive wants to destroy the constitution</t>
  </si>
  <si>
    <t>RT @VisioDeiFromLA: @EricGreitens Keep up great work. Real strength is continuing to do the people’s work day to day in spite of EVIL force…</t>
  </si>
  <si>
    <t>RT @VisioDeiFromLA: The #MoLeg committe has lied to the public. 
They didnt cross examine the witness. 
They released testimony before a…</t>
  </si>
  <si>
    <t>RT @michaelbeatty3: SIMPLE QUESTION FOR CLAIRE MCCASKILL
DID YOU VOTE FOR TRUMP TAX CUTS?
#GameOver 
#Missouri #TBT #MAGA 
#StLouis #Kansa…</t>
  </si>
  <si>
    <t>RT @Norasmith1000: @magathemaga1 @EricGreitens @Rep_TRichardson @HotPokerPrinces @strmsptr @Hope4Hopeless1 @Avenge_mypeople @Blackboxhalo @…</t>
  </si>
  <si>
    <t>@joel_capizzi @RealTravisCook @ErgoStreetNurse @melody_grover @plwy31 @JohnLamping @DaynaGould @jallman971 @Monetti4Senate @AP4Liberty @SykesforSenate @johncombest @BigJShoota @BackTheCops @BackThePolice @BackTheBlueUSA @BackTheBlue911 @HotPokerPrinces @TheNewRight @MoScarlet Yup. Alabama perfect example. The election down there statistically impossible in some precincts. But media and both parties didn’t fight it for various reasons 
Voter fraud alive and well</t>
  </si>
  <si>
    <t>@grcfay @EricGreitens @Rep_TRichardson @HotPokerPrinces @strmsptr @Hope4Hopeless1 @Avenge_mypeople @Blackboxhalo @SKOLBLUE1 @RealTravisCook @Norasmith1000 @Sticknstones4 @Eric_Schmitt #War
#MoLeg #MoGov #MoSen #Greitens #Breitbart https://t.co/LdNgKAGhiA</t>
  </si>
  <si>
    <t>RT @magathemaga1: Lying to people about what Clean Missouri is and having SOROS backed dollars paying clipboard carriers is nothing to be p…</t>
  </si>
  <si>
    <t>Reminder to #MoLeg 
You try impeachment before @EricGreitens gets his day in court, you are playing with electoral fire. 
In fact, doing anything before then would be ANTI AMERICAN. 
@Rep_TRichardson 
#Mogov #Mosen #greitens #GreitensIndictment #missouri #stlouis #stl #kcmo https://t.co/5mnVTMEnXN</t>
  </si>
  <si>
    <t>RT @theotherelise: Which 50k is Faughn saying was his: the spiteful-pseudonym courier $ or the anonymous mailed $? Both super legit for boo…</t>
  </si>
  <si>
    <t>Lying to people about what Clean Missouri is and having SOROS backed dollars paying clipboard carriers is nothing to be proud of.
In fact, it is an ATTACK ON #MISSOURI citizens 
@SpeakerTimJones @realJLogan @HannahKellyMO 
#moleg #mogov https://t.co/yM2QKo2d2V</t>
  </si>
  <si>
    <t>RT @Hope4Hopeless1: @EricGreitens Governor.@EricGreitens &amp;amp; .@POTUS .@realDonaldTrump I can't begin to express my admiration &amp;amp; gratitude for…</t>
  </si>
  <si>
    <t>RT @Avenge_mypeople: Tax Increment Financing: the process whereby corporations and/or developers use the willing apparatus of government to…</t>
  </si>
  <si>
    <t>RT @magathemaga1: Clean Missouri is Dem/#Soros redistricting scam wrapped in lipstick. STOP IT
✔Tell friends
✔Post on Facebook about scam…</t>
  </si>
  <si>
    <t>Clean Missouri is Dem/#Soros redistricting scam wrapped in lipstick. STOP IT
✔Tell friends
✔Post on Facebook about scam 
✔Decline 2 sign
✔Spread this meme
TELL FRIENDS AND FAMILY
#missouri #StLouis #stl #kcmo #SCAM #MAGA #CleanMissouri #moleg #mogov #mosen #ksleg #BREAKING https://t.co/H2AjiCeJf2</t>
  </si>
  <si>
    <t>RT @GeraldoRivera: In 2013 #Potus44 campaign paid a $375,000 fine to #FEC for omitting donor names during the 2008 #Obama presidential camp…</t>
  </si>
  <si>
    <t>RT @DutyOfAPatriot: GET OUT AND VOTE 🔴 RED  🔴
Remember If Democrats Win You Can Count On:
1. An impeachment vote
2. A bill to rescind the…</t>
  </si>
  <si>
    <t>@GraceOrourke1 @Shawtypepelina @Sticknstones4 @HennessySTL @RealTravisCook @HotPokerPrinces @EdBigCon @SKOLBLUE1 @RightSideUp313 @Lautergeist @Eric_Schmitt Lol</t>
  </si>
  <si>
    <t>@shadowfax_82 @Sticknstones4 @HennessySTL @RealTravisCook @HotPokerPrinces @EdBigCon @SKOLBLUE1 @RightSideUp313 @Shawtypepelina @Lautergeist @Eric_Schmitt Hes a total crook.</t>
  </si>
  <si>
    <t>RT @TrumpChess: @Shawtypepelina @magathemaga1 @walshgina @staceynewman @MOHouseDems @MOHouseGOP The same message goes for me too and Rep St…</t>
  </si>
  <si>
    <t>@RealTravisCook @ErgoStreetNurse @joel_capizzi @melody_grover @plwy31 @JohnLamping @DaynaGould @jallman971 @Monetti4Senate @AP4Liberty @SykesforSenate @johncombest @BigJShoota @BackTheCops @BackThePolice @BackTheBlueUSA @BackTheBlue911 @HotPokerPrinces @TheNewRight @MoScarlet There are good points on both sides but I would argue that midterms are more about the base and presidential are more about the middle at least in America.</t>
  </si>
  <si>
    <t>RT @magathemaga1: The media is concerned about the public being informed?
Lol
Ironic considering media has done it's best 2 keep public m…</t>
  </si>
  <si>
    <t>The media is concerned about the public being informed?
Lol
Ironic considering media has done it's best 2 keep public misinformed about #GreitensIndictment as they have blatant agenda against him &amp;amp; aren't doing their jobs 
#MoLeg #mogov #greitens #missouri #StLouis #STL https://t.co/tdQYgf3FwK</t>
  </si>
  <si>
    <t>RT @Str8DonLemon: And it was a scam report!
#MoLeg #mogov #Greitens https://t.co/QZ4j8OSXhT</t>
  </si>
  <si>
    <t>RT @magathemaga1: These are great AND ACCURATE points. Thanks for sharing!
Yes Barnes was reckless releasing this before trial!
Yes this…</t>
  </si>
  <si>
    <t>Dont you know, its only cool when ur a Democrat but if ur a Republican the world is ending
@TomJEstes #MoLeg #MoGov #greitens https://t.co/7eDRaghO6O</t>
  </si>
  <si>
    <t>These are great AND ACCURATE points. Thanks for sharing!
Yes Barnes was reckless releasing this before trial!
Yes this is about tax credits!
Yes, we do need to know what #ScammingScott relationship to lawmakers is.
Thanks for sharing! 
#MOLeg #Mogov #Greitens #missouri #stl https://t.co/0gWUMmu5MH</t>
  </si>
  <si>
    <t>RT @magathemaga1: I may not be a West Butler County Hillbilly, but I am a West DC Fake Deputy AG Swamp Monster, and I just wanted to remind…</t>
  </si>
  <si>
    <t>RT @AP: BREAKING: Record exports trim US trade deficit to $49 billion, first drop in seven months.</t>
  </si>
  <si>
    <t>RT @ScottPresler: VICTORY: San Jacinto voted 3-1 to join the federal lawsuit against California. 
So many victories for conservatives in o…</t>
  </si>
  <si>
    <t>I may not be a West Butler County Hillbilly, but I am a West DC Fake Deputy AG Swamp Monster, and I just wanted to remind #MoLeg how this entire WITCH HUNT got started...
#MoGov #MoGov #greitens #GreitensIndictment #missouri #KCMO #stl #stlouis #kimshady #satire #BREAKING #MAGA https://t.co/Nvla6rpiAO</t>
  </si>
  <si>
    <t>RT @ChrisYaudas: Who do I think needs to be impeached? The @MOHouseGOP and @MissouriSenate leadership and those #moleg members who are defy…</t>
  </si>
  <si>
    <t>RT @Str8DonLemon: Hey Charton are you still peddling Scott Faugh's "Narrative"?
I know you guys are friends and all.
Would love to see yo…</t>
  </si>
  <si>
    <t>RT @sigi_hill: @ws_missouri The lawyer incl. #MoLeg should be disbarred and prosecuted for malfeasance and abuse of power and you should no…</t>
  </si>
  <si>
    <t>RT @magathemaga1: When U support witch hunts &amp;amp; not allowing fairness...
...YOU SUPORT #Putin 
"Show me the man, I'll show U the crime" --…</t>
  </si>
  <si>
    <t>When U support witch hunts &amp;amp; not allowing fairness...
...YOU SUPORT #Putin 
"Show me the man, I'll show U the crime" --Lavrentiy Beria
HEAD COUNT!
🔸️Support due process?
🔸️Or support Putin?
#MoGov #stl #MoSen #MoLeg #stlouis #kansascity #greitens #greitensindictment #stl https://t.co/JR2rxGtIYu</t>
  </si>
  <si>
    <t>RT @magathemaga1: 🚨 JUSTICE WARRIOR ALERT 🚨 
The Justice warrior responds to that CHIP guy #MANSPLAINING to @EricGreitens legal council.…</t>
  </si>
  <si>
    <t>RT @VisioDeiFromLA: Why dont U ask stacey Newman why the accuser didnt tell her about the crime, given them she is the "family hairdresser"…</t>
  </si>
  <si>
    <t>RT @TomJEstes: Calling on the Legislature to stop doing the people’s business is not a good look when you’re asking them to put you in the…</t>
  </si>
  <si>
    <t>RT @YearOfZero: Suddenly you are worried about people being called names and talked about?
You’ve been on here calling @EricGreitens a rap…</t>
  </si>
  <si>
    <t>RT @memoriadei: Thank you, Catherine Hanaway @GovGreitensMO #Moleg https://t.co/fhn9hdaP3Y</t>
  </si>
  <si>
    <t>RT @Sticknstones4: Catherine Hanaway would Know ! 
She was our United States Attorney for Eastern District of Missouri 
House Reports Are…</t>
  </si>
  <si>
    <t>RT @Sticknstones4: St. Louis Metropolitan Police said they’ve had four calls for gunshots in last seven days in Benton Park, but officers n…</t>
  </si>
  <si>
    <t>RT @Sticknstones4: Typical !   Shouldn’t Be But it Is 
#Moleg #Missouri #stl  #homocide https://t.co/MdsjRJxOx5</t>
  </si>
  <si>
    <t>RT @Sticknstones4: @Shawtypepelina Still waiting for #Moleg  to investigate  Why
greitens Mistress was with Stacey Newman at the capital la…</t>
  </si>
  <si>
    <t>RT @DeplorableGoldn: Witch-hunt! 😒
RT 🚨
It's becoming DIRECTLY VISIBLE that #MoLeg is LYING TO GET RID OF GOV. GREITENS TO COVER THEIR ASSE…</t>
  </si>
  <si>
    <t>RT @DeplorableGoldn: #MoLeg #mogov #Greitens #WitchHunt https://t.co/paJv3YkPjp</t>
  </si>
  <si>
    <t>RT @Markknight45: @Str8DonLemon @VisioDeiFromLA @EricGreitens I don’t think #moleg thought this through. I think Grietens has a case in cou…</t>
  </si>
  <si>
    <t>RT @Sticknstones4: While the legislature was busy wih their witch hunt
Governor Greitens honored Missouri state employees
Congratulations…</t>
  </si>
  <si>
    <t>RT @VisioDeiFromLA: Anywho states "but but Republican!" is ignorant of politics.
This isnt about R or D
This is about outsider vs insider…</t>
  </si>
  <si>
    <t>RT @VisioDeiFromLA: Chris you should ask the #MoLeg council why they released this before a criminal trial thus tainting the jury pool?
Th…</t>
  </si>
  <si>
    <t>RT @Sticknstones4: Jamilah Nasheed Sleeps at Scott Faughns 
How many more #Moleg sleep at Scott’s?
How many elected Senators &amp;amp; Representa…</t>
  </si>
  <si>
    <t>RT @SpeakerTimJones: I join @MarcCox971 @ 6:35! We’ll talk @realDonaldTrump #MOLeg &amp;amp; more! https://t.co/ZPgsLJ3Z6H</t>
  </si>
  <si>
    <t>Good point.
Why are we obtaining testimony after the fact?
Shows this committee is a sham
#MoLeg #MoGov #Greitens https://t.co/nOzg3wI5a7</t>
  </si>
  <si>
    <t>@swmo_grassroots @joelpollak @BigJShoota @Sticknstones4 @ohsynesthesia @SKOLBLUE1 @Avenge_mypeople @Blackboxhalo @DaynaGould @Hope4Hopeless1 Lol wrong thread and yes it's a scam 
#cleanmissouri #missouri #stl #Decline2Sign https://t.co/4XCovEFLXl</t>
  </si>
  <si>
    <t>RT @VisioDeiFromLA: Are you still going around pretending the hairdresser story wasnt made up? 
#MoLeg #MoGov #Greitens https://t.co/KnZC1…</t>
  </si>
  <si>
    <t>RT @sigi_hill: @JW1057 @TeamGreitens @EricGreitens @SheenaGreitens @StLCountyRepub @MOHOUSECOMM @jeanielauer @Rep_TRichardson @gcmitts @sha…</t>
  </si>
  <si>
    <t>RT @VisioDeiFromLA: @jonesmarkh @sigi_hill @EricGreitens @BillEigel @971FMTalk @MissouriGOP @SKOLBLUE1 @HotPokerPrinces @Hope4Hopeless1 @ph…</t>
  </si>
  <si>
    <t>RT @toadtws: @JW1057 @VisioDeiFromLA @TeamGreitens @EricGreitens @SheenaGreitens @StLCountyRepub @MOHOUSECOMM @jeanielauer @Rep_TRichardson…</t>
  </si>
  <si>
    <t>RT @YearOfZero: The victim kitty isn’t credible. 
Her testimony has glaring holes.
#moleg #mogov https://t.co/RufeHJfJVe</t>
  </si>
  <si>
    <t>RT @Sticknstones4: @blackwidow07 While Missouri Sleeps,  #MoLeg boozes it up with Lobbyists conspiring to line their pockets with cash</t>
  </si>
  <si>
    <t>RT @VisioDeiFromLA: @jrosenbaum @EricGreitens @Hope4Hopeless1 @Sticknstones4 @SKOLBLUE1 @Eric_Schmitt @GOPMissouri @STLCountyGOP @paulcurtm…</t>
  </si>
  <si>
    <t>RT @somethingldsay: #MO, like every other state, has a tendency to waste our money, this is not one of those time. #MOLeg #Caravan #Border…</t>
  </si>
  <si>
    <t>RT @repdottieb4mo: This guy!.. Young, Smart, Fearless and my #LibertyBro, @AP4Liberty will be attending my Campaign Kickoff/Fundraiser May…</t>
  </si>
  <si>
    <t>RT @sigi_hill: @Sticknstones4 We Greitens-supporters knew this is a corrupt witch-hunt on the outsider Governor. Now we need to push hard t…</t>
  </si>
  <si>
    <t>RT @Mizzourah_Mom: @Sticknstones4 Specifically which #moleg committee members who seem to have a big interest in perpetuating this #witchhu…</t>
  </si>
  <si>
    <t>RT @VisioDeiFromLA: So get #MoneyBagsAl to give a description of the perp? 
Seems very sketchy &amp;amp; not believable. Kind of like Scott's Book…</t>
  </si>
  <si>
    <t>RT @Sticknstones4: How Many #MoLeg members have been to Scott’s 
Hidden Party Pad  ? 
Do Tell !  We want to hear more about the Den of Cor…</t>
  </si>
  <si>
    <t>RT @VisioDeiFromLA: Crystal ... where was your tweets yesterday when it was exposed that @scottfaughn dropped off 50 grand to #MoneyBagsAl…</t>
  </si>
  <si>
    <t>RT @EdBigCon: @RepLaurenArthur @QuintonLucasKC We know you like the way communists countries go after people! In American we have something…</t>
  </si>
  <si>
    <t>RT @YearOfZero: It’s surreal that tax payer funded state Senator that doesn’t understands that the presumption of innoncence in this countr…</t>
  </si>
  <si>
    <t>RT @TomJEstes: Great interview by @MarkReardonKMOX with @scottfaughn Scott sounds as guilty as sin. #moleg  https://t.co/FdgmUwUzuL</t>
  </si>
  <si>
    <t>RT @CStamper_: Nothing pisses off the media more than when one of their own gets caught red handed acting as bagman in one of the shadiest…</t>
  </si>
  <si>
    <t>@JW1057 @TeamGreitens @EricGreitens @SheenaGreitens @StLCountyRepub @MOHOUSECOMM @jeanielauer @Rep_TRichardson @gcmitts @shawnrhoads154 @TommiePierson @jaybarnes5 @KevinLAustin1 @FN4AP @ohsynesthesia @SuchHate @Blackboxhalo @Koenig4MO @shesova @blackwidow07 @johncombest @joelpollak @BooneCoMOGOP @STLCountyGOP @stlyrs @SykesforSenate @ChanelRion @strmsptr @BillEigel @NSFMill @TweepleBug @paulmaga45 @ed_grimly @6079__Smith_W @joel_capizzi @juliematthews50 @971FMTalk @jbro_1776 @JAllman @HawleySightings @Pantszilla77 @Beatlebaby64 @88YahamaKeys @YearOfZero @blackwidow07 @BigJShoota @tracey_vinsand @TuckerCarlson @seanhannity @JW1057</t>
  </si>
  <si>
    <t>@JW1057 @TeamGreitens @EricGreitens @SheenaGreitens @StLCountyRepub @MOHOUSECOMM @jeanielauer @Rep_TRichardson @gcmitts @shawnrhoads154 @TommiePierson @jaybarnes5 @KevinLAustin1 @FN4AP @ohsynesthesia @SuchHate @Blackboxhalo @Koenig4MO @shesova @blackwidow07 @johncombest @joelpollak @BooneCoMOGOP @STLCountyGOP @stlyrs @SykesforSenate @ChanelRion @strmsptr @BillEigel @willscharf @SheenaGreitens @TeamGreitens @TomJEstes @TrumpChess @toadtws @TxSecurityGal @Ijames2018 @chadler_usa @Google_Is_Evil @smart_hillbilly @Steffi_Cole @paulcurtman @jallman971 @Markknight45 @MarcCox971 @ninekiller @realJLogan @Pissyjo @melody_grover @AWESOMECQ</t>
  </si>
  <si>
    <t>@JW1057 @TeamGreitens @EricGreitens @SheenaGreitens @StLCountyRepub @MOHOUSECOMM @jeanielauer @Rep_TRichardson @gcmitts @shawnrhoads154 @TommiePierson @jaybarnes5 @KevinLAustin1 @FN4AP @ohsynesthesia @SuchHate @Blackboxhalo @Koenig4MO @shesova @blackwidow07 @johncombest @joelpollak @BooneCoMOGOP @STLCountyGOP @stlyrs @StLCountyRepub @SykesforSenate @ChanelRion @strmsptr @Hope4Hopeless1 @DaynaGould @grcfay @wu_ferguson @RetNavy93 @TonyMonetti @TheNewRight</t>
  </si>
  <si>
    <t>RT @JW1057: @ws_missouri Why release an incomplete report?</t>
  </si>
  <si>
    <t>RT @JW1057: A response to Edward 'Chip' Robertson Jr. @TeamGreitens @EricGreitens @SheenaGreitens @StLCountyRepub @MOHOUSECOMM 
#moleg #mo…</t>
  </si>
  <si>
    <t>🚨 JUSTICE WARRIOR ALERT 🚨 
The Justice warrior responds to that CHIP guy #MANSPLAINING to @EricGreitens legal council.
Looks like CHIP got quite a few things wrong....
#Moleg #mogov #greitens #mosen #missouri #stlouis #stl #kcmo #GreitensIndictment #greitensreport 
👇👇👇👇 https://t.co/FhuC694QeE</t>
  </si>
  <si>
    <t>@toadtws @JW1057 @VisioDeiFromLA @TeamGreitens @EricGreitens @SheenaGreitens @StLCountyRepub @MOHOUSECOMM @jeanielauer @Rep_TRichardson @gcmitts @shawnrhoads154 @TommiePierson @jaybarnes5 @KevinLAustin1  https://t.co/24sDmx64De</t>
  </si>
  <si>
    <t>@Fakenews99 You might be right. Let me think about that</t>
  </si>
  <si>
    <t>Nobody cares. He slept with a porn star in his private life. We dont care. Kind of expected it https://t.co/khgXO2PokB</t>
  </si>
  <si>
    <t>@AP Nobody cares</t>
  </si>
  <si>
    <t>RT @KurtSchlichter: I don't care. https://t.co/GeOJGtT1ru</t>
  </si>
  <si>
    <t>RT @Nan33S: The Idea That James Comey’s Leaks Were Non-Criminal Is Falling Apart https://t.co/hEtLCSZfoF</t>
  </si>
  <si>
    <t>RT @MarkDice: Blue jeans, and a jean jacket!?  My culture is NOT your damn costume, Jackie Chan!   #CulturalAppropriation #PromDress https:…</t>
  </si>
  <si>
    <t>RT @magathemaga1: I may just be a West DC Fake Deputy A.G. Swamp Monster, but isn't it ODD Dems in #Missouri are eager 2 impeach @EricGreit…</t>
  </si>
  <si>
    <t>I may just be a West DC Fake Deputy A.G. Swamp Monster, but isn't it ODD Dems in #Missouri are eager 2 impeach @EricGreitens before there is even a trial?
Dragging this out great 4 them!
Why rush?
Afraid of exoneration?
#satire
#MOLeg #MoGov #Greitens #StLouis #KimShady #STL https://t.co/MeQEYPqvfN</t>
  </si>
  <si>
    <t>RT @realDonaldTrump: A Rigged System - They don’t want to turn over Documents to Congress. What are they afraid of? Why so much redacting?…</t>
  </si>
  <si>
    <t>RT @realDonaldTrump: I have been briefed on the U.S. C-130 “Hercules” cargo plane from the Puerto Rico National Guard that crashed near Sav…</t>
  </si>
  <si>
    <t>RT @realDonaldTrump: “This isn’t some game. You are screwing with the work of the president of the United States.”  John Dowd, March 2018.…</t>
  </si>
  <si>
    <t>RT @realDonaldTrump: As everybody is aware, the past Administration has long been asking for three hostages to be released from a North Kor…</t>
  </si>
  <si>
    <t>RT @FoxNews: Rudy Giuliani on @Comey: "Sorry Jim, you're a liar. A disgraceful liar." #Hannity https://t.co/ZQiHOSeNPc</t>
  </si>
  <si>
    <t>RT @Education4Libs: Wasn't it the Left that said “when they go low, we go high?”
Hmm. Interesting.
Sarah Sanders has more class in her pi…</t>
  </si>
  <si>
    <t>@JW1057 @aaron_hedlund @CDTCivilWar @missioncontinue @BooneCoMOGOP @GovGreitensMO @EricGreitens @jaybarnes5 They are in such a rush to impeach. If they are confident, the criminal trial will show this and they can impeach then...  even dems calling for it. Makes no sense. Drag it out ... unless they are afraid of exoneration</t>
  </si>
  <si>
    <t>RT @Sticknstones4: Missouri has a Drug Trafficking Problem !
#moleg #mosen #mogov #BuildTheWall 
#stl https://t.co/lbeclBIsjN</t>
  </si>
  <si>
    <t>@internalmonolo2 @EggerTWS Egger is an establishment hack. 
The Weekly Standard. Same Never Trump rag with tentacles into mcmuffin and the fake russian dossier. That's all you need to know.
Enemy of the voters of Missouri as is most of the press in this state @BooneCoMOGOP 
#MoLeg #mogov #Greitens</t>
  </si>
  <si>
    <t>RT @Sticknstones4: 14 year old boy shot in city at 4:00
16 year old boy shot in county at 5:30
Drugs ? Gangs ? 
@GailBeatty can you Impe…</t>
  </si>
  <si>
    <t>RT @magathemaga1: Gee, you have to wonder, why are Democrats pushing for a quick impeachment?
Is it possible he may be exonerated at trial…</t>
  </si>
  <si>
    <t>RT @JW1057: @KMOVMatt The problem is not @EricGreitens thinks he is above the law. The problem is that people like @jaybarnes5 and Gail McC…</t>
  </si>
  <si>
    <t>RT @JW1057: @MarshallGReport @EricGreitens @jrosenbaum The issue is NOT how EG got the list. The issue is how the campaign got the list and…</t>
  </si>
  <si>
    <t>RT @MarkReardonKMOX: My bottom line on my interview with @scottfaughn:
--he NEVER answered the question directly about why he gave Watkins…</t>
  </si>
  <si>
    <t>RT @ResignNowKim: @MarkReardonKMOX @JW1057 @scottfaughn THANK YOU MARK!!!!!!  Thank you for asking these questions.  @scottfaughn actually…</t>
  </si>
  <si>
    <t>RT @PrisonPlanet: Donald Trump winning the Nobel Peace Prize will go a long way to restoring it as a great honor, rather than a meaningless…</t>
  </si>
  <si>
    <t>RT @mitchellvii: Look to the #RESULT to discern the #INTENT.
After a year of Mueller, who is NOT in trouble? Trump. Who IS in trouble? #De…</t>
  </si>
  <si>
    <t>RT @kelliwardaz: I’ll be on @davidwebbshow @SiriusXMPatriot at 6:30 AM in AZ / 9:30 AM Eastern to talk about the #caravan, my trip to #Yuma…</t>
  </si>
  <si>
    <t>RT @marycjoyce2: Graham: Liberals would ‘kill themselves’ if Trump won Nobel Prize (VIDEO) https://t.co/Qczizyg4Ko WE CAN ONLY HOPE!! NO IT…</t>
  </si>
  <si>
    <t>RT @Neilin1Neil: Ex-Husband’sMoneyTrail n Greitens Case: $100,000 packs a payoff to "the people working to take down the governor." @EricGr…</t>
  </si>
  <si>
    <t>Is the Missouri times going to run a story on Scott faughn too lol
#MoGov #moleg #greitens https://t.co/7VkX3q6vrY</t>
  </si>
  <si>
    <t>Perhaps because the allegations are bogus?
The ks story nobody believes and this new one is weak
#MoLeg #MoGov https://t.co/pelVpB6o24</t>
  </si>
  <si>
    <t>RT @Norasmith1000: @JaneDueker Integrity, lol? People keep talking about polls, I would love to see the results of a poll conducted on how…</t>
  </si>
  <si>
    <t>RT @VisioDeiFromLA: @Pissyjo It’s a witch hunt. The allegations on the girl are completely false so they are now trying to get him on some…</t>
  </si>
  <si>
    <t>RT @ResignNowKim: @JaneDueker How oh how can you say this shit with a straight face?  Is this your POV or a client’s?“Report”is thrown toge…</t>
  </si>
  <si>
    <t>RT @aaron_hedlund: Such a joke. Literally funded by Soros. But don't worry conservative stalwarts Kasich and Schwarzenegger support! #moleg…</t>
  </si>
  <si>
    <t>@BigJShoota The report is a lie</t>
  </si>
  <si>
    <t>RT @HotPokerPrinces: WHO IS  SKYLER ROSS
@RonFRichard 
WAS HE BAG MAN #2
#MOLEG  #GREITENS #50K
WHAT WOULD MEC SAY ABOY THAT ?</t>
  </si>
  <si>
    <t>RT @HotPokerPrinces: LADY NONE OF #MOLEG ANTICS ARE NORMAL
TELL THE SHAM COMMITTEE TO CALL OF THEIR 
WITCH HUNT https://t.co/MONDwKXgND</t>
  </si>
  <si>
    <t>RT @HotPokerPrinces: THIS GUY GETS IT 
#MOLEG YOURE BUSTED https://t.co/W7fkoJEMxe</t>
  </si>
  <si>
    <t>Gee, you have to wonder, why are Democrats pushing for a quick impeachment?
Is it possible he may be exonerated at trial? 
Doesnt make sense to me
#MOLeg #MoGov #Greitens https://t.co/KlXDxgU3XF</t>
  </si>
  <si>
    <t>@HotPokerPrinces @RonFRichard So is this another skyler? Cant keep up</t>
  </si>
  <si>
    <t>@BigJShoota @EricGreitens The report is a sham shoota</t>
  </si>
  <si>
    <t>RT @VisioDeiFromLA: @jonesmarkh @jrosenbaum @scottfaughn @EricGreitens Well since Scott faughn allegedly has a secret pad in Jeff city, if…</t>
  </si>
  <si>
    <t>RT @BryanLowry3: Statement from Greitens campaign attorney who ran against him for GOP nomination criticizes #moleg report in part because…</t>
  </si>
  <si>
    <t>RT @YearOfZero: #MoLeg listening to an idiot like Jane &amp;amp; not the people of #Missouri political suicide
@AP4Liberty looking better than eve…</t>
  </si>
  <si>
    <t>RT @CStamper_: This is what Soros-backed prosecutor Kim Gardner’s witch hunt has come to. #moleg #mogov https://t.co/ZqgR6bOeBF</t>
  </si>
  <si>
    <t>RT @Norasmith1000: @magathemaga1 @Sticknstones4 @gatewaypundit @EdBigCon @HotPokerPrinces @Eric_Schmitt @Lautergeist @ErgoStreetNurse @MSTL…</t>
  </si>
  <si>
    <t>RT @VisioDeiFromLA: @jrosenbaum @EricGreitens If you look at the ex husbands tweets where he was taunting @EricGreitens ... he never once r…</t>
  </si>
  <si>
    <t>@betsy_mess @BambihazLynn @Sticknstones4 @HennessySTL @RealTravisCook @Lautergeist @HotPokerPrinces @realJLogan @MOHouseGOP @HannahKellyMO @Shawtypepelina @philip_saulter @RoyBlunt It is sad. This is a total witch hunt.</t>
  </si>
  <si>
    <t>RT @YearOfZero: Is Chapter 1 the part where Scott faugn dropped off 50 k to Phillip sneeds lawyer so they could invent a FAKE abuse story?…</t>
  </si>
  <si>
    <t>RT @YearOfZero: Nothing Jay Barnes says can be trusted
MALICIOUSLY released report before criminal trial tainiting jury pool 4 obvious pol…</t>
  </si>
  <si>
    <t>@betsy_mess @BambihazLynn @Sticknstones4 @HennessySTL @RealTravisCook @Lautergeist @HotPokerPrinces @realJLogan @MOHouseGOP @HannahKellyMO @Shawtypepelina @philip_saulter @RoyBlunt You might also want to check this out on greitens
Check out @magathemaga1’s Tweet: https://t.co/xSOEL1AnTd</t>
  </si>
  <si>
    <t>RT @HotPokerPrinces: Thread on  greitens 
Sham Report https://t.co/GF5PWwPc53</t>
  </si>
  <si>
    <t>Clean Missouri is Dem/#Soros redistricting scam wrapped in lipstick. STOP IT
✔Tell friends
✔Post on Facebook about scam 
✔Decline 2 sign
✔Spread this meme
TELL FRIENDS AND FAMILY
#missouri #StLouis #stl #kcmo #SCAM #MAGA #CleanMissouri #moleg #mogov #mosen #ksleg #kansas https://t.co/vX5Do1fEzB</t>
  </si>
  <si>
    <t>RT @magathemaga1: 7. This entire sham report shows is that the people on the committee have no concern for justice. 
Nor does the media ha…</t>
  </si>
  <si>
    <t>7. This entire sham report shows is that the people on the committee have no concern for justice. 
Nor does the media have any concern for justice. Are there any REAL REPORTERS in the state of #Missouri ?
Because a quick 5 minute scan &amp;amp; found this 
#MOLeg #Mogov #greitens #STL https://t.co/ZmdX9j4yei</t>
  </si>
  <si>
    <t>RT @magathemaga1: 6. ✔Laub still worked 4 campaign 
✔If Laub &amp;amp; Hafner jointly prepared list (possibly both should have been listed as dono…</t>
  </si>
  <si>
    <t>RT @magathemaga1: 5. ✔Hafner and Laub made the campaign donor list (data in part derived from TMC donor list)
✔Campaign formed 2/25 and lis…</t>
  </si>
  <si>
    <t>RT @magathemaga1: 4. ✔Donor list over 1k on TMC website
✔EG never stated donor list contribution was made 3/1 ... EG &amp;amp; ✔MEC stipulated cont…</t>
  </si>
  <si>
    <t>RT @magathemaga1: 3. So let's address some of the mischaracterizations of this report but also point out the fact that the @MOHouseGOP rele…</t>
  </si>
  <si>
    <t>RT @magathemaga1: 2. First, I have to ask, where was this excitement 4 #MoneyBagsAl situation? Pre written in depth articles about this, wh…</t>
  </si>
  <si>
    <t>6. ✔Laub still worked 4 campaign 
✔If Laub &amp;amp; Hafner jointly prepared list (possibly both should have been listed as donors); it is accurate to say Laub was donor of list.
Many of U didnt bother to read report--even quick skim shows glaring mischaracterizations
#MoLeg #mogov https://t.co/qjVxtaFelU</t>
  </si>
  <si>
    <t>RT @magathemaga1: 1. So about SHAM REPORT from #MoLeg 
Once again, mountains out of molehills &amp;amp; corrupt journalists in state show more con…</t>
  </si>
  <si>
    <t>5. ✔Hafner and Laub made the campaign donor list (data in part derived from TMC donor list)
✔Campaign formed 2/25 and list was sent to campaign 4/22 
✔Hafner no longer worked for campaign 
#MOLeg #Mogov #MOSEN #Greitens #Missouri #GreitensIndictment #STL #KCMO #ScammingScott https://t.co/0ICK3XaB18</t>
  </si>
  <si>
    <t>4. ✔Donor list over 1k on TMC website
✔EG never stated donor list contribution was made 3/1 ... EG &amp;amp; ✔MEC stipulated contribution was a date uncertain in early 2015
✔EG viewed list as own this negating mens rea element of criminal charge 
#MoLeg #MoGov #MOSEN #Greitens #STL https://t.co/HKaujE5uOZ</t>
  </si>
  <si>
    <t>3. So let's address some of the mischaracterizations of this report but also point out the fact that the @MOHouseGOP releasing this report before the criminal trial shows they have no concern for fairness or a non tainted jury pool for @EricGreitens 
The facts ...
#MOLeg #MoGov</t>
  </si>
  <si>
    <t>2. First, I have to ask, where was this excitement 4 #MoneyBagsAl situation? Pre written in depth articles about this, which also shows most of you didnt read report, but you sure COORDINATED on coverage.
Kudos 2 @MarkReardonKMOX at least calling this out 
#MoLeg #mogov</t>
  </si>
  <si>
    <t>1. So about SHAM REPORT from #MoLeg 
Once again, mountains out of molehills &amp;amp; corrupt journalists in state show more concern 4 screwing #greitens then truth 
@Rep_TRichardson if U move 2 impeach before he gets day court ballot box revolt #MoGov
Let's review. Follow along ... https://t.co/nCVhCGAJ6q</t>
  </si>
  <si>
    <t>RT @TrumpChess: I remember when the witness statement said the picture (the one nobody can find!) "may have been a dream" when you can't fi…</t>
  </si>
  <si>
    <t>V 3
#MOLeg #MoGov #greitens #missouri #MoneyBagsAl #ScammingScott #kimshady #STL #KCMO #politicalhumor #satire https://t.co/9tkpC5PcqY</t>
  </si>
  <si>
    <t>V 2
#MoLeg #MoGov #greitens #Missouri #StLouis #KCMO https://t.co/86gZlxzmE1</t>
  </si>
  <si>
    <t>RT @ResignNowKim: @ScottCharton @KCStarOpinion That’s a false dichotomy. What @scottfaughn and his money men- and various gop #moleg are do…</t>
  </si>
  <si>
    <t>RT @magathemaga1: "Life imitates Art far more than Art imitates Life" -Oscar Wilde 
As #MoLeg looks 2 screw @EricGreitens in new ways, I'v…</t>
  </si>
  <si>
    <t>RT @Str8DonLemon: #MOLEG #MOGOV #MOSEN
ANNOUNCEMENT 
#MISSOURI FAMOUS 
@Str8DonLemon
HAS HUGE ANNOUNCEMENT 
245 CST 
U R NOT GOING 2…</t>
  </si>
  <si>
    <t>"Life imitates Art far more than Art imitates Life" -Oscar Wilde 
As #MoLeg looks 2 screw @EricGreitens in new ways, I've come across new piece of art called GRAND THEFT #Missouri: #Greitens Witchhunt
It accurately captures #MoGov swamp screwing over voters 
#MOSEN #stl #KCMO https://t.co/fT2IfBWqf8</t>
  </si>
  <si>
    <t>RT @gearjammer911: @Sticknstones4 @magathemaga1 @sigi_hill @EricGreitens  https://t.co/940oxks6jh</t>
  </si>
  <si>
    <t>RT @Sticknstones4: @sigi_hill @EricGreitens Nothing Ethical or Tranparent about these Closed Door Sesssions.
They are Not Credible and tho…</t>
  </si>
  <si>
    <t>RT @Sticknstones4: What Banks benefited the most from 
#LIHTC  ?
What banks have lined their pockets from LIHTC
And would be pissed off th…</t>
  </si>
  <si>
    <t>RT @VisioDeiFromLA: @jrosenbaum @EricGreitens Tweets from PS 
These are the actions of somebody who is mad his wife CHEATED ON HIM with @E…</t>
  </si>
  <si>
    <t>RT @Avenge_mypeople: For example, if you shop in Chesterfield Valley, you pay an additional tax...on top of all other taxes, then that tax…</t>
  </si>
  <si>
    <t>RT @VisioDeiFromLA: If #MoneyBagsAl couldn't give last name of currier, how does this Skyler know that the intent of the currier was to fra…</t>
  </si>
  <si>
    <t>RT @TrumpChess: @Sticknstones4 @jrosenbaum Please copy her tweet and post so I can do the same MCN (she) blocked me after she threatened @P…</t>
  </si>
  <si>
    <t>RT @ResignNowKim: @lindsaywise “...Never met Al Watkins in my life...” Then how did he know Skyler’s name?  How many named partners remembe…</t>
  </si>
  <si>
    <t>RT @VisioDeiFromLA: Here’s another question a real journalist would ask. 
First I heard of Skyler Roundtree.
You are just making this ann…</t>
  </si>
  <si>
    <t>RT @ThomasSowell: "When people are presented with the alternatives of hating themselves for their failures or hating others for their succe…</t>
  </si>
  <si>
    <t>RT @drou_bre: I want to know why DEMOCRATS CHOOSE ILLEGALS OVER ALL AMERICANS! 🇺🇸 https://t.co/3xPgXGGv6B</t>
  </si>
  <si>
    <t>RT @RealTravisCook: To #Mueller from the American people: President #Trump just ended the Korean War, has brought jobs back, lowered taxes,…</t>
  </si>
  <si>
    <t>RT @realDonaldTrump: NEW BOOK - A MUST READ! “The Russia Hoax - The Illicit Scheme to Clear Hillary Clinton and Frame Donald Trump” by the…</t>
  </si>
  <si>
    <t>RT @IngrahamAngle: Many thanks to the #IngrahamAngle viewers and congrats to all our @FoxNews hosts &amp;amp; producers! (In April, the #IngrahamAn…</t>
  </si>
  <si>
    <t>RT @JW1057: A friendly reminder that since April 11, 2018 The Committee has been operating without authority. If it The Committee wasn't sh…</t>
  </si>
  <si>
    <t>RT @TrumpChess: @VisioDeiFromLA @Eric_Schmitt @Rep_TRichardson @Norasmith1000 @SKOLBLUE1 @HotPokerPrinces @Sticknstones4 @philip_saulter @H…</t>
  </si>
  <si>
    <t>RT @VisioDeiFromLA: Journalists, wannabe journalists  &amp;amp; consultants claiming #MoLeg is fair &amp;amp; balanced speaking out 1 side of their mouth…</t>
  </si>
  <si>
    <t>RT @JW1057: I fight harder for @EricGreitens. 
@SheenaGreitens @TeamGreitens @CStamper_ @Sticknstones4 @MactavishShawn @melody_grover @Mis…</t>
  </si>
  <si>
    <t>RT @Str8DonLemon: ✔️Old: Who is Scott Faughn?
✔️New: Who is Skyler?
✔️Woke: Who is Rex?
✔️Tired: Did AL get paid?
✔️Wired: Scott Simpson ge…</t>
  </si>
  <si>
    <t>RT @YearOfZero: @jaybarnes5 
Isn’t it completely IRRESPONSIBLE of U 2 release report before #Greitens criminal trial? U already screwed 1s…</t>
  </si>
  <si>
    <t>RT @YearOfZero: @EggerTWS @JW1057 @jaybarnes5 U need 2 get out of DC swamp and come to MO and actually research this story Before running y…</t>
  </si>
  <si>
    <t>RT @YearOfZero: @EggerTWS @JW1057 @jaybarnes5 U clearly don’t know what ur talking about. There is criminal charges. What they are doing is…</t>
  </si>
  <si>
    <t>RT @Avenge_mypeople: Missouri Governor #Greitens is under attack by people in his own party. Scott Faughn, who sent $50,000 to lawyer Al Wa…</t>
  </si>
  <si>
    <t>RT @Avenge_mypeople: Tax Increment Financing is what all of this is about in Missouri. #Greitens intends to stop it. Creating special taxin…</t>
  </si>
  <si>
    <t>RT @VisioDeiFromLA: They are doing a terrible job with a few exceptions.
Main question should be who is paying Scott Simpson, ks lawyer? D…</t>
  </si>
  <si>
    <t>RT @Sticknstones4: Who paid KS attorney’s Bill ? 
Surely PS wasn’t the only one to get a free ride on legal bills plus a trust fund for hi…</t>
  </si>
  <si>
    <t>Also she could of we to police she didnt. Everybody in stlouis knows the girls story but apparently you. For somebody running for office, you sure are out of the loop https://t.co/wY5piQcQcf</t>
  </si>
  <si>
    <t>@lajaw @MarcGagne16 It's not just thjs left. Its also the mo gop upset about tax credits</t>
  </si>
  <si>
    <t>It’s not an attack to speak the truth   Soyboy
Dated other politicians &amp;amp; didn’t have problem with her fling with @EricGreitens until Jan 2018. If u look at both house &amp;amp; criminal testimony, she clearly stated in one it was fine &amp;amp; in other it wasn’t. Jan 2018 when 100k showed up https://t.co/P9e7N5e3FM</t>
  </si>
  <si>
    <t>RT @charliekirk11: Your gender or color of your skin should not dictate what ideas you have or political party you support</t>
  </si>
  <si>
    <t>RT @Peoples_Pundit: Folks, how long have I been saying that working black men between the ages of 30 to 54 are the least loyal of all black…</t>
  </si>
  <si>
    <t>RT @sweetatertot2: As a black woman I stand with Kanye West. The Democratic Party feeds black people a defeatist victim mentality that has…</t>
  </si>
  <si>
    <t>RT @AmfellinAlicia: Here's the link to check out the lawsuit...as well as sign up for emails, web app link, gear, and more!
#AllmanArmy
#Ra…</t>
  </si>
  <si>
    <t>RT @iamRyanJaycox: Wow @jallman971 emcee at the Senate Forum. Talk about being louder than ever before! https://t.co/KvOSehnJrx #winning</t>
  </si>
  <si>
    <t>RT @iamRyanJaycox: @jallman971 is CRUSHING two of the top news talk radio stations in STL! With only 4.2k likes he has as much as 69X the e…</t>
  </si>
  <si>
    <t>RT @StephenMilIer: The only 'obstruction' Trump committed, is the obstruction of the deep state.</t>
  </si>
  <si>
    <t>RT @TuckerCarlson: Let's review. Trump ran promising to improve relations w/ Russia...voters agreed. But permanent DC hated the idea. They’…</t>
  </si>
  <si>
    <t>RT @primalpoly: Future Chinese historians describing American culture in 2018. https://t.co/0oejkAi8SU</t>
  </si>
  <si>
    <t>RT @AdamWooten: After U.S. student @daumkeziah wears a traditional qipao as a prom dress, U.S. commenters (some with Chinese heritage) labe…</t>
  </si>
  <si>
    <t>RT @YearOfZero: Fact that she kept coming back 4 more/was not a victim and you are still going to go around and lie? Also: alleged 
Funny…</t>
  </si>
  <si>
    <t>@MarcGagne16 Lol you obviously don't put your ear to the ground. Talk about a witch hunt. As for TMC stuff.... weak, and makes it look like even more of a witch hunt. 
Funny how the media doesmt seem to be curious that Chris koster and Eric greitens had the same hairdresser....</t>
  </si>
  <si>
    <t>RT @magathemaga1: Good evening #MoLeg &amp;amp; #MoGov except @Rep_TRichardson 
#Missouri realizing even more the #GreitensIndictment is total wit…</t>
  </si>
  <si>
    <t>Good evening #MoLeg &amp;amp; #MoGov except @Rep_TRichardson 
#Missouri realizing even more the #GreitensIndictment is total witch hunt &amp;amp; #ScammingScott situation confirms it. The more truth gets exposed, the more #MoSwamp tries 2 distract 
What will swamp do tomorrow 2 distract?
#STL https://t.co/juTtkjksQ9</t>
  </si>
  <si>
    <t>We support you Kanye. 
Even Fredrick Douglas spoke of liberating his mind so he remained free even when he a slave. https://t.co/81nqOQBkMo</t>
  </si>
  <si>
    <t>RT @kanyewest: in school we need to learn how magic Johnson built his business not always about the past. Matter fact I've never even heard…</t>
  </si>
  <si>
    <t>RT @kanyewest: when the media masses and scholars talk about what started today. Here's a title ... 
the overground hell road</t>
  </si>
  <si>
    <t>RT @RealCandaceO: “I freed 1,000 slaves. I could have freed 1,000 more if only they knew they were slaves.” -Harriet Tubman</t>
  </si>
  <si>
    <t>RT @magathemaga1: Tell her a hairdresser and her ex husband brought forth details about a consensual affair and the ex husbands lawyer magi…</t>
  </si>
  <si>
    <t>Tell her a hairdresser and her ex husband brought forth details about a consensual affair and the ex husbands lawyer magically got a 100 grand.
Then what was consensual somehow magically turned into “abuse” despite her going back for more.
#MoLeg #mogov #greitens https://t.co/p95AzIy24P</t>
  </si>
  <si>
    <t>RT @stone_toss: There's no such thing as a workforce shortage, there is only a shortage of willingness to raise wages.</t>
  </si>
  <si>
    <t>RT @charliekirk11: Stop calling them migrants. 
They are criminal foreign national border jumpers 
Don’t reward lawlessness. They are ill…</t>
  </si>
  <si>
    <t>RT @RealTravisCook: Not only are they not allowed to have guns to defend themselves from the criminals...now they increasingly aren't allow…</t>
  </si>
  <si>
    <t>RT @1776Stonewall: Kanye West is scaring the left so much that even Maxine Waters is responding to him today and she says that Kanye is a c…</t>
  </si>
  <si>
    <t>RT @RealTravisCook: Click on my pic, and dowload today's radio show--How the #UK is an example to America of what NOT to do when it comes t…</t>
  </si>
  <si>
    <t>RT @VisioDeiFromLA: It’s a non issue. Money is a part of politics. This is just a lame distraction from the #ScammingScott bombshell
I’ve…</t>
  </si>
  <si>
    <t>RT @MoScarlet: Need Exec. Order from @EricGreitens for lifetime ban on some lobbying, 5-years for others. @HennessySTL "All five are in lin…</t>
  </si>
  <si>
    <t>RT @KCNewsGuy: #BREAKING: Missouri Gov. Eric Greitens has authorized the Missouri National Guard to assist with border security. #moleg #mo…</t>
  </si>
  <si>
    <t>RT @VisioDeiFromLA: #BREAKING
#Missouri Gov. @EricGreitens has deployed troops to the southern border to help protect our nation and #Stop…</t>
  </si>
  <si>
    <t>@Neilin1Neil @EricGreitens @AGJoshHawley @KathieConway @ParksKMBZ @sdieckhaus @RealTravisCook @SykesforSenate @Sticknstones4 @inthejungle234 I'll await kathie conway's excuse that it's all on the up and up.</t>
  </si>
  <si>
    <t>RT @RealTravisCook: On today's radio show: How the #UK  is a chilling example of what could quickly happen to America if we give up on our…</t>
  </si>
  <si>
    <t>RT @RealTravisCook: Going up on https://t.co/LqVNagt9Kx right now, discussing how the #UK us a cautionary tale for America, and how it's ti…</t>
  </si>
  <si>
    <t>RT @RealTravisCook: In our second half hour in https://t.co/LqVNagt9Kx Why President #Trump's accomplishments ate so impressive that it sho…</t>
  </si>
  <si>
    <t>RT @TomJEstes: Could Scott Faughn be on his way to his second felony conviction? Would a secretive $50K payment be considered dark money? I…</t>
  </si>
  <si>
    <t>RT @christoferguson: Some follow-up in this one: Scott Faughn, Missouri Times Publisher, Was Behind $50K Payment to Al Watkins. #Moleg http…</t>
  </si>
  <si>
    <t>RT @Sticknstones4: 2nd broad daylight shooting today 
This one unresponsive  another plus 1 to Homocide Toll 
The other was shot in the he…</t>
  </si>
  <si>
    <t>RT @RealTravisCook: If #BallparkVillage hadn't been a #gunfreezone, &amp;amp; if the patrons there had been allowed to carry their own guns, then t…</t>
  </si>
  <si>
    <t>RT @TheLastRefuge2: 1.  "Our President" https://t.co/YUJeIIu0Ey</t>
  </si>
  <si>
    <t>RT @magathemaga1: Same Scott who recently had outstanding tax bill that was just recently paid off that was available on Casenet? Am I mist…</t>
  </si>
  <si>
    <t>@ErgoStreetNurse @joel_capizzi @melody_grover @plwy31 @JohnLamping @DaynaGould @jallman971 @Monetti4Senate @AP4Liberty @SykesforSenate @johncombest @BigJShoota @BackTheCops @BackThePolice @BackTheBlueUSA @BackTheBlue911 @RealTravisCook @HotPokerPrinces @TheNewRight @MoScarlet I wont get into it but I know prob</t>
  </si>
  <si>
    <t>Clean Missouri is Dem/#Soros redistricting scam wrapped in lipstick. STOP IT
✔Tell friends
✔Post on Facebook about scam 
✔Decline 2 sign
✔Spread this meme
TELL FRIENDS AND FAMILY
#missouri #StLouis #stl #kcmo #SCAM #MAGA #CleanMissouri #moleg #mogov #mosen #ksleg #kansas https://t.co/ABq77SHceq</t>
  </si>
  <si>
    <t>RT @magathemaga1: Hey @TomJEstes I have found the book project that Scott Faughn guy is TOTALLY working on! 😂😂🤣🤣
#satire
#MoLeg #MoGov #g…</t>
  </si>
  <si>
    <t>@TomJEstes Found it
Check out @magathemaga1’s Tweet: https://t.co/BZHmI2oGhh</t>
  </si>
  <si>
    <t>Hey @TomJEstes I have found the book project that Scott Faughn guy is TOTALLY working on! 😂😂🤣🤣
#satire
#MoLeg #MoGov #greitens #GreitensIndictment #MoneyBagsAl #ScammingScott #KimShady
@Eric_Schmitt @EricGreitens @MOHouseGOP @gatewaypundit @MarkReardonKMOX @jallman971 https://t.co/Li9UKpAaO8</t>
  </si>
  <si>
    <t>RT @cs0058sc: 😡😡CALIFORNIA HELP!!
Senate Bill 174 amends existing state law to allow appointment of any resident over age of 18 to a civil…</t>
  </si>
  <si>
    <t>RT @nedryun: Iran lied.  https://t.co/5kt4m3QFfv</t>
  </si>
  <si>
    <t>RT @FriendlyJMC: Cartel Tunnel to California Discovered in Mexico https://t.co/VD2TPRyjzd</t>
  </si>
  <si>
    <t>RT @DFBHarvard: Who leaked these alleged questions? 
Mueller still doesn't know who he's got on his team. 
It wasn't Mueller who discover…</t>
  </si>
  <si>
    <t>RT @true_pundit: Why Democrats Are Terrified of ‘Woke Kanye’ https://t.co/bghuHVVC2k</t>
  </si>
  <si>
    <t>Same Scott who recently had outstanding tax bill that was just recently paid off that was available on Casenet? Am I mistaken? If it is, odd how he just now had 50k lying around. Did we ask why he gave it to #MoneyBagsAl
#mogov #moleg #Greitens
@JackSuntrup @MarkReardonKMOX https://t.co/HCrmM0umz8</t>
  </si>
  <si>
    <t>RT @Str8DonLemon: I fully expect all journolists 2 chase #KimShady down hall &amp;amp; ask her nonsensical questions 2 try to trap her like U did w…</t>
  </si>
  <si>
    <t>RT @JW1057: Supplemental "report" (4 pages) regarding EG consisted of a single transcript the committee had for 17 days. Committee makes a…</t>
  </si>
  <si>
    <t>RT @Str8DonLemon: Who is Skyler?
#moleg #mogov #greitens #GreitensIndictment #stl #Missouri https://t.co/CphG7Jk8R6</t>
  </si>
  <si>
    <t>Wtf @realDonaldTrump 
This is bs.
@parscale https://t.co/rlKytCqxuJ</t>
  </si>
  <si>
    <t>RT @Thomas1774Paine: Border Patrol Agents Find Unconscious Tiger in Duffel Bag After Chasing Three Mexicans Trying to Sneak into U.S. https…</t>
  </si>
  <si>
    <t>@Trader_Moe Please god</t>
  </si>
  <si>
    <t>RT @RealTravisCook: At 2:00 CST on https://t.co/LqVNagt9Kx Why the #UK is an example of what can happen if America loses it's freedoms. Als…</t>
  </si>
  <si>
    <t>RT @TomFitton: Mueller questions for @RealDonaldTrump demonstrate special counsel a zombie investigation, pursuing partisan Deep State/Fusi…</t>
  </si>
  <si>
    <t>RT @Sticknstones4: Clark hopes there's also a bigger effort all over St. Louis to stop the violence. He says those resources need to involv…</t>
  </si>
  <si>
    <t>RT @StephenMilIer: I don't think anybody's surprised that the Mueller special counsel, which was appointed due to an illegal leak, has a le…</t>
  </si>
  <si>
    <t>RT @LockeJohn76: @JMcfeels @realDonaldTrump The agenda put forth by the Trump campaign, which expressly was "hard-line" compared to the fie…</t>
  </si>
  <si>
    <t>RT @dareisay1: @JMcfeels @vdare @realDonaldTrump dareisay
This is the organization of U S citizens bringing illegals here: Pueblos Sin Fro…</t>
  </si>
  <si>
    <t>RT @JMcfeels: Stopping the caravan was a litmus test - @realDonaldTrump has failed. Expect tens of thousands to pour across the border in t…</t>
  </si>
  <si>
    <t>RT @eavesdropann: US Catholic Bishops to Americans: Drop Dead https://t.co/0GNn09IaQ4 via @DCClothesline</t>
  </si>
  <si>
    <t>RT @drawandstrike: Leftists who spent years practicing identity politics now attempting to master the fine art of telling a powerful black…</t>
  </si>
  <si>
    <t>That's not an assault rifle https://t.co/ERNvAz69NI</t>
  </si>
  <si>
    <t>RT @MsAvaArmstrong: IF we have CONSERVATIVES (i.e. real ones) in Congress in 2018 -- they will make new immigration laws: 
1. end visa lott…</t>
  </si>
  <si>
    <t>RT @JudgeJeanine: ICYMI: My #OpeningStatement from Saturday night. Take a look!
https://t.co/lOSlhZLUEm</t>
  </si>
  <si>
    <t>RT @KokeReport: WATCH: CNN's Chris Cuomo Shills for Iran Deal, Gets Basic Facts Wrong in Combative Netanyahu Interview @netanyahu
 https://…</t>
  </si>
  <si>
    <t>RT @molratty: This explains why you front-loaded the concessions to Iran and included the sunset provisions. Wait, no it doesn't. https://t…</t>
  </si>
  <si>
    <t>RT @EdBigCon: @HCoil @ES03784893 @McGrawMilhaven @AP4Liberty @550KTRS @SpeakerTimJones @rexsinquefield You tried to get everyone kick off t…</t>
  </si>
  <si>
    <t>RT @christoferguson: Spill it Al: Appeals court denies lawyer Al Watkins' plea to avoid questions about $100k payment. #Moleg  https://t.co…</t>
  </si>
  <si>
    <t>RT @VisioDeiFromLA: Per @jrosenbaum:
“Correction: The MO Supreme Court denied a bid to prevent Al Watkins from answering more questions ab…</t>
  </si>
  <si>
    <t>RT @magathemaga1: Per @MarkReardonKMOX 
"Even though @scottfaughn can't join me this afternoon I *will* tell you at 2:05 where the $50k ca…</t>
  </si>
  <si>
    <t>RT @VisioDeiFromLA: Good question for @MarkReardonKMOX when he talks about the source of #ScammingScott money 
Who is paying Scott Simpson…</t>
  </si>
  <si>
    <t>RT @Mizzourah_Mom: @JCPenknife Obviously #moleg is banking he would. Dirty politics in Missouri!</t>
  </si>
  <si>
    <t>RT @JCPenknife: Is there any chance now that a Gov. Parson can reinstate the LIHTC for his developer bros given the Faughn news? #mogov #mo…</t>
  </si>
  <si>
    <t>RT @Sticknstones4: It’s so obvious 🔮, 
We the people 👨🏻‍💼🙎🏽‍♀️👩🏼‍💼👨🏾‍💼 SEE 🔎the Witch Hunt 🧙🏽‍♀️
Stay Strong 💪🏻 &amp;amp; Keep Fighting the Corrup…</t>
  </si>
  <si>
    <t>RT @Str8DonLemon: Journalists!
If U don't want public 2 mistrust U, dont berate citizens when we ask questions U SHOULD BE ASKING
Eg. KS/…</t>
  </si>
  <si>
    <t>RT @JCPenknife: For sale by Scott Faughn. Only used once. #mogov #Greitens #moleg https://t.co/79Z6TRXO6W</t>
  </si>
  <si>
    <t>RT @VisioDeiFromLA: What #MoLeg believes doesn’t make it objective truth.
#MoLeg also hates @EricGreitens so they are in no position 2 del…</t>
  </si>
  <si>
    <t>RT @Norasmith1000: And, NO ONE forced this woman to go to SHEENA's house. She knew EG is married, if she didnt want or expect sex there wou…</t>
  </si>
  <si>
    <t>RT @YearOfZero: Like many, I’ve read through both. As a long time LEO, Let me say this: IT IS CONTRADICTORY 
To me, what is most alarming…</t>
  </si>
  <si>
    <t>RT @YearOfZero: Also noticed inconsistencies like this when I read both. 
@MOHouseGOP IC flat out lying 2 public #greitens 
I know news o…</t>
  </si>
  <si>
    <t>RT @JW1057: Why did then"investigative committee" release a doctored "transcript?" It is NOT a transcript. Why would KS refer to herself as…</t>
  </si>
  <si>
    <t>RT @JW1057: @TeamGreitens @EricGreitens @SheenaGreitens 
The committee "investigating" Greitens has lied yet again to the people. This is…</t>
  </si>
  <si>
    <t>Per @MarkReardonKMOX 
"Even though @scottfaughn can't join me this afternoon I *will* tell you at 2:05 where the $50k came from...tune in @KMOX "
#ScammingScott #moleg #mogov #greitens #GreitensIndictment #stl #stlouis #Kcmo #mosen https://t.co/Gtz7f4yI5o</t>
  </si>
  <si>
    <t>RT @prayingmedic: The Israeli intelligence op that exposed Iran's nuclear weapons program. 👇🏼 https://t.co/PvLF75BUIh</t>
  </si>
  <si>
    <t>RT @AIIAmericanGirI: WHOA: NBC's Tom Brokaw problem just maybe got a WHOLE LOT WORSE https://t.co/gSgAJ4zEWV @TwitchyTeam #AAG</t>
  </si>
  <si>
    <t>RT @magathemaga1: 🚨 #ScammingScott UPDATE 🚨 
Per @MarkReardonKMOX 
“Just been told by Scott Faughn that he will *not* be able to come on…</t>
  </si>
  <si>
    <t>🚨 #ScammingScott UPDATE 🚨 
Per @MarkReardonKMOX 
“Just been told by Scott Faughn that he will *not* be able to come on at 3.30p this afternoon. Frustrating....trying to figure it out.”
#moleg #mogov #greitens #kmox #GreitensIndictment #stl
#moneybagsal #stlouis #missouri https://t.co/MxeUyCVwo1</t>
  </si>
  <si>
    <t>RT @Str8DonLemon: Journalists!
Lesson 3!
Attacking people who ask good questions isnt a good strategy.
Also, asking good questions about…</t>
  </si>
  <si>
    <t>RT @Str8DonLemon: Journalists!
Lesson 2!
Trust is earned. You dont automatically get it.
Gain trust? I would ask: is there common thread…</t>
  </si>
  <si>
    <t>RT @VisioDeiFromLA: It's not a witch hunt 
It's not a witch hunt 
It's not a witch hunt 
It's not a witch hunt 
It's not a witch hunt 
It's…</t>
  </si>
  <si>
    <t>RT @Norasmith1000: @Shawtypepelina @scottfaughn Now we know the press is involved its even more ridiculous! Plus I thought Faughn couldn't…</t>
  </si>
  <si>
    <t>RT @JGibsonDem: Former Poplar Bluff mayor, Missouri Times publisher, and This Week In Missouri Politics host Scott Faughn was the one behin…</t>
  </si>
  <si>
    <t>RT @Mike_Press19: Mark Levin Reveals one Thing Trump Is Doing That Is Driving Progressives Nuts &amp;lt; America Fans https://t.co/J1GRoaevw5 via…</t>
  </si>
  <si>
    <t>RT @realDonaldTrump: Kanye West has performed a great service to the Black Community - Big things are happening and eyes are being opened f…</t>
  </si>
  <si>
    <t>RT @johncardillo: Life came at @JohnBrennan really really fast on this one. https://t.co/wpIsGbjrdO</t>
  </si>
  <si>
    <t>RT @AnthemRespect: @ScottPresler Very true @ScottPresler. Very true.
Also check out #ErinCruzUSSenateCA @RealErinCruz. If we can get ErinCr…</t>
  </si>
  <si>
    <t>RT @Cernovich: Sweet revenge for the Admiral Jackson lies from Jon Tester. https://t.co/iKiCOv399o</t>
  </si>
  <si>
    <t>RT @realDonaldTrump: The migrant ‘caravan’ that is openly defying our border shows how weak &amp;amp; ineffective U.S. immigration laws are. Yet De…</t>
  </si>
  <si>
    <t>RT @SebGorka: Why oh why so quiet today my dear??
@AmbRice44 https://t.co/1hl5vtp9SL</t>
  </si>
  <si>
    <t>RT @SupportDJTNow: We spend over $100 billion on illegal immigrants. We spend further tens of billions on free services. 
Imagine all the g…</t>
  </si>
  <si>
    <t>RT @SebGorka: Why so quiet today @brhodes?
What happened to cocksure Benny? 
How come you’re not lecturing America on your amazing Iran D…</t>
  </si>
  <si>
    <t>RT @rxpatrick: Scott Faughn, owner of the Missouri Times, gave $50k cash to the lawyer for the ex-husband of the accuser of MO Gov. Eric Gr…</t>
  </si>
  <si>
    <t>RT @RealJamesWoods: Put this clip in every campaign video for Republican women running for office in #2018. It’s a gift from heaven.  https…</t>
  </si>
  <si>
    <t>RT @zerohedge: NSA Whistleblower: "Impossible To Communicate Safely... NSA Knows Our Weaknesses" https://t.co/eEnvvikNIN</t>
  </si>
  <si>
    <t>RT @PoliticalShort: State of #Resistance: Bill Would Let Illegals Serve on California Boards. https://t.co/KDEfaUlPOS</t>
  </si>
  <si>
    <t>RT @magathemaga1: I’ve been corrected. Some people are telling me we’ve surpassed the 40 homicides by April... well it is almost may, so ..…</t>
  </si>
  <si>
    <t>Hey @staceynewman I assume your also going to be asking for NADALs resignation too?
#moleg #mogov https://t.co/f7yzywZJl4</t>
  </si>
  <si>
    <t>RT @magathemaga1: @JW1057 @russellkinsaul @GovGreitensMO @KMOV Sorry Russell it isnt credible at all
So it hasn't been a secret that estab…</t>
  </si>
  <si>
    <t>RT @VisioDeiFromLA: I didnt know U controlled what people say
Regardless, faughns role in #MoneyBagsAl situation insanely disturbing given…</t>
  </si>
  <si>
    <t>RT @DeplorableGoldn: RT🚨
I didnt know U controlled what people say
Regardless, faughns role in #MoneyBagsAl situation insanely disturbing…</t>
  </si>
  <si>
    <t>RT @magathemaga1: #Moleg 
I posted this last week as a spoof on  #MoneyBagsAl discussion with PS
Totally just being satirical about curre…</t>
  </si>
  <si>
    <t>@JW1057 @russellkinsaul @GovGreitensMO @KMOV Sorry Russell it isnt credible at all
So it hasn't been a secret that establishment Republicans are @EricGreitens enemies and I agree with that, yet they want us to believe them?
Nope.
#moleg #MoGov #greitens https://t.co/W0eYgdaG1Q</t>
  </si>
  <si>
    <t>RT @JW1057: @russellkinsaul @GovGreitensMO @KMOV Sorry, we give no respect or deference to the USSR tribunal being held by the MO House. 
#…</t>
  </si>
  <si>
    <t>RT @DeplorableGoldn: RT🚨
Why is your "conscience" bothering you? You were just going to talk.
#moleg #mogov #greitens #KimShady #IStandWit…</t>
  </si>
  <si>
    <t>RT @Avenge_mypeople: Just to put this whole #Greitens  affair in perspective: Scott Faughn, owner of Missouri Times gave at least $50,000 t…</t>
  </si>
  <si>
    <t>RT @VisioDeiFromLA: Great point! 
#moleg #MoGov #Greitens https://t.co/rEbmSlY4Pl</t>
  </si>
  <si>
    <t>RT @magathemaga1: ⚠️ BREAKING ⚠️
Sketch released of person who convinced PS to go to KMOV with made up story about #Greitens &amp;amp; KS
Since #…</t>
  </si>
  <si>
    <t>RT @VisioDeiFromLA: Credit is due: Solid reporting by @jrosenbaum on #MoneyBagsAl &amp;amp; mysterious 100 k payment
Read/Retweet &amp;amp; ask yourself:…</t>
  </si>
  <si>
    <t>RT @VisioDeiFromLA: MO Supreme Court has denied bid to prevent the #MoneyBagsAl deposition
HT: @jrosenbaum 
#moneybagsal #moleg #mogov #m…</t>
  </si>
  <si>
    <t>Clean Missouri is Dem/#Soros redistricting scam wrapped in lipstick. STOP IT
✔Tell friends
✔Post on Facebook about scam 
✔Decline 2 sign
✔Spread this meme
TELL FRIENDS AND FAMILY
#missouri #StLouis #stl #kcmo #SCAM #MAGA #CleanMissouri #moleg #mogov #mosen #ksleg #kansas https://t.co/glHJH45tzB</t>
  </si>
  <si>
    <t>RT @realDonaldTrump: During Small Business Week, we celebrate the great, hard-working entrepreneurs across our country who have started and…</t>
  </si>
  <si>
    <t>RT @Thomas1774Paine: I read portion of McCain's sick-bed manifesto that was made public today. He still doesn't get it because he is an eli…</t>
  </si>
  <si>
    <t>RT @true_pundit: Rep. King: Russia Probe Is a ‘Very Shameful Chapter’ In History of the FBI (VIDEO) https://t.co/TDOtCjhpyN</t>
  </si>
  <si>
    <t>RT @Thomas1774Paine: Rep. King: Russia Probe Is a ‘Very Shameful Chapter’ In History of the FBI (VIDEO) https://t.co/YRLTOyKBQa</t>
  </si>
  <si>
    <t>⚠️ BREAKING ⚠️
Sketch released of person who convinced PS to go to KMOV with made up story about #Greitens &amp;amp; KS
Since #MoneyBagsAl payment of 100k, police want citizens of #Missouri to be on lookout 4 a BEN FRANKLIN
They say he is HIGHLY PERSUASIVE
#MoLeg #MoGov #StLouis https://t.co/L2V2BCku0k</t>
  </si>
  <si>
    <t>#Moleg 
I posted this last week as a spoof on  #MoneyBagsAl discussion with PS
Totally just being satirical about current events... but still.... makes me wonder...
#mogov #greitens #GreitensIndictment #stlouis #ScammingScotty #KimShady #Missouri https://t.co/LIUAmZwYrH</t>
  </si>
  <si>
    <t>RT @nntaleb: The picture is horrible. But OK interview. https://t.co/JMrDSUfcCp via @Esquire</t>
  </si>
  <si>
    <t>RT @CStamper_: Team Obama’s spin is apparently, “we always knew Iran was dishonest, and that’s why we made a deal with them.” 
It makes no…</t>
  </si>
  <si>
    <t>RT @TomJEstes: I’m writing a book. To which lawyer do I give my 50K? I have it ready to go in a brown paper bag. #moleg</t>
  </si>
  <si>
    <t>RT @KimKardashian: Twitter is such a bette place with @kanyewest on here 😍</t>
  </si>
  <si>
    <t>RT @Str8DonLemon: Question #MoLeg
If @scottfaughn was getting paid, what other journalists were getting paid???
Any at all?
Fair questio…</t>
  </si>
  <si>
    <t>RT @Str8DonLemon: So @scottfaughn paid #MoneyBagsAl 50k to concoct this scheme... or was he just the message boy?
To all schemers out ther…</t>
  </si>
  <si>
    <t>RT @Str8DonLemon: Simple question. It's designed to create conversation. If its stupid, then explain why?
Given FUSION GPS paid journalist…</t>
  </si>
  <si>
    <t>RT @JW1057: @jmannies Of course, that also undermines the claim that the committee is NOT biased because five of the seven members are Repu…</t>
  </si>
  <si>
    <t>RT @VisioDeiFromLA: Which means #MoLeg committee headed by barnes &amp;amp; much of #MoGov is tainted &amp;amp; has bias against @EricGreitens 
The people…</t>
  </si>
  <si>
    <t>RT @CStamper_: As of a few months ago deceptive media hack Scott Faughn was so broke he couldn’t even pay a bill that was under $1,500. He…</t>
  </si>
  <si>
    <t>Do it! https://t.co/l8yCuCkMSh</t>
  </si>
  <si>
    <t>RT @DeplorableGoldn: Karma never forgets, Visio!  They will get theirs. #MoLeg #mogov #MOSen #greitens https://t.co/ziPfmMwJRY</t>
  </si>
  <si>
    <t>RT @DeplorableGoldn: You have got to be kidding me?!?! 
#MOSen #mogov #MoLeg #greitens https://t.co/vVAnaXia7E</t>
  </si>
  <si>
    <t>RT @EdBigCon: @ws_missouri Hey Fools! We told you it was the tax credits weeks ago! #moleg</t>
  </si>
  <si>
    <t>RT @DeplorableGoldn: Sums up how I feel 100% #MoLeg #mogov #MOSen #greitens #IStandWithGreitens https://t.co/5uM8TxTtE4</t>
  </si>
  <si>
    <t>RT @RiverfrontTimes: If you thought the intrigue surrounding Governor Eric Greitens was straight out of House of Cards, just wait 'til you…</t>
  </si>
  <si>
    <t>RT @magathemaga1: Lol is he gonna talk about that 50k bag drop off?
#MoLeg #mogov https://t.co/j5bdyDvm56</t>
  </si>
  <si>
    <t>@MikeRodriquez @BryanLowry3 @EricGreitens @scottfaughn Ask yourself why the media wont report that other politicans dated this girl...</t>
  </si>
  <si>
    <t>RT @BryanLowry3: Also a response to the latest #moleg report https://t.co/BloUJcg52i</t>
  </si>
  <si>
    <t>RT @VisioDeiFromLA: Its “belief” is based on lack of jurisprudence &amp;amp; they never cross examined the witness!
The committee also hates @Eric…</t>
  </si>
  <si>
    <t>RT @StevenDialTV: Statement from @EricGreitens legal team."Just as we learned today that a member of the Jefferson City media dropped off $…</t>
  </si>
  <si>
    <t>RT @AngelaLily0501: #MAGA #moleg @realDonaldTrump @ScottPresler @DonaldJTrumpJr https://t.co/Mx5CG1ZwtR</t>
  </si>
  <si>
    <t>RT @EdBigCon: @KMOXKilleen Don't forget that Rex Sinquefield funds the Missouri Times and Clayton Times! #moleg</t>
  </si>
  <si>
    <t>RT @magathemaga1: The committee has no justification. 
They just released a SHAM report to try to cover up the mistake they made in not cr…</t>
  </si>
  <si>
    <t>RT @BryanLowry3: And the source of one of those payments to the ex-husband’s lawyer turns out to be the publisher of the Missouri Times who…</t>
  </si>
  <si>
    <t>RT @CStamper_: Did he ever disclose that conflict of interest to his viewers? To the stations that air his show? #moleg #mogov https://t.co…</t>
  </si>
  <si>
    <t>Lol is he gonna talk about that 50k bag drop off?
#MoLeg #mogov https://t.co/j5bdyDvm56</t>
  </si>
  <si>
    <t>RT @magathemaga1: They are lying Lauren. And you are praying on dumb people to actually believe this. If you actually read both, INCONSISTE…</t>
  </si>
  <si>
    <t>The committee has no justification. 
They just released a SHAM report to try to cover up the mistake they made in not cross examine the witness, but the witness testimony is still unreliaable and inconsistent. 
Just cuz a #MoLeg committee says so doesn’t make it so. 
#mogov https://t.co/9ujB5d0r7H</t>
  </si>
  <si>
    <t>They are lying Lauren. And you are praying on dumb people to actually believe this. If you actually read both, INCONSISTENT 
#moleg #mogov #Greitens https://t.co/hlZMYRyvLR</t>
  </si>
  <si>
    <t>RT @Norasmith1000: @SKOLBLUE1 @ScottCharton @EricGreitens @scottfaughn @JaneDueker Seems to me that #moleg addendum comes at again, perfect…</t>
  </si>
  <si>
    <t>RT @CStamper_: In November 2017 Scott Faughn was sued for not paying his bills. In February 2018 he secretively hand-delivered $50,000 in c…</t>
  </si>
  <si>
    <t>RT @JW1057: @KRCG13 There's nothing in this "report" that causes me to conclude that this is NOT sham committee run by the unethical and co…</t>
  </si>
  <si>
    <t>RT @JW1057: @jaybarnes5 "As a result, the Committee will no longer provide such deference to [EG] cherry-picked evidence."
Barnes then adm…</t>
  </si>
  <si>
    <t>RT @JW1057: @ws_missouri @jaybarnes5 criticizes "cherry-picked evidence" and then releases second "report" while admitting to not having fu…</t>
  </si>
  <si>
    <t>RT @gocrazy4cards: The testimony wasnt consistent at all lol
#moleg #mogov https://t.co/CMUp0wJxz9</t>
  </si>
  <si>
    <t>RT @TomJEstes: Hi, Jane. I have never commented on the House members. I’m just curious about what you knew about the 50K payment made to th…</t>
  </si>
  <si>
    <t>RT @J_Hancock: Missouri publisher helped pay Al Watkins, lawyer for ex-husband in Greitens affair
https://t.co/gpo77UNprJ #MOleg #greitens…</t>
  </si>
  <si>
    <t>RT @VisioDeiFromLA: So #MoLeg little report. Lol. It adds nothing! Still 0 cross examination!
Did @MOHouseGOP just put it out to cover up…</t>
  </si>
  <si>
    <t>RT @VisioDeiFromLA: You should ask #MoLeg about affair they all knew about in 2016... this "addendum" is a stunt
The witness testimony con…</t>
  </si>
  <si>
    <t>RT @st_vockrodt: NEW: Al Watkins testified in a deposition that he received $50,000 from Missouri Times publisher Scott Faughn. "Faughn has…</t>
  </si>
  <si>
    <t>RT @VisioDeiFromLA: They are lying.
They are lying 
They are lying
What makes her credible?
As a lawyer, you should know she wasnt even c…</t>
  </si>
  <si>
    <t>RT @JW1057: Why is your "conscience" bothering you? You were just going to talk.
#moleg #mogov #greitens #KimShady #IStandWithGreitens htt…</t>
  </si>
  <si>
    <t>RT @VisioDeiFromLA: Accuser isnt credible
Kept seeing
Didnt go to police
Witness testimony inconsistent
Now money is involved 
Is Scott Si…</t>
  </si>
  <si>
    <t>RT @Sticknstones4: @JW1057 @jaybarnes5 The people of Missouri are not buying 
crooked #moleg BS &amp;amp;  all their behind close door meeting 
Ho…</t>
  </si>
  <si>
    <t>RT @magathemaga1: Lol. 
DEFLECTION. That may be. But the money issue is a real issue. I won’t go as far as Tom but this is disturbing. Sco…</t>
  </si>
  <si>
    <t>RT @shesova: The #moleg standard. Charge .@EricGreitens with anything to get a Rep out of office. @MissouriGOP @molegislature @StLouisCityC…</t>
  </si>
  <si>
    <t>RT @VisioDeiFromLA: In February, I posed the question, total speculation, but CUI BONO?
Who benefits? 
And I also asked:
Who is screamin…</t>
  </si>
  <si>
    <t>RT @TomJEstes: So, the convicted felon who owns the failing and insignificant Missouri Times, Scott Faughn, paid a lawyer $50K to try and b…</t>
  </si>
  <si>
    <t>RT @Sticknstones4: And the press wonders why the  public distrusts them 
Right Here !   
The unethical #scammingScott 
And all the #mole…</t>
  </si>
  <si>
    <t>RT @EdBigCon: @rxpatrick Don't forget that Rex Sinquefield funds the Missouri Times! #moleg</t>
  </si>
  <si>
    <t>@frankjcatanzaro #ScammingScotty ?</t>
  </si>
  <si>
    <t>RT @frankjcatanzaro: Just when you thought it couldn’t get any weirder...#MOLeg  https://t.co/RayMJVQAdW</t>
  </si>
  <si>
    <t>RT @CStamper_: Soros-backed Kim Gardner’s witch hunt was launched when a media member who has been criticizing the governor for years hand…</t>
  </si>
  <si>
    <t>Lol. 
DEFLECTION. That may be. But the money issue is a real issue. I won’t go as far as Tom but this is disturbing. Scott has been the leading anti #greitens person in MO so this should be looked at closely. 
@TomJEstes 
#moleg #mogov @Eric_Schmitt @DRUDGE @gatewaypundit https://t.co/IJeWy4jvkK</t>
  </si>
  <si>
    <t>RT @TomJEstes: @JaneDueker @AGJoshHawley Your threats are pathetic and sad. Everyone tweets all day. Now that we’ve cleared that up, how mu…</t>
  </si>
  <si>
    <t>RT @TomJEstes: @JaneDueker has never responded so quickly. Makes you wonder, what does she know? When did she know it? #moleg #mogov https:…</t>
  </si>
  <si>
    <t>RT @Sticknstones4: @TomJEstes Every #moleg  member that gave that paper interviews on greitens should Resign</t>
  </si>
  <si>
    <t>RT @VisioDeiFromLA: Tax credits ...
#Moleg #Mogov #Greitens https://t.co/6rSKlQAjEM</t>
  </si>
  <si>
    <t>RT @JackSuntrup: Breaking: Missouri Times owner gave lawyer $50,000 before Greitens indictment, defense claims https://t.co/CwWZMXKgy2 via…</t>
  </si>
  <si>
    <t>RT @TomJEstes: What did @JaneDueker know, and when did she know it? #moleg https://t.co/zxLDJUcyi6</t>
  </si>
  <si>
    <t>RT @EdBigCon: @jrosenbaum @scottfaughn Don't forget that Rex Sinquefield funds the Missouri Times! #moleg</t>
  </si>
  <si>
    <t>RT @YearOfZero: Honesty I was expecting more of a Ray Donovan like character ...
#MoLeg #MoGov #Greitens #Stlouis #Missouri #mosen #greite…</t>
  </si>
  <si>
    <t>RT @KCNewsGuy: Lawyers for Gov. Eric Greitens said the publisher of a newspaper was behind some of the mysterious cash payments that were s…</t>
  </si>
  <si>
    <t>RT @VisioDeiFromLA: Well @JackSuntrup the post dispatch is the propaganda arm of the DNC in #Missouri
Is this really surprising?
#moleg #…</t>
  </si>
  <si>
    <t>RT @VisioDeiFromLA: Per @jrosenbaum 
“Jim Martin says that @scottfaughn delivered $50K in cash to Watkins to deal with the Greitens fallou…</t>
  </si>
  <si>
    <t>RT @J_Hancock: Wow. #MoLeg #GreitensIndictment https://t.co/rZCIxKAaxn</t>
  </si>
  <si>
    <t>RT @YearOfZero: In Light of #MonegBagsAl thing &amp;amp; these people having money and being couriers, what I would ask:
1. Any large purchases la…</t>
  </si>
  <si>
    <t>RT @VisioDeiFromLA: Isn’t it convenient the media and the corrupt @MOHouseGOP they timed the release of the addendum to coincide with the b…</t>
  </si>
  <si>
    <t>@NoMoSocialism75 @AngelaLily0501 @mvbcdo @jeffreyscarson @AP4Liberty @HennessySTL @Monetti4Senate @SykesforSenate Going into debt is a part of campaigning. 
If debt were the issue then wouldn’t that make #LadderBoy the best choice?
Did you even vote for trump?</t>
  </si>
  <si>
    <t>@NoMoSocialism75 @AngelaLily0501 @mvbcdo @jeffreyscarson @AP4Liberty @HennessySTL @Monetti4Senate @SykesforSenate I actually don’t like weed either but I don’t think it should be illegal. I thinks it is a disgusting habit but people should be free to do whatever. Immigration takes priority</t>
  </si>
  <si>
    <t>@NoMoSocialism75 @AngelaLily0501 @mvbcdo @jeffreyscarson @AP4Liberty @HennessySTL @Monetti4Senate @SykesforSenate So he doesn’t like weed? I’m not going 2 base vote on that. Immigration is number one threat to the country, and that’s what I’ll be basing my vote on. I’m open to hearing all sides #mosen 
point is moot anyway. Trump plans to reschedule. Watch
@Monetti4Senate @SykesforSenate</t>
  </si>
  <si>
    <t>I’ve been corrected. Some people are telling me we’ve surpassed the 40 homicides by April... well it is almost may, so ... #stl #stlouis #missouri #mogov</t>
  </si>
  <si>
    <t>RT @magathemaga1: With all due respect, this statement is idiocy
It’s a City of STL problem
It’s a City of STL LEADERSHIP problem
40 homi…</t>
  </si>
  <si>
    <t>@NoMoSocialism75 @AngelaLily0501 @mvbcdo @jeffreyscarson @AP4Liberty @HennessySTL @Monetti4Senate @SykesforSenate As for weed? I’m not sure what he said, and although I’m not a fan of sessions, his position legally was correct. It’s not up to him. He can issue guidance, but congress really should act</t>
  </si>
  <si>
    <t>@NoMoSocialism75 @AngelaLily0501 @mvbcdo @jeffreyscarson @AP4Liberty @HennessySTL @Monetti4Senate @SykesforSenate You mean courtland? That’s not what courtland said, if that’s what your talking about. His actual statement is pretty reasonable. Modern day 3rd wave feminism is cancer. Not to be confused with with the earlier waves where they were actually fighting for rights.</t>
  </si>
  <si>
    <t>With all due respect, this statement is idiocy
It’s a City of STL problem
It’s a City of STL LEADERSHIP problem
40 homicides as of April in #STL
#StLouis needs tough love, not statues torn down
LEADERSHIP
We need a Guliani, not Dinkins or DeBlasio
#MoLeg #MoGov #Missouri https://t.co/C18aub7QFg</t>
  </si>
  <si>
    <t>RT @SKOLBLUE1: @LydaKrewson When MAYOR are you going to resign and admit you bit off more than you can chew? With your kindergarten cake-wa…</t>
  </si>
  <si>
    <t>RT @IngrahamAngle: Any time conservatives are criticized for a comment, post or tweet, they should simply respond: “I genuinely do not beli…</t>
  </si>
  <si>
    <t>@NoMoSocialism75 @AngelaLily0501 @mvbcdo @jeffreyscarson @AP4Liberty @HennessySTL @Monetti4Senate @SykesforSenate Bro, your taking to somebody who has spent decades on this issue alone. This is not a boil the frog situation. This is a defcon 9 situation. We still aren’t enforcing our laws. We need tough people in there who will enforce</t>
  </si>
  <si>
    <t>@NoMoSocialism75 @AngelaLily0501 @mvbcdo @jeffreyscarson @AP4Liberty @HennessySTL @Monetti4Senate @SykesforSenate TX is also a case study. They have illegals too but they have a Gov fighting for Americans. I've also noticed they seem to do better job americanizing Latinos legal or illegal. 
California complete opposite</t>
  </si>
  <si>
    <t>@NoMoSocialism75 @AngelaLily0501 @mvbcdo @jeffreyscarson @AP4Liberty @HennessySTL @Monetti4Senate @SykesforSenate Look, if people coming here illegally knew we were serious about our laws, we wouldn't need a wall.
But they know we arent and California has been hijacked by la Raza separatists (Not joking). Just watch what happens next 10 years.</t>
  </si>
  <si>
    <t>@NoMoSocialism75 @AngelaLily0501 @mvbcdo @jeffreyscarson @AP4Liberty @HennessySTL @Monetti4Senate @SykesforSenate Sanctuary cities are technically illegal in my opinion but yeah it's a multifaceted problem</t>
  </si>
  <si>
    <t>@NoMoSocialism75 @AngelaLily0501 @mvbcdo @jeffreyscarson @AP4Liberty @HennessySTL @Monetti4Senate @SykesforSenate I'm not talking about a wall. I would be happy if we enforced the current laws down to the tee! The reason we are in this situation is because we havent been enforcing laws we have! Even trump has gone way too easy</t>
  </si>
  <si>
    <t>@KMOXKilleen  https://t.co/pyVmJBZOtD</t>
  </si>
  <si>
    <t>@NoMoSocialism75 @AngelaLily0501 @mvbcdo @jeffreyscarson @AP4Liberty @HennessySTL @Monetti4Senate @SykesforSenate Trump hasn't got any concessions from Democrats even when he offered a generous deal because they dont want a deal. They want complete amnesty of 40 million illegals. And when that happens? Good by 2nd amendment and liberty.</t>
  </si>
  <si>
    <t>@NoMoSocialism75 @AngelaLily0501 @mvbcdo @jeffreyscarson @AP4Liberty @HennessySTL @Monetti4Senate @SykesforSenate No, we have laws codified by Democrats and Republicans.
You know what the statuette calls them?
Deportable aliens.
Because they are supposed to be deported.
Deport them.</t>
  </si>
  <si>
    <t>@NoMoSocialism75 @AngelaLily0501 @mvbcdo @jeffreyscarson @AP4Liberty @HennessySTL @Monetti4Senate @SykesforSenate Democrats dont want illegal stopped as they depend on 1st gen. We know 4th and 5th gen start to trend right. Hence this battle. 
We need to slow it down. Weve done it before. 
And if America is to survive and liberty is to thrive, we need to do it again</t>
  </si>
  <si>
    <t>@NoMoSocialism75 @AngelaLily0501 @mvbcdo @jeffreyscarson @AP4Liberty @HennessySTL @Monetti4Senate @SykesforSenate READ THIS AS IT SHOULD BE MANDATORY FOR ANY CONSERVATIVE 
https://t.co/w4YZpDJbGw</t>
  </si>
  <si>
    <t>@NoMoSocialism75 @AngelaLily0501 @mvbcdo @jeffreyscarson @AP4Liberty @HennessySTL @Monetti4Senate @SykesforSenate I'm saying we need a drastic reduction of legal immigration and to completely end illegal immigration. 
On path to Brazil or the Balkans if not. California doesnt vote liberty? Why? Constant immigration. We are replacing Americans with people who dont share our taste for liberty</t>
  </si>
  <si>
    <t>@NoMoSocialism75 @AngelaLily0501 @mvbcdo @jeffreyscarson @AP4Liberty @HennessySTL @Monetti4Senate @SykesforSenate You want to talk up liberty but you will never have guys like @AP4Liberty elected if you keep 1st gen immigrants coming in at the current rate as they dont have the concept of liberty we do. 
And I have the reaseaech and data to back up my assertions.</t>
  </si>
  <si>
    <t>@NoMoSocialism75 @AngelaLily0501 @mvbcdo @jeffreyscarson @AP4Liberty @HennessySTL @Monetti4Senate @SykesforSenate I worked on this issue for decades. It's not hyperbolic at all. It is the single biggest threat to America and unity.
Yes I said it.
We need a huge moratorium. We need laws enforced. Limited immigration to merit only.
I dont think you realize how bad the issue has gotten</t>
  </si>
  <si>
    <t>@NoMoSocialism75 @AngelaLily0501 @mvbcdo @jeffreyscarson @AP4Liberty @HennessySTL @Monetti4Senate @SykesforSenate Who is banshee?</t>
  </si>
  <si>
    <t>@NoMoSocialism75 @AngelaLily0501 @mvbcdo @jeffreyscarson @AP4Liberty @HennessySTL @Monetti4Senate @SykesforSenate The judiciary in regards to illegal and legal immigration is huge problem.</t>
  </si>
  <si>
    <t>@NoMoSocialism75 @AngelaLily0501 @mvbcdo @jeffreyscarson @AP4Liberty @HennessySTL @Monetti4Senate @SykesforSenate Oh they are getting in. They have open borders la Raza lawyers helping them manipulate asylum requests as we speak. They need to be sent back. Troops at border now!</t>
  </si>
  <si>
    <t>RT @KTHopkins: Ask yourself; who is Co-ordinating the #MigrantCaravan? Who is sending legal advice? Who sorted border arrival party? Who is…</t>
  </si>
  <si>
    <t>RT @polishprincessh: Jumping our border knowing that this is getting media attention. Basically flipping every American citizen off by ente…</t>
  </si>
  <si>
    <t>RT @magathemaga1: Looking forward to this deposition, #MoneyBagsAl!
#moleg #Mogov #kimshady #stlouis  #stl #kcmo #greitens #Missouri #BREA…</t>
  </si>
  <si>
    <t>@NoMoSocialism75 @AngelaLily0501 @mvbcdo @jeffreyscarson @AP4Liberty @HennessySTL @Monetti4Senate @SykesforSenate Oh I want closed borders completely. Merit based immigration only. Everybody else can take a hike! I don’t know if that’s closed or open, but we need drastic reduction in legal and illegal immigration if we are to survive as a nation. I see Balkanization ahead if not</t>
  </si>
  <si>
    <t>RT @JCunninghamMO: FINALLY A REPORTER GOES DIRECTLY TO THE PEOPLE AND GETS WHAT I’VE BEEN HEARING. OVERZEALOUS ELECTED OFFICIALS ARE SHOOTI…</t>
  </si>
  <si>
    <t>RT @JTMYVA: @kanyewest The point of socialism is to drag everyone down to be at the same level of court. There would have been no Kanye Wes…</t>
  </si>
  <si>
    <t>@NoMoSocialism75 @AngelaLily0501 @mvbcdo @jeffreyscarson @AP4Liberty @HennessySTL @Monetti4Senate @SykesforSenate The wall is one thing,  but they keep violating our laws because they know we wont enforce them. The problem was entirely created by not enforcing laws we have! We need to send feed into people to be honest</t>
  </si>
  <si>
    <t>@NoMoSocialism75 @AngelaLily0501 @mvbcdo @jeffreyscarson @AP4Liberty @HennessySTL @Monetti4Senate @SykesforSenate not just the magnet that needs to be cut off, how do you do it in a place like Cali where they will disregard the law?
Further what about current enforcement of laws we already have? they are even getting in the way of that! We need more senators who will support existing laws!</t>
  </si>
  <si>
    <t>@NoMoSocialism75 @AngelaLily0501 @mvbcdo @jeffreyscarson @AP4Liberty @HennessySTL This is the one reason I’m looking at @Monetti4Senate and @SykesforSenate over @AP4Liberty 
This one is hard to get over to be honest. We need strong enforcement of the law and a secure border period. Auston does say we need to cut off the magnet but easier said than done</t>
  </si>
  <si>
    <t>RT @HennessySTL: We need a bright new liberty-first candidate to take down the Lunch Lady Claire McCaskill in 2018 #mosen</t>
  </si>
  <si>
    <t>@AvrilMai91 @ANDmagazine @AP4Liberty Good!</t>
  </si>
  <si>
    <t>RT @RitaCosby: #StandWithSarah!! Great seeing #SarahSanders at #WHCD events &amp;amp; shocked to witness firsthand comedian #MichelleWolf's blister…</t>
  </si>
  <si>
    <t>@AvrilMai91 @ANDmagazine @AP4Liberty Hope you all are knocking on doors as hard as you tweet! If so, you may just have a chance!
#MOSEN @AP4Liberty</t>
  </si>
  <si>
    <t>RT @AvrilMai91: "Austin Petersen is the kind of person we need in the Senate...he will stand up &amp;amp; fight for our freedom - something far too…</t>
  </si>
  <si>
    <t>RT @Dawn_DeMore1: #FBICORRUPTION
FBI Delays Release Of Communications With Firm That Examined DNC Servers  https://t.co/ftEIDIQ8gx</t>
  </si>
  <si>
    <t>RT @Kredo0: WOW: Israeli spies smuggled out Iran's top secret nuke weapons files. Definitive proof Iran still secretly developing nuke weap…</t>
  </si>
  <si>
    <t>RT @RealJamesWoods: The Obama administration is like a stain on American history. How could he and his henchmen have been so gullible, with…</t>
  </si>
  <si>
    <t>RT @BreitbartNews: "Does anyone care that an anchor for NBC News has been caught lying?
Obviously not. Brian Williams still has an anchor…</t>
  </si>
  <si>
    <t>Looking forward to this deposition, #MoneyBagsAl!
#moleg #Mogov #kimshady #stlouis  #stl #kcmo #greitens #Missouri #BREAKING #MoneyBags https://t.co/CTN66BwerG</t>
  </si>
  <si>
    <t>RT @magathemaga1: #MoneyBagsAl must tell us:
✔Where the $$$ came from?
✔What was it for?
✔How much did KS or PS get?
✔Who was name of "Cou…</t>
  </si>
  <si>
    <t>#MoneyBagsAl must tell us:
✔Where the $$$ came from?
✔What was it for?
✔How much did KS or PS get?
✔Who was name of "Courier"?
✔How come only now he disclosed?
Start talking, Al!
#Moleg #MoGov #MoSen #Missouri #Stlouis #stl #greitens #kcmo @Eric_Schmitt @Rep_TRichardson https://t.co/n1evcGTB1V</t>
  </si>
  <si>
    <t>RT @AnnCoulter: Now back to solving China's problem (North Korea), Europe's problem (Syria) and Israel's problem (Iran) ...  https://t.co/R…</t>
  </si>
  <si>
    <t>@HennessySTL Somebody has been reading caro!</t>
  </si>
  <si>
    <t>RT @magathemaga1: @Acosta Yeah, what is wrong with this characterization? It’s the truth.
It’s also ILLEGAL ALIENS, not “immigrants”</t>
  </si>
  <si>
    <t>RT @AriFleischer: “A spokeswoman for Mr. Tester declined to comment on Friday night.”   
Sen. Tester is a hit and run driver.  He must not…</t>
  </si>
  <si>
    <t>RT @RealTravisCook: #BallparkVillage has signs on the outside saying that firearms are prohibited.  Lot of good that did them tonight... #E…</t>
  </si>
  <si>
    <t>@Acosta Yeah, what is wrong with this characterization? It’s the truth.
It’s also ILLEGAL ALIENS, not “immigrants”</t>
  </si>
  <si>
    <t>Your scared by the truth? https://t.co/5yxfo6ALzE</t>
  </si>
  <si>
    <t>RT @SchlongedByFrog: @Acosta Jim why do you lie and characterize this as legal immigrants?  All the adults in the room are talking about il…</t>
  </si>
  <si>
    <t>They are https://t.co/s1CFI2erW3</t>
  </si>
  <si>
    <t>Yeah, what is wrong with this characterization? It’s the truth.
It’s also ILLEGAL ALIENS, not “immigrants” https://t.co/9qS441ItEu</t>
  </si>
  <si>
    <t>RT @horowitz39: More truth in one tweet than you will tell in your entire life. https://t.co/qwgmmGCxY8</t>
  </si>
  <si>
    <t>RT @joelpollak: So you walk through a safe country (Mexico), then get married before asking for "asylum"...and then complain about Trump "s…</t>
  </si>
  <si>
    <t>RT @thehill: Migrant caravan that Trump railed against arrives at US border  https://t.co/mOFdCshf9W https://t.co/4iDtCnlmC4</t>
  </si>
  <si>
    <t>RT @sueweaver16: Thank you @RoyBlunt for realising that there is a process in place. Innocent until proven otherwise. Hope that #MOLeg  rem…</t>
  </si>
  <si>
    <t>RT @Norasmith1000: I dont care if you love or hate @EricGreitens, think hes innocent or guilty, but nobody on either side can deny the abso…</t>
  </si>
  <si>
    <t>RT @SpeakerTimJones: #MOSen #MOLeg https://t.co/NF3uLQnR0m</t>
  </si>
  <si>
    <t>RT @Mizzourah_Mom: Thank you Senator @RoyBlunt !
Voters in Missouri appreciate due process. Gov. #Greitens deserves the right to a fair tr…</t>
  </si>
  <si>
    <t>Clean Missouri is Dem/#Soros redistricting scam wrapped in lipstick. STOP IT
✔Tell friends
✔Post on Facebook about scam 
✔Decline 2 sign
✔Spread this meme
TELL FRIENDS AND FAMILY
#missouri #StLouis #stl #kcmo #SCAM #MAGA #CleanMissouri #moleg #mogov #mosen #ksleg #kansas https://t.co/oEyYDgPuQT</t>
  </si>
  <si>
    <t>RT @christoferguson: #Missouri court says Woman in Greitens case must turn over phone. #Moleg  https://t.co/X2a9cf3FMl</t>
  </si>
  <si>
    <t>RT @RepLeeZeldin: How does @GregPittman1957, a Stoneman Douglas teacher, get away w/ comparing @KyleKashuv, a Jewish student at Stoneman Do…</t>
  </si>
  <si>
    <t>RT @kanyewest: we're being starved and anyone who starts asking unpopular questions gets demonized. Only free thinkers can change the world</t>
  </si>
  <si>
    <t>@KMOV Why would he. Its innocent until proven guilty</t>
  </si>
  <si>
    <t>RT @magathemaga1: @RoyBlunt correct
#greitens should not resign &amp;amp; should not be impeached unless he actually did something wrong related t…</t>
  </si>
  <si>
    <t>@RoyBlunt correct
#greitens should not resign &amp;amp; should not be impeached unless he actually did something wrong related to his time in office
#Missouri voted for him &amp;amp; you need strong justifications, not just a "witchhunt" or fact #moleg doesn't like outsiders
#mogov #StLouis https://t.co/4PLMIv9TgH</t>
  </si>
  <si>
    <t>RT @magathemaga1: Reminder: she kept coming back.
Reminder: she didn’t go to the police.
Reminder: people do have kinky sex.
Reminder: n…</t>
  </si>
  <si>
    <t>@MeetThePress @RoyBlunt  https://t.co/u8eATxrrIG</t>
  </si>
  <si>
    <t>RT @VisioDeiFromLA: Pulled what bs? 
Had a kinky affair before he was governor?
Because you are such an angel?
Or the obscure campaign v…</t>
  </si>
  <si>
    <t>RT @Sticknstones4: Missouri U.S. Sen. Roy Blunt says it is premature to call for the resignation of Gov. Eric Grietens.
#moleg #dueprocess…</t>
  </si>
  <si>
    <t>@DavidShamu @joelpollak @BigJShoota @Sticknstones4 @ohsynesthesia @SKOLBLUE1 @Avenge_mypeople @Blackboxhalo @DaynaGould @Hope4Hopeless1 Because caring for black Americans over illegals is white supremacy? Explain how? Explain how putting Americans first is bad?</t>
  </si>
  <si>
    <t>Reminder: she kept coming back.
Reminder: she didn’t go to the police.
Reminder: people do have kinky sex.
Reminder: nothing has been proven &amp;amp; let’s wait for all the evidence before you say bad things about people. 
100 k payment. What of that? 
#MoLeg #MoGov #greitens https://t.co/LbAoXd669F</t>
  </si>
  <si>
    <t>RT @toadtws: @KttsnewsMike Memo
To: Leftie Women Trying To Bring Down A Conservative GOP Governor
Re: Common Sense
When trying to claim t…</t>
  </si>
  <si>
    <t>RT @toadtws: @sarahfelts Looking forward to your explanation of how girlfriend Kitty was "exploited" into sending naked pictures of herself…</t>
  </si>
  <si>
    <t>RT @Mizzourah_Mom: @marinevet1982 @mefbama @VisioDeiFromLA It's been a #witchhunt from day one. Started with the $100,000 money from an "an…</t>
  </si>
  <si>
    <t>RT @memoriadei: Great to see that woman has to turn her phone over. @TeamGreitens @GovGreitensMO Dont give in. Stand your ground #moleg</t>
  </si>
  <si>
    <t>RT @ColumbiaBugle: #HappeningNow: President Trump is speaking to a full house in Macomb County tonight for a #TrumpRally. The theme? #Promi…</t>
  </si>
  <si>
    <t>RT @iicrakdamirror: Watch @FoxNews's broadcast: President Trump Hosts Rally in Michigan https://t.co/jQfQgCUC9l</t>
  </si>
  <si>
    <t>RT @cristinalaila1: Liberals: 'Joy Reid's anti-gay blog posts are from years and years ago. She has changed. People evolve. You must forgiv…</t>
  </si>
  <si>
    <t>RT @GOP: .@realDonaldTrump is committed to keeping our nation safe. Let him know you want to build the wall: https://t.co/r5O0rTTQ9y</t>
  </si>
  <si>
    <t>RT @RealTravisCook: #Trump ends the #KoreanWar and puts #NorthKorea &amp;amp; Kim Jong in their place.  Given that set of facts, I couldn't care le…</t>
  </si>
  <si>
    <t>RT @realDonaldTrump: Join me LIVE in Washington, Michigan at 7:00pmE on @FoxNews! #MAGA</t>
  </si>
  <si>
    <t>RT @The_Trump_Train: A list of MSNBC's top sponsors. 
Contact and boycott until liar and racist bigot @JoyAnnReid is held accountable.
@s…</t>
  </si>
  <si>
    <t>RT @realJohnnyZipp: Kanye West In New Song: Black People Still Aren’t ‘Off The Plantation’ Of Being Democrats https://t.co/srGLglP20m via @…</t>
  </si>
  <si>
    <t>RT @horowitz39: "See that’s the problem with this damn nation. All blacks gotta be Democrats, man, we ain’t made it off the plantation,” -…</t>
  </si>
  <si>
    <t>RT @johncardillo: Now that @JoyAnnReid has apologized and admitted guilt, let’s play by the left’s rules, use that against her, and demand…</t>
  </si>
  <si>
    <t>Clean Missouri is Dem/#Soros redistricting scam wrapped in lipstick. STOP IT
✔Tell friends
✔Post on Facebook about scam 
✔Decline 2 sign
✔Spread this meme
#missouri #StLouis #stl #kcmo #SCAM #MAGA #CleanMissouri https://t.co/ncrLmCJXz1</t>
  </si>
  <si>
    <t>RT @magathemaga1: #Missouri Supreme Court says Greitens' accuser must turn over phone 4 examination
"...woman told a House committee last…</t>
  </si>
  <si>
    <t>#Missouri Supreme Court says Greitens' accuser must turn over phone 4 examination
"...woman told a House committee last month that her ex-husband had ... promised to ruin the governor after he confronted her about affair"
#moleg #mogov #greitens #stl
https://t.co/qwFV0QxsSI</t>
  </si>
  <si>
    <t>RT @jumagoe: @1776Stonewall Mueller´s #Witchunt reminds me of the Book of Esther. Haman is hanged to death on the same gallows he had built…</t>
  </si>
  <si>
    <t>RT @CStamper_: This guy (he was the dude in the red turtleneck at the 2016 presidential debate in St. Louis) says his kid was suspended fro…</t>
  </si>
  <si>
    <t>RT @PattiD05: @ZekeJMiller @AP He is a distinguished doctor.  The media is trying to destroy him.</t>
  </si>
  <si>
    <t>RT @GayleBMAG: @ZekeJMiller @benshapiro @AP So who's calling out Jon Tester, D-Montana, for the malicious attack on this man's reputation?</t>
  </si>
  <si>
    <t>RT @joeepopp: @ZekeJMiller @benshapiro @AP Disgusting "media." Play along with the personal destruction and then come clean after their des…</t>
  </si>
  <si>
    <t>RT @KCnLA: @ZekeJMiller @AP Everything in your report was false. 
Retract it.</t>
  </si>
  <si>
    <t>RT @CStamper_: Total smear job. https://t.co/GH3momBO5u</t>
  </si>
  <si>
    <t>RT @aaron_hedlund: It's amazing how much of the commentary on #mogov is predicated on assumption of guilt. Laub deposed: "Uh oh! Proof Grei…</t>
  </si>
  <si>
    <t>#Missouri #soros @MissouriGOP @gop @GOPChairwoman @parscale https://t.co/Jpqhox30AZ</t>
  </si>
  <si>
    <t>RT @AP4Liberty: HOLY MOTHER OF...! INCREDIBLE TRUMP! https://t.co/o9xaQhVGFt</t>
  </si>
  <si>
    <t>RT @TomiLahren: Where is @KyleKashuv ? What about his “major milestones in political participation?” https://t.co/tJaOqgDyjb</t>
  </si>
  <si>
    <t>RT @FiveRights: You don't get to attempt a coup, fail, and then just shrug and walk away.
For justice, Obama must go to prison and Hillary…</t>
  </si>
  <si>
    <t>RT @Thomas1774Paine: WATCH: Laura Ingraham Slams Ana Navarro For Calling Her Out Over Kanye West Support https://t.co/NRRJ0QU0xh</t>
  </si>
  <si>
    <t>@RealTravisCook @sleepingrodent @realJLogan @AP4Liberty @Avenge_mypeople @Shawtypepelina @SKOLBLUE1 @MissouriGOP @SpeakerTimJones @Lautergeist @HotPokerPrinces @gagemitchusson @MSTLGA @philip_saulter @MOHouseGOP #Missouri #CleanMissouri #scam #soros @parscale https://t.co/Pldtt5bpuD</t>
  </si>
  <si>
    <t>RT @magathemaga1: @SpeakerTimJones It's a scam
#CleanMissouri #Soros #Missouri #stlouis #stl #SCAM #moleg #mogov @HannahKellyMO https://t.…</t>
  </si>
  <si>
    <t>@SpeakerTimJones It's a scam
#CleanMissouri #Soros #Missouri #stlouis #stl #SCAM #moleg #mogov @HannahKellyMO https://t.co/6kue1PiICK</t>
  </si>
  <si>
    <t>@SpeakerTimJones @georgesoros @CleanMissouri  https://t.co/qpuHIfNmva</t>
  </si>
  <si>
    <t>RT @SpeakerTimJones: THIS. The diabolical truth re: @georgesoros ‘s @CleanMissouri project. Designed to “Clean Missouri” of anything common…</t>
  </si>
  <si>
    <t>RT @PoliticalShort: University of Texas to Treat Masculinity as a 'Mental Health' Issue.  https://t.co/j9DTy9A8B0</t>
  </si>
  <si>
    <t>RT @kanyewest: I've got a new challenge for everyone today. Pick somebody that you had an argument with that you think you hate maybe even…</t>
  </si>
  <si>
    <t>RT @JohnFromCranber: Voters need to realize, that if you get sucked in, + you vote for a Dem because you like their position on a single is…</t>
  </si>
  <si>
    <t>RT @magathemaga1: @HennessySTL @EdBigCon @robschaaf Clean Missouri is a scam
#moleg #mogov #missouri #cleanmissouri https://t.co/0kCV3Ts0bT</t>
  </si>
  <si>
    <t>@Avenge_mypeople @RealTravisCook @SpeakerTimJones @MSTLGA @JohnLamping @gagemitchusson @realJLogan @philip_saulter That gives me an idea</t>
  </si>
  <si>
    <t>RT @realDonaldTrump: Allegations made by Senator Jon Tester against Admiral/Doctor Ron Jackson are proving false. The Secret Service is una…</t>
  </si>
  <si>
    <t>RT @ACTBrigitte: It's time we end Chain Migration and the Diversity Lottery Program.
If you want to immigrate to the United States it shou…</t>
  </si>
  <si>
    <t>RT @Sticknstones4: 4 women robbed in #STL  2 suspects caught ,both on probation♦️Repeat offenders♦️
police are working with the US Attorne…</t>
  </si>
  <si>
    <t>RT @IngrahamAngle: The @nytimes finally uses word “invaded” re. migrants...streaming into Brazil!  https://t.co/8f2H4BiY0t</t>
  </si>
  <si>
    <t>RT @RealTravisCook: I figured President #Trump would do well with the economy &amp;amp; national security, which he has. But never in a million yea…</t>
  </si>
  <si>
    <t>RT @realDonaldTrump: Look forward to being in the Great State of Michigan tonight. Major business expansion and jobs pouring into your Stat…</t>
  </si>
  <si>
    <t>RT @SpeakerTimJones: Making healthcare great again. Saving Americans from the #Obamacare #EpicFail - @realDonaldTrump #MAGA  https://t.co/K…</t>
  </si>
  <si>
    <t>RT @magathemaga1: Governor #Greitens with Troopers at the Ft. Leonard Wood Hiring Our Hero’s event today. 
HT: @MSHPRecruiting @EricGreite…</t>
  </si>
  <si>
    <t>Governor #Greitens with Troopers at the Ft. Leonard Wood Hiring Our Hero’s event today. 
HT: @MSHPRecruiting @EricGreitens @CStamper_ @bluelivesmtr @TeamGreitens
#moleg #mogov #missouri #stlouis #stl #kcmo #mosen #BackTheBlue #BlueLivesMatter #MAGA #Police https://t.co/0Khr1aYlXf</t>
  </si>
  <si>
    <t>RT @HyltonRobin: @KatTheHammer1 @seanhannity @foxandfriends #ISTANDWITHGENFLYNN
#ClearFlynnNow
Prayers for @GenFlynn and his family, God Bl…</t>
  </si>
  <si>
    <t>RT @Norasmith1000: @RGreggKeller At this point, I wouldnt trust anything Gardner does or says about anything relating to ANY case against G…</t>
  </si>
  <si>
    <t>RT @inthejungle234: So @robschaaf sold out to Soros and the left?
Am I understanding that correctly?
Gotta pay the bills somehow...
#mol…</t>
  </si>
  <si>
    <t>RT @TheNewRight: These words, however, were:
So #StaceyNewman - when you typed those three words “WE DID IT”, in all caps, (to show the ex…</t>
  </si>
  <si>
    <t>RT @juliematthews50: #IStandWithJamieAllman @jallman971 ☀️
https://t.co/H3sdObrwua https://t.co/Gq13EMYiHr</t>
  </si>
  <si>
    <t>@EdBigCon @HennessySTL @robschaaf @SpeakerTimJones @realJLogan @AP4Liberty @MissouriGOP @MOHouseGOP Lol</t>
  </si>
  <si>
    <t>RT @magathemaga1: Sorry but no. She needs to hand over the phone. They dont get yo drag @EricGreitens name through the mud and over a simpl…</t>
  </si>
  <si>
    <t>Sorry but no. She needs to hand over the phone. They dont get yo drag @EricGreitens name through the mud and over a simple linky affair and he deserves the right to a proper defense. The excuse is nonsense.
#moleg #mogov https://t.co/wUcTPCGVxV</t>
  </si>
  <si>
    <t>RT @VisioDeiFromLA: (7) 
11. If they had a case, you wouldn’t have law makers sitting on twitter worrying about arguing with constituents…</t>
  </si>
  <si>
    <t>@HennessySTL @EdBigCon @robschaaf Clean Missouri is a scam
#moleg #mogov #missouri #cleanmissouri https://t.co/0kCV3Ts0bT</t>
  </si>
  <si>
    <t>RT @EdBigCon: Is this a real photo of @robschaaf getting Instructions from Soros? #moleg https://t.co/gL8ld0zjjD</t>
  </si>
  <si>
    <t>RT @magathemaga1: @RealTravisCook @sleepingrodent @realJLogan @AP4Liberty @Avenge_mypeople @Shawtypepelina @SKOLBLUE1 @MissouriGOP @Speaker…</t>
  </si>
  <si>
    <t>RT @magathemaga1: "A tactic that drags on too long becomes a drag"
So KS charge was always nonsense &amp;amp; fake &amp;amp; I guess everybody got tired o…</t>
  </si>
  <si>
    <t>@RealTravisCook @sleepingrodent @realJLogan @AP4Liberty @Avenge_mypeople @Shawtypepelina @SKOLBLUE1 @MissouriGOP @SpeakerTimJones @Lautergeist @HotPokerPrinces Agreed. They are the party of illegal aliens and men in the my little daughters bathroom.
They were somewhat more moderate back in the 90s but many of them were just lying.
#moleg #mogov #missouri #cleanmissouri https://t.co/H6SA2s2HKd</t>
  </si>
  <si>
    <t>RT @RealTravisCook: @sleepingrodent @magathemaga1 @realJLogan @AP4Liberty @Avenge_mypeople @Shawtypepelina @SKOLBLUE1 @MissouriGOP @Speaker…</t>
  </si>
  <si>
    <t>RT @magathemaga1: @HennessySTL @VisioDeiFromLA @robschaaf #CleanMissouri #missouri #SCAM #moleg #mogov #mosen
It's a scam! https://t.co/1a…</t>
  </si>
  <si>
    <t>@HennessySTL @VisioDeiFromLA @robschaaf #CleanMissouri #missouri #SCAM #moleg #mogov #mosen
It's a scam! https://t.co/1auVkyp5LR</t>
  </si>
  <si>
    <t>RT @SpeakerTimJones: THIS. https://t.co/9HOtN1Fy4F</t>
  </si>
  <si>
    <t>RT @magathemaga1: @BobOnderMO @esqonfire @MissouriGOP #DeclineToSign #Missouri #Soros #Moleg #mogov https://t.co/TY91fLu6O7</t>
  </si>
  <si>
    <t>@BobOnderMO @esqonfire @MissouriGOP #DeclineToSign #Missouri #Soros #Moleg #mogov https://t.co/TY91fLu6O7</t>
  </si>
  <si>
    <t>@repdottieb4mo @robschaaf #Missouri #CleanMissouri #Scam #DeclineToSign https://t.co/EpHYiL1zOE</t>
  </si>
  <si>
    <t>#missouri #CleanMissouri https://t.co/ZeuZtN27Ty</t>
  </si>
  <si>
    <t>RT @HennessySTL: .@robschaaf, I won’t insult your intelligence by pretending you believe what you just wrote. https://t.co/k1eMgEp7PG</t>
  </si>
  <si>
    <t>RT @ericbolling: While my colleagues in the media waste more airtime on Stormy Daniels and non-existent Russian collusion... 
this happened…</t>
  </si>
  <si>
    <t>RT @gagemitchusson: 🔥🐉🔥#DragonEnergy🔥🐉🔥 https://t.co/Afxby198h8</t>
  </si>
  <si>
    <t>RT @WayneDupreeShow: My respect for Trump grows by the day. How he has managed to endure the onslaught of a criminal bunch of loonies threa…</t>
  </si>
  <si>
    <t>RT @SaraCarterDC: Truly an era of disinformation. I've talked to numerous sources who've said the same - no evidence of the allegations aga…</t>
  </si>
  <si>
    <t>RT @BobOnderMO: Great article by @esqonfire re why Missourians should not be fooled by “Clean Missouri” efforts by the far left to rig our…</t>
  </si>
  <si>
    <t>RT @Nigel_Farage: South Korea’s Foreign Minister telling CNN that “clearly credit goes to President Trump” is priceless. https://t.co/expJS…</t>
  </si>
  <si>
    <t>RT @magathemaga1: My friends &amp;amp; my enemies
We may disagree on #Greitens but agree #Missouri a red state &amp;amp; must remain so
Clean Missouri is…</t>
  </si>
  <si>
    <t>My friends &amp;amp; my enemies
We may disagree on #Greitens but agree #Missouri a red state &amp;amp; must remain so
Clean Missouri is Dem/#Soros redistricting scam wrapped in lipstick. STOP IT
✔Tell friends
✔Post on Facebook about scam 
✔Decline 2 sign
✔Spread this meme
#MoLeg #mogov https://t.co/ehAiRzwbPB</t>
  </si>
  <si>
    <t>@BryanLowry3 Give me a break</t>
  </si>
  <si>
    <t>Well to be fair you do have quite the "bot like" ability to parse headlines daily.
Of course, before all these idiots started calling everybody bots as an excuse for losing an election,  we used to refer to that as "Hard Work" or "Dedication" or "Passion," even. 
#moleg https://t.co/xxse9KzrW6</t>
  </si>
  <si>
    <t>RT @Barnes_Law: While it is rare, and should be limited in its use, @jaketapper may want to lawyer-up: journalists are not exempt from crim…</t>
  </si>
  <si>
    <t>"A tactic that drags on too long becomes a drag"
So KS charge was always nonsense &amp;amp; fake &amp;amp; I guess everybody got tired of that so pivoting to a new attack?
Granted I'm not as read on this new thing but Isnt that Alinsky, too?
Or just a incorrect interpretation?
#MoLeg #mogov https://t.co/lMk1la7gFn</t>
  </si>
  <si>
    <t>RT @Norasmith1000: @Sticknstones4 Lmao, well of course KS is fighting this, theres absolutely NO TELLING what she has on her phone!! #moleg…</t>
  </si>
  <si>
    <t>RT @Sticknstones4: 📌Tisaby no showed Monday than took the 5th Thursday
📌Al Watkins tried to quash his subpoena but the judge has ordered hi…</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</si>
  <si>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But there is speculation and then there is fact.
The fact is, it is a witch hunt, and their first case with regards to the hairdresser is very weak (and not believable at that) 
And the fact is #moleg is trying to undo an election despite voters wishes. 
#mogov #Greitens</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</si>
  <si>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Your only way to stop it is to speak up and stop it. Call your law maker, tell a friend. Speak on Facebook about it. 
Speak or be spoken for. You have a right to free speech, and that's the most important thing. We also dont have inside info so we can only speculate.
#moleg</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</si>
  <si>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Right now, their next move is to try to build public support for impeachment. I dont think they have it. So regardless of guilt or innocence, they are going to try to start making the case to the public.</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</si>
  <si>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Yes its political. Yes they hate the govenor. Some think hes a bully. Rumors he isnt playing ball with tax credits and playing nice with #moleg and some just dont like him and want to just screw him because of that.</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</si>
  <si>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Unfortunately, and as I'm sure you know, if you investigate somebody long enough you can trip somebody up on a technicality, which is what they are now trying to do. They will claim it down to the letter of the law, down to unpaid parking tickets if they have to. #MoLeg #Greitens</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</si>
  <si>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Hence these new charges. You really have to ask yourself. If these new things were an issue, why not addressed last year? The #moleg swamp will claim they just got new info but you know as well as I do that it's a plan B since their plan A is failing. #Greitens</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</si>
  <si>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KS thing seems to be falling apart but new charges strike me and plan B, and if that fails, they'll have a plan C. It looks contrived but like any witch hunt, if u investigate somebody long enough, you can find some violation even if innocuous or everybody else does it #moleg</t>
  </si>
  <si>
    <t>@Neilin1Neil @stlbriancollins @Norasmith1000 @KathieConway @Shawtypepelina @YearOfZero @RealTravisCook @inthejungle234 @sdieckhaus @EricGreitens @AGJoshHawley @HawleyMO @RonFRichard @Rep_TRichardson @Dogan4Rep @RobVescovo @elijahhaahr @robschaaf @AnnLWagner @AP4Liberty @Monetti4Senate @SykesforSenate The problem I see is that #moleg has no interest in supporting the will of #missouri voters and want to undo the election because #Greitens isnt playing ball on certain things  and they just don't like him.</t>
  </si>
  <si>
    <t>RT @CStamper_: “A liberal Democrat Prosecutor has weaponized her office to take down a conservative Republican Governor she doesn't like wh…</t>
  </si>
  <si>
    <t>RT @christoferguson: Who is behind the curtain? #StL judge in Greitens case orders inquiry into source of $100,000 cash payment https://t.c…</t>
  </si>
  <si>
    <t>RT @Avenge_mypeople: What's happening with the #Greitens case is astounding. The hired investigator, Tisaby, refused to answer any question…</t>
  </si>
  <si>
    <t>RT @repdottieb4mo: “We are a nation of laws, not of men.” 
John Adams believed that men – all men – are fallible. Men will instinctively he…</t>
  </si>
  <si>
    <t>RT @memoriadei: #moleg #greitens @AGJoshHawley If you #gop stand with McCaskill against @GovGreitensMO you wont get my vote. You call butch…</t>
  </si>
  <si>
    <t>RT @VisioDeiFromLA: (1) Thread.
Brian this is actually objective reporting unlike 99 percent I see on #MoLeg
1. They are moving away beca…</t>
  </si>
  <si>
    <t>RT @JackSuntrup: "The identity of the donor of the two $50,000 cash payments," the judge said, is "relevant in determining the prejudice or…</t>
  </si>
  <si>
    <t>@Vets4AP @stlbriancollins @Norasmith1000 @KathieConway @Shawtypepelina @YearOfZero @RealTravisCook @inthejungle234 @Neilin1Neil @sdieckhaus @EricGreitens @AGJoshHawley @HawleyMO @RonFRichard @Rep_TRichardson @Dogan4Rep @RobVescovo @elijahhaahr @robschaaf @AnnLWagner @AP4Liberty @Monetti4Senate @SykesforSenate For real, I don’t know anybody who is excited for Hawley. Nobody. On here. On Facebook. In real life. All 3 other candidates had passionate people. Just observation of course</t>
  </si>
  <si>
    <t>RT @magathemaga1: @stlbriancollins @Norasmith1000 @KathieConway @Shawtypepelina @YearOfZero @RealTravisCook @inthejungle234 @Neilin1Neil @s…</t>
  </si>
  <si>
    <t>RT @magathemaga1: ⚠️#MoneyBagsAl Alert⚠️
Attorney in Greitens' case knows source of $100,000 payment
SHOW ME THE MONEY
#moleg #mogov #mo…</t>
  </si>
  <si>
    <t>RT @NewsTribune: $100,000 to attorney in Greitens case involved client https://t.co/zZ1MbySodR #mogov #moleg</t>
  </si>
  <si>
    <t>⚠️#MoneyBagsAl Alert⚠️
Attorney in Greitens' case knows source of $100,000 payment
SHOW ME THE MONEY
#moleg #mogov #mosen #Greitens
#GreitensIndictment #stl #stlouis #kimshady #kcmo #greitenstrial
Read here: https://t.co/hGuCu7HrH3</t>
  </si>
  <si>
    <t>RT @repdottieb4mo: Jim Lembke and @robschaaf it breaks my heart that you will side with George Soros over #Missouri..please wake up. Don't…</t>
  </si>
  <si>
    <t>RT @Norasmith1000: @stlbriancollins @KathieConway @Shawtypepelina @YearOfZero @RealTravisCook @inthejungle234 @Neilin1Neil @sdieckhaus @Eri…</t>
  </si>
  <si>
    <t>RT @AbbyLlorico: #BREAKING: Judge rules Al Watkins, atty for ex-husband at center of #GreitensTrial, will have to answer a round of questio…</t>
  </si>
  <si>
    <t>@AbbyLlorico Please. His name is #MoneyBagsAl 
#StLouis #Greitens #GreitensIndictment #greitenstrial 
#STL https://t.co/TmxALcL1Gr</t>
  </si>
  <si>
    <t>RT @magathemaga1: #BREAKING: #MoneyBagsAl, atty for ex-husband at center of #Greitens case, will have to answer questions Mon &amp;amp; identify wh…</t>
  </si>
  <si>
    <t>#BREAKING: #MoneyBagsAl, atty for ex-husband at center of #Greitens case, will have to answer questions Mon &amp;amp; identify whom 2 “mystery payments” of $50K came, despite Watkins’ atty claiming would be violation atty/client privilege
#MoLeg #MoGov #StLouis #stl #GreitensTrial #kcmo https://t.co/APcXX4c0dT</t>
  </si>
  <si>
    <t>#BREAKING: #MoneyBagsAl, atty for ex-husband at center of #GreitensTrial, will have to answer a round of questions Mon &amp;amp; identify whom 2 “mystery payments” of $50K came, despite Watkins’ atty claiming would be a violation of atty/client privilege. https://t.co/JcgLxi046I</t>
  </si>
  <si>
    <t>RT @magathemaga1: #CleanMissouri is a total scam designed to take away voice of Missourians, wrapped in lipstick of "Clean Missouri"
#Soro…</t>
  </si>
  <si>
    <t>@stlbriancollins @Norasmith1000 @KathieConway @Shawtypepelina @YearOfZero @RealTravisCook @inthejungle234 @Neilin1Neil @sdieckhaus @EricGreitens @AGJoshHawley @HawleyMO @RonFRichard @Rep_TRichardson @Dogan4Rep @RobVescovo @elijahhaahr @robschaaf @AnnLWagner Peeps should vote for @AP4Liberty @Monetti4Senate or @SykesforSenate 
Even if greitens ends up being guilty, the fact that Hawley and the establishment arent treating him fairly shows they will quickly turn their back on the people as soon as its convenient #moleg #mogov #mosen</t>
  </si>
  <si>
    <t>@stlbriancollins @Norasmith1000 @KathieConway @Shawtypepelina @YearOfZero @RealTravisCook @inthejungle234 @Neilin1Neil @sdieckhaus @EricGreitens @AGJoshHawley @HawleyMO @RonFRichard @Rep_TRichardson @Dogan4Rep @RobVescovo @elijahhaahr @robschaaf @AnnLWagner If situation were same, i would be standing right next to Chris Koster and supporting him despite politics. 100 k dropped off to lawyer?
Also, u arent doing your boss any favors by coming on Twitter &amp;amp; talking to us like we are all idiots as you are doing.
#MoLeg #mogov #MOSEN</t>
  </si>
  <si>
    <t>RT @SKOLBLUE1: #donnybrookstl Thank you for talking about #Greitens tonight! It is refreshing to hear a few of you acknowledge these indict…</t>
  </si>
  <si>
    <t>RT @Sticknstones4: @tkinder @EricGreitens Sworn court transcript refuting sham house report
100k delivery of cash 
Lead investigator lies &amp;amp;…</t>
  </si>
  <si>
    <t>#CleanMissouri is a total scam designed to take away voice of Missourians, wrapped in lipstick of "Clean Missouri"
#Soros is behind it
✔Tell your friends 
✔Speak about scam on Facebook
✔Share this meme.
And See a clipboard carrier?
#DeclineToSign 
#moleg #mogov #Missouri https://t.co/pH7atcIMaq</t>
  </si>
  <si>
    <t>RT @zerohedge: Nobel Peace Prize https://t.co/DuV25kwkI2</t>
  </si>
  <si>
    <t>RT @famousquotenet: Once we have a war there is only one thing to do. It must be won. For defeat brings worse things than any that can ever…</t>
  </si>
  <si>
    <t>RT @OddLane: Well, this explains a lot. 
#ShadowBanned #TwitterLockout https://t.co/ip7vtpr4lO</t>
  </si>
  <si>
    <t>RT @Grummz: It was never a conspiracy theory, as many used to say when we observed these things. It's finally all out in the open, Twitter…</t>
  </si>
  <si>
    <t>RT @famousquotenet: Tyranny is always better organized than freedom. - Charles Peguy</t>
  </si>
  <si>
    <t>RT @ScottAdamsSays: #GoldenAge https://t.co/m8dhDaUtrn</t>
  </si>
  <si>
    <t>RT @KenatGV: Not just James Fallows. https://t.co/8LDNfXIYG9</t>
  </si>
  <si>
    <t>RT @TheAncientSage: Socialising with the masses is like injecting oneself a dose of toxins. https://t.co/eimz3b3IY0</t>
  </si>
  <si>
    <t>RT @XA__Alexander: Old systems are breaking down.
New alliances are being organized.</t>
  </si>
  <si>
    <t>RT @IllimitableMan: Obama gets a Nobel Peace Prize whilst his administration was at war for every single day of his presidency.
Trump is r…</t>
  </si>
  <si>
    <t>RT @ScottAdamsSays: Scott Adams asks Dale how he feels about the good news on North Korea. With coffee. https://t.co/VUrPn7ii4F</t>
  </si>
  <si>
    <t>RT @realDonaldTrump: Is everybody believing what is going on. James Comey can’t define what a leak is. He illegally leaked CLASSIFIED INFOR…</t>
  </si>
  <si>
    <t>RT @realDonaldTrump: KOREAN WAR TO END! The United States, and all of its GREAT people, should be very proud of what is now taking place in…</t>
  </si>
  <si>
    <t>RT @hogangidley45: Moments before @PressSec briefing at the @WhiteHouse on National Take Our Daughters And Sons to Work Day... https://t.co…</t>
  </si>
  <si>
    <t>RT @ScottAdamsSays: Thank you, President Xi. https://t.co/L4bUW2mq6h</t>
  </si>
  <si>
    <t>RT @realDonaldTrump: Please do not forget the great help that my good friend, President Xi of China, has given to the United States, partic…</t>
  </si>
  <si>
    <t>RT @realDonaldTrump: So great to have Staff Sgt. Dan Nevins and the incredible WOUNDED WARRIORS with me in the White House yesterday. These…</t>
  </si>
  <si>
    <t>RT @bethanyshondark: Britain outlaws guns, started taking knives and now starves toddlers to death. Something tells me the first 2 had to h…</t>
  </si>
  <si>
    <t>RT @DeplorableGoldn: RT😂😂
⚠️ BREAKING ⚠️
Sketch released of person who convinced PS to go to KMOV with made up story about #Greitens &amp;amp; KS…</t>
  </si>
  <si>
    <t>RT @esqonfire: As an attorney, I wouldn't want to touch an anonymous payment of $100,000 with a 10-foot pole. #mogov https://t.co/jecuGiA0qJ</t>
  </si>
  <si>
    <t>@adingo @Tessa_Weinberg @Allie_Kite @JackSuntrup It wasnt assault. She kept coming back. It was kinky stuff that apparently she was into since she kept coming back for more. She could have went to police.
Read a romance novel sometime</t>
  </si>
  <si>
    <t>RT @EtiquetteDr: Just scrolled through your Twitter feed. I can’t seem to find any tweets in which you stand up for the rights of legal tax…</t>
  </si>
  <si>
    <t>RT @Thomas1774Paine: Anchor TOM BROKAW accused of harassing female colleagues at NBC News https://t.co/zJd43v1qSg</t>
  </si>
  <si>
    <t>RT @KimKardashian: Kanye will never run in the race of popular opinion and we know that and that’s why I love him and respect him and in a…</t>
  </si>
  <si>
    <t>RT @MarkDice: Rolling Stone is now saying Kanye West is a "threat" to America! 😆 https://t.co/MASArEIC6h</t>
  </si>
  <si>
    <t>@VisioDeiFromLA No fun scott blocked me</t>
  </si>
  <si>
    <t>RT @VisioDeiFromLA: Back in the day, we had real journalists. 
#moleg #mogov #greitens https://t.co/FDAiFeMUA9</t>
  </si>
  <si>
    <t>RT @vickibazter: https://t.co/TgoeBO6sui</t>
  </si>
  <si>
    <t>RT @RealJamesWoods: My father fought in that war. I wish he could have seen this. https://t.co/BVm42ZLEWn</t>
  </si>
  <si>
    <t>RT @edhenry: “Give the President a hug” — @realDonaldTrump #TakeOurChildrenToWorkDay https://t.co/4UIs1AWDOv</t>
  </si>
  <si>
    <t>RT @BreitbartNews: WALLLLLLLLLLLLLLLLLLLL https://t.co/o0JzeMzlYI</t>
  </si>
  <si>
    <t>RT @PrisonPlanet: If you care about me continuing to have a voice on YouTube, please retweet this. https://t.co/jOOOKlbgCh</t>
  </si>
  <si>
    <t>RT @HotPokerPrinces: Stop laughing and making jokes 
I don’t find your collusion funny 
@Rep_TRichardson @RonFRichard 
Stop holding up p…</t>
  </si>
  <si>
    <t>RT @DineshDSouza: Trump made this happen. It seems like having a half-crazed white supremacist neo-Nazi in the White House isn’t so bad aft…</t>
  </si>
  <si>
    <t>RT @realDonaldTrump: Today, @FLOTUS Melania and I were honored to welcome French President @EmmanuelMacron and Mrs. Brigitte Macron to the…</t>
  </si>
  <si>
    <t>RT @magathemaga1: Black Americans everywhere are realizing even more  Democrats dont have their best interests at heart anymore. 
In fact,…</t>
  </si>
  <si>
    <t>RT @real_jamielshaw: I completely agree. https://t.co/ZAiIplYqh5</t>
  </si>
  <si>
    <t>RT @StephenMilIer: THE ART OF THE DEAL https://t.co/w6xo3VE1nt</t>
  </si>
  <si>
    <t>RT @Thomas1774Paine: While certain people on FOX were hyping this release, please note I tried to keep it real on the new text releases. An…</t>
  </si>
  <si>
    <t>RT @Patriot_Drew: #ThursdayThoughts 
Soooo The Political Party Of Slavery, KKK, Forced Sterilization, Margret Sanger, Jim Crow, Segregatio…</t>
  </si>
  <si>
    <t>RT @DiamondandSilk: Happy Birthday to our beautiful @FLOTUS https://t.co/Zho2usPrXD</t>
  </si>
  <si>
    <t>RT @Monetti4Senate: NUTS!  That’s the best word to describe this Shiva. General McAuliffe replied “NUTS” when leading the 101st Airborne at…</t>
  </si>
  <si>
    <t>Britain is not a serious country.
People mad about this, and the country is worried about policing twitter? https://t.co/Fzy94PJbzR</t>
  </si>
  <si>
    <t>RT @Merc4hire63: @MerseyPolice That's right suppress the voices of the people and make them fear the police and government. You cucks learn…</t>
  </si>
  <si>
    <t>RT @stormynormy42: @Baggsie13 @MyerscoughMatty @MerseyPolice Honest question from an American: is this the common view of what "freedom of…</t>
  </si>
  <si>
    <t>RT @MyerscoughMatty: @MerseyPolice what happened to freedom of speech this counrty is a police state lets face it</t>
  </si>
  <si>
    <t>@realJLogan  https://t.co/RCjqelbsiK</t>
  </si>
  <si>
    <t>RT @marklevinshow: The Comey memos indict Comey not Trump https://t.co/1FO6Eu1oUD</t>
  </si>
  <si>
    <t>RT @PrisonPlanet: OK, let's play the left's game here for a sec.
Stephen Colbert (white) &amp;amp; his team of writers (almost all white) using a…</t>
  </si>
  <si>
    <t>RT @JohnFromCranber: The Left wants Trump’s Rep Admin to use High-Tech devices to control illegal immigration vice a Wall. Why? Because Hig…</t>
  </si>
  <si>
    <t>RT @C_3C_3: I have a feeling a lot of the GOP Establishment politicians that are retiring to “spend more time with their families” knew of…</t>
  </si>
  <si>
    <t>RT @DonaldJTrumpJr: Shocked there could be 1 let alone 94 voting for him. https://t.co/jEcbh47Dog</t>
  </si>
  <si>
    <t>RT @JohnFromCranber: Why do those on the Left celebrate the unlawfulness of illegal aliens?
Because they see the illegal votes of illegals…</t>
  </si>
  <si>
    <t>RT @Education4Libs: I see a pattern developing...
How many of these mass shooters lately have gone on attacks AFTER being investigated by…</t>
  </si>
  <si>
    <t>RT @RealJamesWoods: Winning. Winning. Winning. https://t.co/tuATe3TVYT</t>
  </si>
  <si>
    <t>Black Americans everywhere are realizing even more  Democrats dont have their best interests at heart anymore. 
In fact, black Americans everywhere are realizing that Democrats only care about illegal aliens. Not Americans and not black Americans.
#stlouis #kcmo #missouri #stl https://t.co/KgFYm11UGL</t>
  </si>
  <si>
    <t>My friends &amp;amp; my enemies
We may disagree on #Greitens but agree #Missouri a red state &amp;amp; must remain so
Clean Missouri is Dem/#Soros redistricting scam wrapped in lipstick. STOP IT
✔Tell friends
✔Post on Facebook about scam 
✔Decline 2 sign
✔Spread this meme
#MoLeg #mogov https://t.co/2wYDOJQFHV</t>
  </si>
  <si>
    <t>RT @esqonfire: Join me on @KMOX in 10min re: 
(1) #MoGov Eric Greitens legal developments, &amp;amp; 
(2) Make #MoLeg Blue Again? The Soros-backed…</t>
  </si>
  <si>
    <t>RT @Mizzourah_Mom: OPINION: It's Time for Us to Rally to Defend Missouri
#Greitens
#GreitensIndictment
#moleg
https://t.co/PnoeXFzGZ5</t>
  </si>
  <si>
    <t>RT @juliematthews50: Go get 'em @jallman971  🔥
https://t.co/jFKRuMN6LY</t>
  </si>
  <si>
    <t>@Norasmith1000 @strmsptr @juliematthews50  @StLCountyRepub @TrumpChess @MOGOP_Chairman @BooneCoMOGOP @SheenaGreitens @JCunninghamMO @gatewaypundit @TomJEstes @ninekiller @Blackboxhalo @bluelivesmtr #bluelivesmatter @willscharf @chadler_usa @ErgoStreetNurse</t>
  </si>
  <si>
    <t>@plwy31 @ErgoStreetNurse @JohnLamping @DaynaGould @jallman971 @Monetti4Senate @AP4Liberty @SykesforSenate @johncombest @BigJShoota @BackTheCops @BackThePolice @BackTheBlueUSA @BackTheBlue911 @joel_capizzi @RealTravisCook @HotPokerPrinces @TheNewRight @MoScarlet @melody_grover</t>
  </si>
  <si>
    <t>@Norasmith1000 @LydaKrewson #stlouis #stl #kimshady #donnybrookstl https://t.co/uSMDpAIP1A</t>
  </si>
  <si>
    <t>RT @Monetti4Senate: For sure. Patriots not Politicians. We are sick and tired of politics as usual and that is why there are people like us…</t>
  </si>
  <si>
    <t>RT @Monetti4Senate: “Ready for Monetti” mascot (Ruffio) wants you to do the right thing and contribute to the mission of getting a patriot…</t>
  </si>
  <si>
    <t>RT @Monetti4Senate: On the road again. #MoSen #readyformonetti https://t.co/lGH3ErJX7q</t>
  </si>
  <si>
    <t>RT @Monetti4Senate: .@POTUS WINS...AGAIN. Thanks to his leadership, North and South Korean leaders are holding an historic summit.  He cont…</t>
  </si>
  <si>
    <t>RT @Monetti4Senate: Dear #MAGA Patriots, I NEED YOU! Claire McCaskill has raised $3.9M these last few months thanks to Hollywood and Wall S…</t>
  </si>
  <si>
    <t>RT @tedcruz: I am proud to endorse Mary Taylor, and I urge the voters of Ohio to join me by supporting her: https://t.co/lUax06STFr https:/…</t>
  </si>
  <si>
    <t>RT @Monetti4Senate: https://t.co/iN62TDY1gt</t>
  </si>
  <si>
    <t>⚠️ BREAKING ⚠️
Sketch released of person who convinced PS to go to KMOV with made up story about #Greitens &amp;amp; KS
Since #MoneyBagsAl payment of 100k, police want citizens of #Missouri to be on lookout 4 a BEN FRANKLIN
They say he is HIGHLY PERSUASIVE
#MoLeg #MoGov #StLouis https://t.co/74Q7EFpaDk</t>
  </si>
  <si>
    <t>RT @magathemaga1: ⚠️ Hairdresser Alert ⚠️
Gonna cover this @JackSuntrup ?
We know media is lying so why arent you all looking into this $…</t>
  </si>
  <si>
    <t>RT @blackwidow07: @magathemaga1 @StevenDialTV @EricGreitens @41actionnews @HotPokerPrinces @SKOLBLUE1 @Sticknstones4 @MOHouseGOP @strmsptr…</t>
  </si>
  <si>
    <t>RT @VisioDeiFromLA: CLEAN MISSOURI IS A SCAM
See somebody carrying a clipboard?
DECLINE TO SIGN
#moleg #mogov #Missouri https://t.co/VvB…</t>
  </si>
  <si>
    <t>RT @smart_hillbilly: Office of the Chief Disciplinary Counsel: Revoke the law license of St. Louis Circuit Attorney Kim Gardner! - Sign the…</t>
  </si>
  <si>
    <t>RT @DuellLauderdale: Great to see @AP4Liberty speaking at Llewellyns Pub in O'Fallon for a social gathering of the @RLibertyCaucus! Tonight…</t>
  </si>
  <si>
    <t>RT @SorosInSTL: My dear boy. The people will be fooled.
I've spent a lot of money on this! Of course clean Missour is a scam. First I but…</t>
  </si>
  <si>
    <t>RT @VisioDeiFromLA: @Dogan4Rep 
U are correct. The #GreitensIndictment isn't a partisan witch hunt
It is a BIPARTISAN witch hunt
This is…</t>
  </si>
  <si>
    <t>RT @Sticknstones4: #Moleg has refused to acknowledge 
the court transcript which refutes their house report 
Yet they still ask for his r…</t>
  </si>
  <si>
    <t>@realJLogan Yup</t>
  </si>
  <si>
    <t>RT @realJLogan: Some folks going around asking for signatures for "Clean Missouri" - DO NOT BE FOOLED. It sounds innocent but it is designe…</t>
  </si>
  <si>
    <t>RT @esqonfire: Bukowsky- Blue Missouri?
Soros-backed initiative could upend Republican majorities in Missouri House, Senate #MoLeg https://…</t>
  </si>
  <si>
    <t>RT @Sticknstones4: @Rep_TRichardson  You Lied 🤥 in this interview
The house committee did not WORK on the report
Behind Closed Doors
The…</t>
  </si>
  <si>
    <t>RT @YearOfZero: Outstanding tax bills. 
Obviously large purchasss are going to be the first thing to check for this KS and PS. But you got…</t>
  </si>
  <si>
    <t>RT @Hope4Hopeless1: @inthejungle234 @Rep_TRichardson @mikeparson .@Rep_TRichardson YOU &amp;amp; EVERY SINGLE person in #Moleg #Mogov better think…</t>
  </si>
  <si>
    <t>RT @ballotpedia: Gov. Greitens' attorneys accuse former lead investigator of perjury, demand dismissal of case or disqualification of prose…</t>
  </si>
  <si>
    <t>@JCunninghamMO Amen</t>
  </si>
  <si>
    <t>RT @VisioDeiFromLA: @Shawtypepelina @for_congress @JW1057 @StoryoftheYear That said... could be an explanation, but it looks very suspiciou…</t>
  </si>
  <si>
    <t>RT @VisioDeiFromLA: @Shawtypepelina @for_congress @JW1057 @StoryoftheYear @EricGreitens @Eric_Schmitt Have IRS look at both KS &amp;amp; PS financi…</t>
  </si>
  <si>
    <t>RT @magathemaga1: @ballotpedia #TriflingTisaby 
HT: @PaidRussianBot
#moleg #MoGov #greitens #donnybrookstl #stlouis #stl #KimShady https:…</t>
  </si>
  <si>
    <t>RT @JCunninghamMO: In America all are INNOCENT until PROVEN guilty. I will vote against any legislator who votes to impeach or calls for re…</t>
  </si>
  <si>
    <t>RT @inthejungle234: Looks like @Rep_TRichardson  one of @mikeparson boys and wants to screw over missourians and undo an election.
#moleg…</t>
  </si>
  <si>
    <t>RT @magathemaga1: @inthejungle234 Why doesnt @MariaChappelleN resign if bob burns has to resign?
#moleg #mogov https://t.co/DJgegDetX5</t>
  </si>
  <si>
    <t>@Shawtypepelina @POTUS @EricGreitens Tony is lame</t>
  </si>
  <si>
    <t>@ballotpedia #TriflingTisaby 
HT: @PaidRussianBot
#moleg #MoGov #greitens #donnybrookstl #stlouis #stl #KimShady https://t.co/HIVzhkqBrj</t>
  </si>
  <si>
    <t>RT @Mizzourah_Mom: Well, well - Tisaby (lead investigator in the #Greitens #witchhunt showed up for the deposition today, but pleaded the 5…</t>
  </si>
  <si>
    <t>RT @RealTravisCook: Exactly--Phil Sneed's career was lagging, just as #Greitens career was on the ascendency. Kitty Sneed wouldn't be the f…</t>
  </si>
  <si>
    <t>RT @SKOLBLUE1: #donnybrookstl are you going to allow calls and publish tweets regarding #Greitens tonight or do we get to talk about the zo…</t>
  </si>
  <si>
    <t>RT @aaron_hedlund: How is this newsworthy? Desperate reporters chase around the Governor and he refuses to be at your beck and call? You mu…</t>
  </si>
  <si>
    <t>@JW1057 @for_congress @StoryoftheYear Check the bank statements 
#moleg #mogov #greitens #MoneyBagsAl</t>
  </si>
  <si>
    <t>@JW1057 @for_congress @StoryoftheYear Salary indeed suspicious. Why isnt media covering this?
#moleg #mogov #greitens</t>
  </si>
  <si>
    <t>⚠️ Hairdresser Alert ⚠️
Gonna cover this @JackSuntrup ?
We know media is lying so why arent you all looking into this $$ that #MoneyBagsAl got????
@gatewaypundit
@rxpatrick @Eric_Schmitt @EricGreitens 
@Rep_TRichardson better not screw missouri!
#Moleg #MoGov #greitens https://t.co/iVC0VcmUI5</t>
  </si>
  <si>
    <t>RT @christoferguson: Investigator for prosecution in Greitens case takes the 5th 50 times. #moleg #stl #circus  https://t.co/MPNUWntpld</t>
  </si>
  <si>
    <t>RT @MarkReardonKMOX: Exclusive video of Kim Gardner's lead investigator in the @EricGreitens case.
https://t.co/XGac1YZU14</t>
  </si>
  <si>
    <t>@Shawtypepelina @shellgame57 @MOLegDems @MoDemParty Good question
#MoLeg #MoGov #StLouis 
Why not call for her resignation too? https://t.co/JcarC57iOO</t>
  </si>
  <si>
    <t>RT @Sticknstones4: Why ? @Rep_TRichardson forcing this ?
Especially after Tisaby the liar  took the 5th. 
 Why not allow #greitens  due…</t>
  </si>
  <si>
    <t>Its innocent until proven guilty. Its scary that so many people want to be involved in government yet don't understand this.
Go back to civics class. You apparently slept through it.
#moleg
#mogov
@Mikelkehoe @EricGreitens @aliemalie https://t.co/NsBom9tD9b</t>
  </si>
  <si>
    <t>@inthejungle234 Why doesnt @MariaChappelleN resign if bob burns has to resign?
#moleg #mogov https://t.co/DJgegDetX5</t>
  </si>
  <si>
    <t>RT @Sticknstones4: @StevenDialTV @41actionnews @MOHOUSECOMM Why ? @Rep_TRichardson forcing this ?  Especially after Tisaby the liar  took t…</t>
  </si>
  <si>
    <t>RT @Hoosiers1986: ANOTHER reason I could NEVER be a Lib:
The lady on the left still blames "old white men" for society problems. Libs CELE…</t>
  </si>
  <si>
    <t>RT @MarianDClough: Masters of the Universe: Google, Facebook, Twitter Decline to Appear Before House Judiciary Committee | Breitbart https:…</t>
  </si>
  <si>
    <t>RT @_SierraWhiskee: #FreedomOfSpeech 
@kanyewest speaking out in a positive light for @realDonaldTrump just shows how the #Left wants to h…</t>
  </si>
  <si>
    <t>RT @magathemaga1: My friends and I would like Answers to these. Anybody with a functioning brain knows the allegations with the hairdresser…</t>
  </si>
  <si>
    <t>I should note correction. Dated is strong. Had a consensual "fling"</t>
  </si>
  <si>
    <t>RT @RealTravisCook: Or a Woman, or a Hispanic, or a young person, or a gay person...None of those people are allowed to think fir themselve…</t>
  </si>
  <si>
    <t>RT @Norasmith1000: #moleg this sentiment is shared by a lot of MO.  Stop wasting my money, remove #kimgardner and get back to work! https:/…</t>
  </si>
  <si>
    <t>RT @Sticknstones4: Shot dead before Lunch in broad daylight 
But Homocides are not important to our elected officials
Taking down Greiten…</t>
  </si>
  <si>
    <t>RT @IngrahamAngle: Happy Birthday to @FLOTUS!  We appreciate your service to the nation (fantastic job with the State Dinner)!</t>
  </si>
  <si>
    <t>You mean a free agent.  He can say or do whatever he wants. That doesnt make him a good ball player. https://t.co/pdgiMtk9Xg</t>
  </si>
  <si>
    <t>RT @KimKardashian: He’s a free thinker, is that not allowed in America? Because some of his ideas differ from yours you have to throw in th…</t>
  </si>
  <si>
    <t>RT @SlicksTweetz: "Kanye West" &amp;amp; "John Legend" are watching and living in two different realities. 
#GoldenAge vs "The BEAST" #Matrix
#Wed…</t>
  </si>
  <si>
    <t>RT @gr8tjude: @bbusa617 @alozras411 @ChristineMAGAMD @ArizonaKayte @PhilMcCrackin44 @DutyOfAPatriot @DjLots3 @FriendlyJMC @ReneeCarrollAZ @…</t>
  </si>
  <si>
    <t>RT @RealJamesWoods: Eminem on suicide watch... https://t.co/LGj4IpHQT3</t>
  </si>
  <si>
    <t>RT @KanyeWoke: why is it such a big deal to find out that someone isn’t a Democrat? You’re not allowed to assume someone’s gender but you’r…</t>
  </si>
  <si>
    <t>@StLouisLindsay waiting for your answer....</t>
  </si>
  <si>
    <t>RT @magathemaga1: Did anyone think #Greitens was only politician hairdresser dated?
Chris do you really think people of #Missouri are dumb…</t>
  </si>
  <si>
    <t>Did anyone think #Greitens was only politician hairdresser dated?
Chris do you really think people of #Missouri are dumb?
Legit question. 
Also what do you make of the money that was dropped off to #MoneyBagsAl 
Tell me, who else did the hairdresser date?
#moleg #mogov https://t.co/uQcq2OA0D5</t>
  </si>
  <si>
    <t>@doctorfels @StLouisLindsay Check out @magathemaga1’s Tweet: https://t.co/9DWfl68hGS</t>
  </si>
  <si>
    <t>@6079__Smith_W @StLouisLindsay @MoRepEvans @joshhawleymo Anybody who actually wants the truth should answer these questions
Check out @magathemaga1’s Tweet: https://t.co/9DWfl68hGS</t>
  </si>
  <si>
    <t>RT @magathemaga1: When my (non-moronic) friends talk #greitens, they ask:
Y keep seeing?
Y didn't she go 2 cops?
Y did ex go 2 kmov not po…</t>
  </si>
  <si>
    <t>My friends and I would like Answers to these. Anybody with a functioning brain knows the allegations with the hairdresser are bogus and what of the money was dropped off? Even after that your tweeting like it didnt happen?
@StLouisLindsay 
@6079__Smith_W 
#moleg #mogov #mogov</t>
  </si>
  <si>
    <t>When my (non-moronic) friends talk #greitens, they ask:
Y keep seeing?
Y didn't she go 2 cops?
Y did ex go 2 kmov not police?
Y wait?
What was money 2 lawyer for?
Where did money go?
What other politicans did hairdresser date?
Chase park plaza is nice, right?
#moleg #mogov https://t.co/RZZYBgeeoF</t>
  </si>
  <si>
    <t>RT @magathemaga1: @Blackboxhalo @Eric_Schmitt @EricGreitens @Rep_TRichardson @RonFRichard @BillEigel @RightSideUp313 @MSTLGA @SKOLBLUE1 @Av…</t>
  </si>
  <si>
    <t>RT @Monetti4Senate: 3/4 - These people sit behind closed doors at fancy fundraising dinners and LAUGH at us, and what do we do? We just let…</t>
  </si>
  <si>
    <t>RT @SykesforSenate: .@jeffsessions, nobody cares if you resign or get fired. Do your job. #MOSen #MAGA https://t.co/BY6qDMDpDK</t>
  </si>
  <si>
    <t>RT @magathemaga1: @FN4AP @AP4Liberty @HawleyMO #moleg #mogov #MOSen #Greitens
Sure is. https://t.co/jVlqufvY7n</t>
  </si>
  <si>
    <t>RT @Monetti4Senate: President Trump knows that there is a B-2 Stealth pilot that is about to check his six as the wingman from Missouri to…</t>
  </si>
  <si>
    <t>RT @SykesforSenate: May God bless and keep safe the men and women with the ability and honor to protect America and keep her safe. #Missour…</t>
  </si>
  <si>
    <t>RT @BigLeague2020: “The Constitution is the guide which I never will abandon.” ~ George Washington
🇺🇸COURTLAND SYKES FOR SENATE🇺🇸
♦️BOLD🔹…</t>
  </si>
  <si>
    <t>RT @Monetti4Senate: We are taking our country back @SebGorka. People are fed up with demonizing someone for speaking their point of view. I…</t>
  </si>
  <si>
    <t>RT @AP4Liberty: Josh Hawley spent a million bucks on consultants and all we got was a statement about how we need to ban firearms accessori…</t>
  </si>
  <si>
    <t>@Blackboxhalo @Eric_Schmitt @EricGreitens @Rep_TRichardson @RonFRichard @BillEigel @RightSideUp313 @MSTLGA @SKOLBLUE1 @Avenge_mypeople @MissouriGOP @elijahhaahr @Shawtypepelina @Lautergeist @HotPokerPrinces @gagemitchusson #MoneyBagsAl https://t.co/r1NBkxjAoE</t>
  </si>
  <si>
    <t>@Blackboxhalo @Eric_Schmitt @EricGreitens @Rep_TRichardson @RonFRichard @BillEigel @RightSideUp313 @MSTLGA @SKOLBLUE1 @Avenge_mypeople @MissouriGOP @elijahhaahr @Shawtypepelina @Lautergeist @HotPokerPrinces @gagemitchusson #MoneyBagsAl #moleg #mogov #mosen #Greitens #StLouis #stl #KCMO https://t.co/ne6kaLH1gA</t>
  </si>
  <si>
    <t>RT @magathemaga1: An anonymous witness has come forward to ID the "Courier" who dropped off the money to #MoneyBagsAl 
Here is the witness…</t>
  </si>
  <si>
    <t>RT @JTM_YVA: Bill Cosby and Bill Clinton… Birds of a feather flock together. Reminds me of that song “Don’t mess with Bill”... https://t.co…</t>
  </si>
  <si>
    <t>An anonymous witness has come forward to ID the "Courier" who dropped off the money to #MoneyBagsAl 
Here is the witness sketch
#moleg #mogov #mosen #GreitensIndictment #Greitens #KimShady @Eric_Schmitt @EricGreitens @Rep_TRichardson @RonFRichard @BillEigel #StLouis #stl #KCMO https://t.co/RhK2Mi301q</t>
  </si>
  <si>
    <t>An anonymous witness has come forward to ID the "Courier" who dropped off the money to #MoneyBagsAl 
Here is the witness sketch
#moleg #mogov #mosen #GreitensIndictment #Greitens #KimShady @Eric_Schmitt @EricGreitens @Rep_TRichardson @RonFRichard @BillEigel #StLouis #stl #KCMO https://t.co/z220pnMtwe</t>
  </si>
  <si>
    <t>RT @magathemaga1: It's not hypothetical.
#greitens team absolutely correct 
#ladderboy has COI due 2 him having election &amp;amp; all people hav…</t>
  </si>
  <si>
    <t>It's not hypothetical.
#greitens team absolutely correct 
#ladderboy has COI due 2 him having election &amp;amp; all people have called @EricGreitens to step down despite there being no veridct.
He has a major COI. I dont care if you hate greirens. This is fact
#moleg #mogov #mosen https://t.co/nPmUvTDAD3</t>
  </si>
  <si>
    <t>RT @Mizzourah_Mom: #Kimshady banked on Tisaby to bring the charge against #Greitens. Looks like she made a big mistake. Anyone remember #Ni…</t>
  </si>
  <si>
    <t>RT @magathemaga1: #TriflingTisaby pleaded the 5th today.
Hmm.....
@EricGreitens @Eric_Schmitt
@Rep_TRichardson @RonFRichard
#moleg #mogov…</t>
  </si>
  <si>
    <t>#TriflingTisaby pleaded the 5th today.
Hmm.....
@EricGreitens @Eric_Schmitt
@Rep_TRichardson @RonFRichard
#moleg #mogov #Greitens #mosen 
#stlouis #stl #GreitensIndictment https://t.co/YBiIjWgfwq</t>
  </si>
  <si>
    <t>RT @magathemaga1: He cant. This is a no brainer. If he hadn't waited until now to do this, it could be argued but now he is tainted.
#mole…</t>
  </si>
  <si>
    <t>RT @magathemaga1: Hey Nadal you gonna resign to for your comments against potus?
Both of you resign!
#MOLeg #mogov https://t.co/Mrr1e9lDIP</t>
  </si>
  <si>
    <t>He cant. This is a no brainer. If he hadn't waited until now to do this, it could be argued but now he is tainted.
#moleg #MOGov #greitens https://t.co/ogpxz2UMIV</t>
  </si>
  <si>
    <t>RT @TrumpChess: Its called the deep state uni-party and they are THE MISSOURI SWAMP @POTUS @GovGreitensMO #IStandWithGovGreitens #STL #vote…</t>
  </si>
  <si>
    <t>RT @magathemaga1: Is ‘Guilty Until Proven Innocent’ the New Standard?
Democrats &amp;amp; establishment Republicans don't support presumption of i…</t>
  </si>
  <si>
    <t>Is ‘Guilty Until Proven Innocent’ the New Standard?
Democrats &amp;amp; establishment Republicans don't support presumption of innocence when it comes to outsiders who ACTUALLY represent the people, not their masters and donors.
#MoLeg #MoGov #MoSen #greitens
https://t.co/hkDhZzdgYZ</t>
  </si>
  <si>
    <t>RT @UnitedWeStandDT: @Comey 😂😂😂 You and ethical leadership in the same sentence now that’s funny 😂😂😂 https://t.co/okhrV3k8bb</t>
  </si>
  <si>
    <t>RT @magathemaga1: @STLPOLITICS87 #Moleg #Mogov #Stlouis #stl https://t.co/GjQwNfodt7</t>
  </si>
  <si>
    <t>RT @magathemaga1: #Greitens pays tribute 2 fallen police officers at event 4/25 in St. Charles
His speech paid tribute 2 police killed in…</t>
  </si>
  <si>
    <t>#Greitens pays tribute 2 fallen police officers at event 4/25 in St. Charles
His speech paid tribute 2 police killed in line of duty, comparing officers 2 "knights," &amp;amp; calling them, "Those who stand ready to defend the defenseless"
#MoLeg #MoGov #Missouri #STL #BlueLivesMatter https://t.co/WAmGfReVBN</t>
  </si>
  <si>
    <t>RT @VisioDeiFromLA: Hey @Dogan4Rep 
In this video you claim that the idea that the #greitensindictment is a partisan witch hunt is crazy.…</t>
  </si>
  <si>
    <t>RT @sigi_hill: Tisaby is knowN to the courts as lying under oath - PERJURY 
Crooked @stlcao @kimgardner77th hired him from out of state
#Gr…</t>
  </si>
  <si>
    <t>RT @magathemaga1: KS chose to see him
KS chose to continue the fling
KS didnt go to the police.
Sorry it was a consensual affair and it ta…</t>
  </si>
  <si>
    <t>RT @RealTravisCook: A consensual affair between two people now makes someone a "victim"???  The goalposts keep moving all the time... #MoLe…</t>
  </si>
  <si>
    <t>RT @DeplorableGoldn: RT 🚨 #moleg #mogov https://t.co/YfzOMIzQ9s</t>
  </si>
  <si>
    <t>RT @DeplorableGoldn: RT 🚨
As details came out, #greitens case only got stranger: private investigator had been found 2 have violated Alabam…</t>
  </si>
  <si>
    <t>RT @DeplorableGoldn: RT 🚨
@sarahfelts until @brucefranksjr &amp;amp; Nadal step down Burns SHOULD NOT STEP DOWN
Hypocritical only calling 4 Burns…</t>
  </si>
  <si>
    <t>@MarcGagne16 @DeplorableGoldn Moleg has an agenda to lie</t>
  </si>
  <si>
    <t>RT @aaron_hedlund: Disturbingly pertinent here in Missouri... Guilt by accusation undermines our rights, the rule of law, and tears at the…</t>
  </si>
  <si>
    <t>RT @CStamper_: It’s the standard for Republicans. #moleg #mogov  https://t.co/mPBpHmSgEq</t>
  </si>
  <si>
    <t>Hey Nadal you gonna resign to for your comments against potus?
Both of you resign!
#MOLeg #mogov https://t.co/Mrr1e9lDIP</t>
  </si>
  <si>
    <t>RT @Sticknstones4: ‘Tis the Season
Is protesting Bob Burns y’all’s kick off event ?
The Bob Burns Seasonal Opener 
Save your voices &amp;amp; you…</t>
  </si>
  <si>
    <t>KS chose to see him
KS chose to continue the fling
KS didnt go to the police.
Sorry it was a consensual affair and it takes two. 
#moleg #MOGov #greitens https://t.co/6e0FVXKaLm</t>
  </si>
  <si>
    <t>RT @TomJEstes: The leader of @PPact claims there is no specific moment when life begins. So much for medically accurate information. #moleg…</t>
  </si>
  <si>
    <t>RT @inthejungle234: What about Maria Nadal?
#moleg #MoGov https://t.co/K0TkbPyHuH</t>
  </si>
  <si>
    <t>RT @inthejungle234: Yeah but didnt you threaten the POTUS?
Are you gonna resign too?
#moleg #mogov #StLouis https://t.co/yoHJX8wOA0</t>
  </si>
  <si>
    <t>RT @Norasmith1000: @jdavidsonlawyer it is appalling to me that you think it should be so easy to remove a duly elected governor. #moleg doe…</t>
  </si>
  <si>
    <t>RT @Sticknstones4: All that money wasted in hiring Tisaby an outside investigator , that lies &amp;amp; takes the 5th.  This is a disgrace to our j…</t>
  </si>
  <si>
    <t>@STLPOLITICS87 #Moleg #Mogov #Stlouis #stl https://t.co/GjQwNfodt7</t>
  </si>
  <si>
    <t>@HotPokerPrinces Looks like they are renewing their push. I'm not even a Democrat but its clear they want him out so one of them can take his job</t>
  </si>
  <si>
    <t>RT @magathemaga1: @shellgame57 until @brucefranksjr &amp;amp; Nadal step down Burns SHOULD NOT STEP DOWN
Hypocritical only calling 4 Burns resigna…</t>
  </si>
  <si>
    <t>RT @magathemaga1: St. Louis also doesn’t need somebody who is anti cop like Bruce Franks JR or makes threats against the president like Nad…</t>
  </si>
  <si>
    <t>RT @Norasmith1000: @YearOfZero Im still waiting for the Dem outrage at Gardner for misconduct, perjury censure by judge, maybe hiding Tisab…</t>
  </si>
  <si>
    <t>St. Louis also doesn’t need somebody who is anti cop like Bruce Franks JR or makes threats against the president like Nadal.
You gonna demand they step down too?
If not, then your a hypocrite and a terrible person.
#MoLeg #MoGov https://t.co/DhYNx29hEB</t>
  </si>
  <si>
    <t>@shellgame57 until @brucefranksjr &amp;amp; Nadal step down Burns SHOULD NOT STEP DOWN
Hypocritical only calling 4 Burns resignation 
✔Franks - anti cop language 
✔Nadal - threats against the POTUS
✔Burns - called in 2 radio show 
They all go or nobody goes!
#MoLeg #MoGov #STL https://t.co/DhYNx29hEB</t>
  </si>
  <si>
    <t>RT @magathemaga1: You gonna demand Nadal and Frank's step too?
Y do they get a pass for bad behavior?
Gonna answer that?
They all go or…</t>
  </si>
  <si>
    <t>You gonna demand Nadal and Frank's step too?
Y do they get a pass for bad behavior?
Gonna answer that?
They all go or nobody goes.
Not even a burns fan but U look like hypocrite &amp;amp; seems more like somebody wants burns job not concern about radio show
Hypocrite
#moleg #MOGov https://t.co/NJ08btJj1p</t>
  </si>
  <si>
    <t>RT @magathemaga1: @sarahfelts until @brucefranksjr &amp;amp; Nadal step down Burns SHOULD NOT STEP DOWN
Hypocritical only calling 4 Burns resignat…</t>
  </si>
  <si>
    <t>@sarahfelts until @brucefranksjr &amp;amp; Nadal step down Burns SHOULD NOT STEP DOWN
Hypocritical only calling 4 Burns resignation 
✔Franks - anti cop language 
✔Nadal - threats against the POTUS
✔Burns - called in 2 radio show 
They all go or nobody goes!
#MoLeg #MoGov #STL https://t.co/asx9JGydcG</t>
  </si>
  <si>
    <t>RT @HotPokerPrinces: Bob Burns Will Not Be Resigning
He’s not a surrender monkey 🐒 
Deal with it !
We’ve had to deal with 
Hate speech &amp;amp;…</t>
  </si>
  <si>
    <t>RT @YearOfZero: 1. ALLEGED. It isn’t victim. IT IS ALLEGED victim
2. Block away
3. I WON’T say it, but no gag order on public. Public can t…</t>
  </si>
  <si>
    <t>RT @YearOfZero: U also being horrible person assuming #Greitens guilt
From sounds of it, she was paid off to make up the story. Gonna addr…</t>
  </si>
  <si>
    <t>RT @DonaldJTrumpJr: The Blue Checkmark “elite” head’s are exploding right now.</t>
  </si>
  <si>
    <t>RT @KimKardashian: To the media trying to demonize my husband let me just say this... your commentary on Kanye being erratic &amp;amp; his tweets b…</t>
  </si>
  <si>
    <t>RT @magathemaga1: Good evening 2 everybody but #MoLeg swamp who R trying to screw #Missouri voters over and undo an election. Adding lipsti…</t>
  </si>
  <si>
    <t>RT @magathemaga1: Yes it's exactly what it does.
Clean Missouri is a scam
It's a Democrat vote scam
DECLINE TO SIGN #MISSOURI
#SOROS is…</t>
  </si>
  <si>
    <t>Good evening 2 everybody but #MoLeg swamp who R trying to screw #Missouri voters over and undo an election. Adding lipstick to a pig won't work &amp;amp; claiming it is bipartisan wont work. We know it's outsider vs swamp &amp;amp; a witch hunt
Poll time
What's a better name 4 Tisaby?
#mogov</t>
  </si>
  <si>
    <t>Yes it's exactly what it does.
Clean Missouri is a scam
It's a Democrat vote scam
DECLINE TO SIGN #MISSOURI
#SOROS is trying to buy the state and screw Missouri voters
#moleg @sarahfelts @DerekGrier #mogov #MOSen #SCAM https://t.co/HD6V2JhCxT</t>
  </si>
  <si>
    <t>RT @EricGreitens: Today, we signed an executive order to ensure Missouri’s Homeland Security Advisory Council has every resource to keep Mi…</t>
  </si>
  <si>
    <t>@c5ron @EricGreitens #Greitens https://t.co/PtClLQte4N</t>
  </si>
  <si>
    <t>RT @Fuctupmind: Fifth Amendment
Glad that's trending.
Platte River Networks, the IT firm who has handled the private email server, was gi…</t>
  </si>
  <si>
    <t>RT @VisioDeiFromLA: I've spent years working with people like U
I've seen:
-The lies.
-The bias
-The coordinated stories 
-The lack of con…</t>
  </si>
  <si>
    <t>@PaidRussianBot We may have a new nick name for tisaby</t>
  </si>
  <si>
    <t>RT @_YvonneBurton: "Why are white liberals trying to put African Americans in their place?" .@Cernovich Dragon Energy https://t.co/PEVgWJwe…</t>
  </si>
  <si>
    <t>RT @drawandstrike: @jonfavs Is this code for "A powerful black man needs to be ignored because all of a sudden I don't agree with the thing…</t>
  </si>
  <si>
    <t>RT @PaidRussianBot: #TriflingTisaby probably received a random delivery from a courier too. His "National Security" work with "The FBI" is…</t>
  </si>
  <si>
    <t>RT @Norasmith1000: @MoDemParty @EricGreitens It's funny how some people can't see the obvious connection between that first paragraph and t…</t>
  </si>
  <si>
    <t>RT @Hope4Hopeless1: @magathemaga1 @RightSideUp313 @MSTLGA @SKOLBLUE1 @Avenge_mypeople @HotPokerPrinces @Rep_TRichardson @MissouriGOP @Eric_…</t>
  </si>
  <si>
    <t>RT @magathemaga1: As details came out, #greitens case only got stranger: private investigator had been found 2 have violated Alabama law by…</t>
  </si>
  <si>
    <t>As details came out, #greitens case only got stranger: private investigator had been found 2 have violated Alabama law by committing bigamy, lied 2 FBI, was demoted by FBI for misconduct, &amp;amp; he perjured himself in his deposition
#MoLeg #MoGov #NoNotesTisaby #missouri #KimShady https://t.co/iLK1zZvrQh</t>
  </si>
  <si>
    <t>RT @TomJEstes: When a Democrat wins an election it means Republicans are in trouble. When Republicans win an election Republicans are in tr…</t>
  </si>
  <si>
    <t>RT @magathemaga1: @RealTravisCook #StLouis #Greitens #Missouri #MoneyBagsAl #KimShady #stl https://t.co/gfEjswuzHA</t>
  </si>
  <si>
    <t>RT @CStamper_: When even the liberal @stltoday editorial board is referring to Soros-backed Kim Gardner’s political witch hunt as a “circus…</t>
  </si>
  <si>
    <t>RT @magathemaga1: Ok so any journalist going to ask any tough questions about #MoneyBagsAL?
@Eric_Schmitt
@RonFRichard 
@Rep_TRichardson…</t>
  </si>
  <si>
    <t>Ok so any journalist going to ask any tough questions about #MoneyBagsAL?
@Eric_Schmitt
@RonFRichard 
@Rep_TRichardson 
@shawnrhoads154 
#MoLeg #MoGov #Greitens #missouri #stlouis #stl https://t.co/plrSQPOVNn</t>
  </si>
  <si>
    <t>RT @magathemaga1: "I can tell you, the people of Missouri stand with you," Gov. Eric Greitens said 2 annual memorial prayer breakfast of ST…</t>
  </si>
  <si>
    <t>"I can tell you, the people of Missouri stand with you," Gov. Eric Greitens said 2 annual memorial prayer breakfast of STL Area Police Chiefs Association at Saint Charles Convention Center. 
He was the keynote speaker. 
@EricGreitens
#MoLeg #MoGov #StLouis #Greitens #Stl #KCMO https://t.co/xYsIdHf4c9</t>
  </si>
  <si>
    <t>@wysiwygit @ws_missouri No I wounldnt answer any dumb questions from journalists who Wont even ask why this ks girl is off limits yet they can ask stupd crap. You do know the girl is making up this story, right? As well as reputation for dating other politicians.</t>
  </si>
  <si>
    <t>@Tessa_Weinberg @Allie_Kite @JackSuntrup You people are truly horrible people. I’d let this slide if you actually covered the whole truth not just your version of events, like the fact that this woman dated other politicians and you haven’t asked 0 questions about it. You ALL KNOW.</t>
  </si>
  <si>
    <t>RT @Norasmith1000: @ScottCharton @EricGreitens Apparently you are the one that has no shame, saying this is just a PR stunt is ridiculous.…</t>
  </si>
  <si>
    <t>@DiverGuy1960 @jallman971 @staceynewman @molegislature Join the club https://t.co/GIV7fb5VTq</t>
  </si>
  <si>
    <t>@EricGreitens Keep fighting @EricGreitens</t>
  </si>
  <si>
    <t>RT @magathemaga1: @GovGreitensMO Signs Executive Order Expanding Homeland Security Advisory Council 
“We’re working every day to keep Miss…</t>
  </si>
  <si>
    <t>Corrected link: https://t.co/52cWb5Ipuk #greitens</t>
  </si>
  <si>
    <t>RT @magathemaga1: #Greitens Signs E.O. Expanding Homeland Security Advisory Council 
This EO will help insure every families from disaster…</t>
  </si>
  <si>
    <t>#Greitens Signs E.O. Expanding Homeland Security Advisory Council 
This EO will help insure every families from disasters, terrorist threats, &amp;amp; enforce our immigration laws
Read It: https://t.co/52cWb5Ipuk
#MO #MOLeg #MOGov #greitens #missouri #stl #kcmo #stlouis #Immigration</t>
  </si>
  <si>
    <t>RT @kanyewest: we got love https://t.co/Edk0WGscp6</t>
  </si>
  <si>
    <t>RT @ScottPresler: The Trump community proudly embraces you, Kanye West.
#AmericaFirst https://t.co/3Qixl79mic</t>
  </si>
  <si>
    <t>@GovGreitensMO Signs Executive Order Expanding Homeland Security Advisory Council 
“We’re working every day to keep Missourians safe,” said Governor Greitens
Read it here: https://t.co/52cWb5Ipuk
#MO #MOLeg #MOGov #greitens #missouri #stl #kcmo #stlouis #security @EricGreitens https://t.co/bWyMt2tHb5</t>
  </si>
  <si>
    <t>@GovGreitensMO Signs Executive Order Expanding Homeland Security Advisory Council 
“We’re working every day to keep Missourians safe,” said Governor Greitens
Read here: https://t.co/PqpqvFRo5v
#MO #MOLeg #MOGov #greitens #missouri #stl #kcmo #stlouis #security @EricGreitens https://t.co/4CrkOMK0H4</t>
  </si>
  <si>
    <t>RT @JosephMasepoes: The most idiotic thing about the #Democrats new strategy of free stuff is that voters will want to know, if it's even p…</t>
  </si>
  <si>
    <t>RT @Barnes_Law: Newsflash: Our government is not governed by virtue-signaling abstractions; it is governed by the Constitution, which does…</t>
  </si>
  <si>
    <t>RT @kanyewest: https://t.co/KzyHlDaywt</t>
  </si>
  <si>
    <t>RT @kanyewest: my MAGA hat is signed 🔥🔥🔥🔥🔥🔥🔥🔥🔥🔥🔥🔥🔥🔥🔥🔥🔥🔥🔥🔥🔥🔥🔥🔥🔥🔥🔥🔥🔥🔥 https://t.co/DrDHJybS8V</t>
  </si>
  <si>
    <t>RT @kanyewest: I'm used to the heat of independent thoughts</t>
  </si>
  <si>
    <t>RT @StefanMolyneux: Mother of 11-Year-Old Stockholm Terror Victim Confronts Alleged Terrorist at Trial  https://t.co/mcPsWigeUe</t>
  </si>
  <si>
    <t>RT @sigi_hill: #IStandWGovGreitens
#MoLeg #MoGov #MOSen #MoGOP #Greitens https://t.co/qBWpheFqZ9</t>
  </si>
  <si>
    <t>@FN4AP @AP4Liberty @HawleyMO #moleg #mogov #MOSen #Greitens
Sure is. https://t.co/jVlqufvY7n</t>
  </si>
  <si>
    <t>RT @FN4AP: Hahaha @AP4Liberty calling josh @HawleyMO the James Comey of #Missouri!
#mosen #senate #FireClaire #MakeLibertyWin #SenateElect…</t>
  </si>
  <si>
    <t>RT @SKOLBLUE1: #22ADAY #VA #Veterans #USMC #SUICIDE National Suicide Prevention Hotline 1-800-273-TALK(8255) or text HOME to 741741. https:…</t>
  </si>
  <si>
    <t>RT @magathemaga1: #MoneyBagsAl
#Greitens
#GreitensIndictment 
#moleg
#mogov
#mosen 
#StLouis 
#stl 
#Missouri 
#kimshady
#soros
#moneybags…</t>
  </si>
  <si>
    <t>#MoneyBagsAl
#Greitens
#GreitensIndictment 
#moleg
#mogov
#mosen 
#StLouis 
#stl 
#Missouri 
#kimshady
#soros
#moneybags
#money
#getpaid 
#WitchHunt 
#kcmo
#scam
#politics 
#Scandal  
#maga 
#mogop
#BREAKING 
#Trump 
#RedWave2018 
#framejob
#hairdresser https://t.co/QzZdXIy3jN</t>
  </si>
  <si>
    <t>RT @HennessySTL: How Senator Schaff’s “Clean Missouri” Plan Will Deliver the Legislature to Democrats https://t.co/RCOD1yrimY https://t.co/…</t>
  </si>
  <si>
    <t>RT @HennessySTL: How Senator Schaff’s “Clean Missouri” Plan Will Deliver the Legislature to Democrats https://t.co/idxqBv7Cns https://t.co/…</t>
  </si>
  <si>
    <t>RT @NumbersUSA: MOST Americans nationwide want to cut immigration from 1 million a year to 750,000 or less! 
CA — 57% of ALL voters
WI — 57…</t>
  </si>
  <si>
    <t>RT @magathemaga1: Eric #Greitens in his own words.
"...Greitens is also wise enough to know people aren’t perfect. Even well-educated huma…</t>
  </si>
  <si>
    <t>Eric #Greitens in his own words.
"...Greitens is also wise enough to know people aren’t perfect. Even well-educated humanitarians have flaws ... even great people can make stupid mistakes. And, yet, remain great.
HT:@HennessySTL
#MoLeg #Mogov #kcmo #stl
https://t.co/PqpqvFRo5v</t>
  </si>
  <si>
    <t>RT @HennessySTL: Eric Greitens in His Own Words https://t.co/VjlH99UVcV https://t.co/IRBoAbSn2Y</t>
  </si>
  <si>
    <t>RT @RealCandaceO: I WILL NOT ACCEPT THE NARRATIVE THAT BLACK PEOPLE ARE VICTIMS. 
VICTORS-ONLY CLUB.</t>
  </si>
  <si>
    <t>#MoneyBagsAl took the money to create the #GreitensIndictment scam
#StLouis #Greitens https://t.co/YPiPHXax2w</t>
  </si>
  <si>
    <t>RT @magathemaga1: "attorneys learned that ... prosecution’s chief investigator, a man ... prosecution has compared to Inspector Clousseau,…</t>
  </si>
  <si>
    <t>"attorneys learned that ... prosecution’s chief investigator, a man ... prosecution has compared to Inspector Clousseau, was not about to show up for his scheduled deposition."
#KimShady show down at the CAO in #StLouis is a complete scam
#moleg #MoGov
https://t.co/Xo2P4hul60</t>
  </si>
  <si>
    <t>RT @CStamper_: Soros-backed Kim Gardner is making an absolute mockery of the legal system. #moleg #mogov  https://t.co/LlUz2Zmptl</t>
  </si>
  <si>
    <t>RT @magathemaga1: Exactly Clean Missouri is a scam to take away the voice of Missourians
We see what your up to #MoLeg traitors.
#MoGov #…</t>
  </si>
  <si>
    <t>RT @magathemaga1: Clean #Missouri is a scam 
#moleg #mogov
DECLINE TO SIGN ANY PETITION https://t.co/Sz17bvNP66</t>
  </si>
  <si>
    <t>RT @melody_grover: Imagine the look on @HawleyMO face when #mogov is cleared of wrongdoing. Will he crawl back to us #Deplorables and grove…</t>
  </si>
  <si>
    <t>RT @DeplorableGoldn: #Greitens pays tribute 2 fallen police officers at event today in St. Charles
His speech paid tribute 2 police killed…</t>
  </si>
  <si>
    <t>@DerekGrier @HannahsHomes DECLINE TO SIGN</t>
  </si>
  <si>
    <t>RT @romanhistory1: Today 1184 BC The Greeks enter Troy using the Trojan Horse (traditional date) https://t.co/9CJKiVMq12</t>
  </si>
  <si>
    <t>RT @MissouriGOP: Before you sign any petitions, read @HannahKellyMO’s editorial about the true intentions of Clean Missouri: https://t.co/L…</t>
  </si>
  <si>
    <t>Clean #Missouri is a scam 
#moleg #mogov
DECLINE TO SIGN ANY PETITION https://t.co/Sz17bvNP66</t>
  </si>
  <si>
    <t>@joelcurrier @EricGreitens The DUDE STRAIGHT UP LIED</t>
  </si>
  <si>
    <t>RT @charliekirk11: If you live in America you are not oppressed, a victim, or owed anything 
You are part of a group of the luckiest human…</t>
  </si>
  <si>
    <t>RT @Sticknstones4: Clownish St. Louis Prosecutors 🤡Turn Greitens Case Into Farce 
#moleg #greitens #kimshady #moneybagsAl 
https://t.co/C…</t>
  </si>
  <si>
    <t>RT @magathemaga1: "There is a strong, silent majority of people throughout the state" who support police even in times notable for controve…</t>
  </si>
  <si>
    <t>"There is a strong, silent majority of people throughout the state" who support police even in times notable for controversies involving the police” Greitens said at memorial prayer breakfast
He was keynote speaker
#MoLeg #MoGov #StLouis #Greitens #Stl #KCMO #BlueLivesMatter https://t.co/dMdAPwjoLZ</t>
  </si>
  <si>
    <t>RT @shesova: YES! Please RT on behalf of @EricGreitens who is being railroaded by @molegislature who are on a #WitchHunt just like they are…</t>
  </si>
  <si>
    <t>@Norasmith1000 @strmsptr @juliematthews50 @SherrifClarke @StLCountyRepub @TrumpChess @MOGOP_Chairman @BooneCoMOGOP @SheenaGreitens @JCunninghamMO @gatewaypundit @TomJEstes @ninekiller @Blackboxhalo @bluelivesmtr #bluelivesmatter @willscharf @chadler_usa @ErgoStreetNurse</t>
  </si>
  <si>
    <t>RT @magathemaga1: #Greitens pays tribute 2 fallen police officers at event today in St. Charles
His speech paid tribute 2 police killed in…</t>
  </si>
  <si>
    <t>#BlueLivesMatter https://t.co/jWznFscKRA</t>
  </si>
  <si>
    <t>"I can tell you, the people of Missouri stand with you," Gov. Eric Greitens said 2 annual memorial prayer breakfast of STL Area Police Chiefs Association at Saint Charles Convention Center. 
He was the keynote speaker. 
@EricGreitens
#MoLeg #MoGov #StLouis #Greitens #Stl #KCMO https://t.co/ElZgiahx9D</t>
  </si>
  <si>
    <t>RT @DerekGrier: Read this, people. Clean Missouri is not what you think...don’t be fooled, and do your research before signing ANY petition…</t>
  </si>
  <si>
    <t>Exactly Clean Missouri is a scam to take away the voice of Missourians
We see what your up to #MoLeg traitors.
#MoGov #Missouri #Soros https://t.co/O7PkxQYNcn</t>
  </si>
  <si>
    <t>#Greitens pays tribute 2 fallen police officers at event today in St. Charles
His speech paid tribute 2 police killed in line of duty, comparing officers 2 "knights," &amp;amp; calling them, "Those who stand ready to defend the defenseless."
#MoLeg #MoGov #Stlouis #stl #missouri #kcmo https://t.co/R5z2MCSXbm</t>
  </si>
  <si>
    <t>RT @Sticknstones4: @YearOfZero @StevenDialTV @EricGreitens @41actionnews Al Watkins law office bldg has 24hr security, hope the inept house…</t>
  </si>
  <si>
    <t>RT @RealTravisCook: If you missed my radio show from today in which we examine the #GreitensIndictment while focusing on the actions of the…</t>
  </si>
  <si>
    <t>RT @RealTravisCook: Uh oh! He got caught with Phil Sneed's payoff money!!! (Oh, wait...are we still supposed to pretend that we don't know…</t>
  </si>
  <si>
    <t>@CStamper_ Check out @magathemaga1’s Tweet: https://t.co/WZRoMDGh0X</t>
  </si>
  <si>
    <t>RT @magathemaga1: #Missouri #Mogov Scam
Voters under attack
Sen Schaff’s “Clean Missouri” Plan Delivers #MoLeg 2 Democrats
Constitutiona…</t>
  </si>
  <si>
    <t>#Missouri #Mogov Scam
Voters under attack
Sen Schaff’s “Clean Missouri” Plan Delivers #MoLeg 2 Democrats
Constitutional amendment eliminates traditional district mapping/allows elites 2 hurt voters
Call/Tell him this isnt ok
573-751-2183
Read here: https://t.co/dbOwcdZbRj</t>
  </si>
  <si>
    <t>RT @CStamper_: The so-called “Clean Missouri” initiative is designed to “flip our state legislature from Republican Red to a deep and dirty…</t>
  </si>
  <si>
    <t>RT @magathemaga1: #Greitens forms committee 2 audit tax credits
"Greitens’ press secretary Parker Briden expanded that committee would do…</t>
  </si>
  <si>
    <t>#Greitens forms committee 2 audit tax credits
"Greitens’ press secretary Parker Briden expanded that committee would do “an end-to-end audit of entire tax system.”
Didnt Parson come out 4 Tax Credits month later?
#moleg #mogov #stl #mosen
Read here: https://t.co/9ohStX3Ziu</t>
  </si>
  <si>
    <t>RT @magathemaga1: ⚠️ FLASHBACK ⚠️
#Greitens forms committee 2 audit tax credits
"Greitens’ press secretary Parker Briden expanded that co…</t>
  </si>
  <si>
    <t>RT @plwy31: @stltoday Iam sick of hearing about Greitens charges we all know . let the man do his job .remember nothing has been proven in…</t>
  </si>
  <si>
    <t>⚠️ FLASHBACK ⚠️
#Greitens forms committee 2 audit tax credits
"Greitens’ press secretary Parker Briden expanded that committee would do “an end-to-end audit of entire tax system.”
Didnt Parson come out 4 Tax Credits month later?
#moleg #mogov #stl
https://t.co/9ohStXlAH4</t>
  </si>
  <si>
    <t>@christoferguson #MoLeg https://t.co/Q0HY9ZdmLz</t>
  </si>
  <si>
    <t>RT @christoferguson: Lawmakers issue subpoena to attorney in Greitens case to ask about anonymous $100,000. #moleg #stl 
https://t.co/coE9h…</t>
  </si>
  <si>
    <t>RT @Sticknstones4: @philip_saulter @CaileighKRCG13 @KRCG13 He’s a biter man abusing his position 
Hurting Missouri to spite the Governor…</t>
  </si>
  <si>
    <t>@philip_saulter @CaileighKRCG13 @KRCG13  https://t.co/oQK1Y0M2Oo</t>
  </si>
  <si>
    <t>RT @magathemaga1: 🚨 #MoneyBagsAl UPDATE 🚨 
#MoLeg issued subpoena 2 Watkins in #Greitens case about anonymous 100k 
Watkins, who publiciz…</t>
  </si>
  <si>
    <t>RT @DeplorableGoldn: RT-ing 🚨
Bruce Frank's Jr should resign for his anti cop language. Nadal must resign for her threats against POTUS.
A…</t>
  </si>
  <si>
    <t>🚨 #MoneyBagsAl UPDATE 🚨 
#MoLeg issued subpoena 2 Watkins in #Greitens case about anonymous 100k 
Watkins, who publicized accusations from Bitter Ex, issued subpoena by @MOHouseGOP 2 answer about $100k in ANON payments
HT: @J_Hancock 
#MoGov #Stlouis 
https://t.co/W4C0BYLoJI</t>
  </si>
  <si>
    <t>RT @Sticknstones4: @KPLR11 When is there a special investigation on these 7 inept legislators?  Meet behind closed doors to author reports…</t>
  </si>
  <si>
    <t>RT @magathemaga1: Good Morning #MoLeg except @RonFRichard
#GreitensIndictment: 
#KimShady crooked
#NoNotesTisaby crooked
#MoneyBagsAl is…</t>
  </si>
  <si>
    <t>Good Morning #MoLeg except @RonFRichard
#GreitensIndictment: 
#KimShady crooked
#NoNotesTisaby crooked
#MoneyBagsAl is Rich
#Ladderboy has COI BIGLY
#MoGov = #MoSwamp
#Accuser testimony inconsistent
#Waited 3 years 
#Went 2 media not police
#Affair consensual
#Soros WITCH HUNT! https://t.co/PuHRJ72BSI</t>
  </si>
  <si>
    <t>RT @magathemaga1: Bruce Frank's Jr should resign for his anti cop language. Nadal must resigns for her threats against POTUS.
All 3 resign…</t>
  </si>
  <si>
    <t>@sarahfelts Bruce Frank's Jr should resign for his anti cop language. Nadal must resigns for her threats against POTUS.
All 3 resign at same time or nobody resigns
Virtue signaling over Burns while not calling out others makes you look like a giant hypocrite 
So deal?
#MoLeg #MOGov #stl</t>
  </si>
  <si>
    <t>Bruce Frank's Jr should resign for his anti cop language. Nadal must resigns for her threats against POTUS.
All 3 resign at same time or nobody resigns
Virtue signaling over Burns while not calling out others makes you look like a giant hypocrite 
So deal?
#MoLeg #MOGov #stl https://t.co/uluW59MGdb</t>
  </si>
  <si>
    <t>RT @realDonaldTrump: Our two great republics are linked together by the timeless bonds of history, culture, and destiny. We are people who…</t>
  </si>
  <si>
    <t>RT @TomFitton: The "missing" FBI texts scandal is yet another reason for Sessions to unrecuse himself:  TOM FITTON: "Sessions Should Unrecu…</t>
  </si>
  <si>
    <t>RT @Education4Libs: California’s Secretary of State has announced the ballot proposal for “Calexit” has been cleared.
Go ahead.
No more e…</t>
  </si>
  <si>
    <t>RT @IAm2skilled: Perfect answer. #AlfieEvans https://t.co/KawJKGyYZp</t>
  </si>
  <si>
    <t>RT @ColumbiaBugle: The Trump Administration better ready the defenses, for the Central American Caravan is nearing our gates!
#StopTheCara…</t>
  </si>
  <si>
    <t>RT @KatTheHammer1: CLEAR @GenFlynn NOW!! 
SERVED THIS NATION 33+ YEARS!
HIS LOVE FOR THIS NATION HAS NEVER FAULTERED!!
.@realDonaldTrump…</t>
  </si>
  <si>
    <t>RT @Sticknstones4: I really don’t know if this is satire  😂
Or 
What really happens behind those closed door sessions
At #moleg 
For all…</t>
  </si>
  <si>
    <t>RT @magathemaga1: ⚠️ URGENT OMG ⚠️
#MoneyBagsAl Video Found!
On Dec. 13th, 2017, hidden cam footage discovered wherein #MoneyBagsAl caugh…</t>
  </si>
  <si>
    <t>⚠️ URGENT OMG ⚠️
#MoneyBagsAl Video Found!
On Dec. 13th, 2017, hidden cam footage discovered wherein #MoneyBagsAl caught discussing why PS should employ him! 
SHOCKING
#moleg #mogov #mosen 
#Greitens #GreitensIndictment 
#StLouis #missouri #stl 
#Satire
@EricGreitens https://t.co/rr2xw2WiGm</t>
  </si>
  <si>
    <t>@alienfencer @SKOLBLUE1 @Sticknstones4 @HotPokerPrinces @MOHouseGOP @EricGreitens @Hope4Hopeless1 @MoScarlet @strmsptr @Avenge_mypeople Where have you been?</t>
  </si>
  <si>
    <t>RT @guypbenson: Parkland survivor interrogated by law enforcement over the entirely lawful, ordinary and unexceptional exercise of his cons…</t>
  </si>
  <si>
    <t>RT @KTHopkins: I genuinely thought it was a country. My bad. #Toronto https://t.co/FFxH8DPf7l</t>
  </si>
  <si>
    <t>RT @realDonaldTrump: Having great meetings and discussions with my friend, President @EmmanuelMacron of France. We are in the midst of meet…</t>
  </si>
  <si>
    <t>https://t.co/N0kvnBnCtT</t>
  </si>
  <si>
    <t>RT @seanhannity: WATCH: Trump Derangement Syndrome on FULL DISPLAY... https://t.co/4A0QnTUrdg</t>
  </si>
  <si>
    <t>RT @KMGGaryde: It's now official the Trump Election 'Scandal' is #ObamaGate now &amp;amp; for ever! the worst scandal in the history of America! Th…</t>
  </si>
  <si>
    <t>RT @YearOfZero: If I was investigating this #MoneyBagsAl thing, I would ask:
Has anybody related to lawyer, the woman or ex husband or tan…</t>
  </si>
  <si>
    <t>When U support witch hunts &amp;amp; not allowing fairness...
...YOU SUPORT #Putin 
"Show me the man, I'll show U the crime" --Lavrentiy Beria
HEAD COUNT!
🔸️Support due process?
🔸️Or support Putin?
#MoGov #stl #MoSen #MoLeg #stlouis #kansascity #greitens #greitensindictment #stl https://t.co/uGQqErFRDw</t>
  </si>
  <si>
    <t>RT @magathemaga1: @KMOXKilleen @EricGreitens #MoneyBagsAl needs to spill the beans and #KimShady needs to be disbarred 
Everybody in #Stlo…</t>
  </si>
  <si>
    <t>RT @memoriadei: Not happy with you #moleg #committee some serious explaining to do #elections #Missouri https://t.co/zNsWKNlvZm</t>
  </si>
  <si>
    <t>RT @Sticknstones4: @BenjaminDPeters @RonFRichard How many bag💰of cash 💵 has @RonFRichard received ?
He’s playing political games to spite…</t>
  </si>
  <si>
    <t>RT @magathemaga1: @SKOLBLUE1 @VisioDeiFromLA @BenjaminDPeters @RonFRichard #MOLeg #mogov #mosen #Missouri
Cc
@Eric_Schmitt @EricGreitens @…</t>
  </si>
  <si>
    <t>RT @VisioDeiFromLA: @EricGreitens Stand strong @EricGreitens 
We know this is a witch hunt .
#moleg #MoGov #mosen
@Eric_Schmitt @Rep_TRi…</t>
  </si>
  <si>
    <t>RT @VisioDeiFromLA: That's why we call her #KimShady
#MoLeg #MoGov #MoSen #Greitens 
#StLouis #WitchHunt https://t.co/VQPjkJVY6Y</t>
  </si>
  <si>
    <t>RT @Sticknstones4: @KurtEricksonPD @stltoday I wonder how many anonymous bag💰of cash💵 were delivered to each senators office ? 
Shame on t…</t>
  </si>
  <si>
    <t>For an attorney you sure are a bad one in that you arent giving @EricGreitens the presumption of innocence but then again, that must be why your trying to run for office.
Hes innocent. Until proven guilty.
Bad at law.
SAD.
#moleg https://t.co/idWO6CI86S</t>
  </si>
  <si>
    <t>RT @SKOLBLUE1: @FoxNews @SenJohnBarrasso @TeamCavuto Is this what Tisaby is working on during this tumultuous time in Missouri? #moleg #mis…</t>
  </si>
  <si>
    <t>RT @VisioDeiFromLA: @rememberruss @smart_hillbilly @EricGreitens An affair isnt illegal and it happened when he wasn't govenor.
Everybody…</t>
  </si>
  <si>
    <t>#KimShady and #MoneyBagsAl should absolutely be disqualified 
#moleg #mogov #greitens #StLouis https://t.co/aiLOxvVE1I</t>
  </si>
  <si>
    <t>RT @Hope4Hopeless1: @SKOLBLUE1 @EricGreitens .@POTUS .@GovGreitensMo
.@EricGreitens
#WeStandWithGovGreitens 
#Missourians SEE that there…</t>
  </si>
  <si>
    <t>RT @MoScarlet: Did @HawleyMO not know Watkins is a high level crooked left lobbyist? Did he not have judgement enough to not involve himsel…</t>
  </si>
  <si>
    <t>RT @SKOLBLUE1: @BenjaminDPeters @RonFRichard Repulsive @RonFRichard is at it again! He doesn't want to further the state or education for o…</t>
  </si>
  <si>
    <t>@SKOLBLUE1 @VisioDeiFromLA @BenjaminDPeters @RonFRichard #MOLeg #mogov #mosen #Missouri
Cc
@Eric_Schmitt @EricGreitens @MRichadz @elijahhaahr @BillEigel @Dogan4Rep @MOHouseGOP https://t.co/DDwA2Nvu83</t>
  </si>
  <si>
    <t>RT @magathemaga1: @KCNewsGuy We call him #MoneyBagsAl #MoLeg #KsLeg #mogov https://t.co/2T6MMF6VRj</t>
  </si>
  <si>
    <t>RT @BryanLowry3: .@JoeBReporter is at the courthouse in St. Louis for #Greitens hearing. Says that defense seeking information on $100K pay…</t>
  </si>
  <si>
    <t>RT @SKOLBLUE1: @EricGreitens Great job Governor Greitens! #greitens #moleg #mosen #riseup #westandwithgreitens #stl #respect</t>
  </si>
  <si>
    <t>RT @Brianontheair: Missouri Governor @EricGreitens was at the Capitol in Jefferson City this morning, meeting with young people from across…</t>
  </si>
  <si>
    <t>RT @Missourinet: ICYMI: @jasontaylor101 has the latest information regarding Missouri Governor @EricGreitens, as well as the latest informa…</t>
  </si>
  <si>
    <t>@EricGreitens #MoneyBagsAl has got some explaining to do.
#Missouri #mogov https://t.co/K5ubDmZ0Hi</t>
  </si>
  <si>
    <t>@KMOXKilleen @EricGreitens #MoneyBagsAl needs to spill the beans and #KimShady needs to be disbarred 
Everybody in #Stlouis is talking about their crooked behavior 
#moleg #MOGov #Greitens https://t.co/EpgxV4eXDi</t>
  </si>
  <si>
    <t>RT @melody_grover: Luck has nothing to do with it. Voters don't take kindly to rogue prosecutors corrupt PIs &amp;amp; overly ambitious politicians…</t>
  </si>
  <si>
    <t>@KCNewsGuy We call him #MoneyBagsAl #MoLeg #KsLeg #mogov https://t.co/2T6MMF6VRj</t>
  </si>
  <si>
    <t>RT @SpeakerTimJones: Read the real dirt on the latest @georgesoros funded fraud to hit the #MOLeg “The Truth About Clean Missouri” https://…</t>
  </si>
  <si>
    <t>RT @KCNewsGuy: An attorney for the ex-husband of a woman who had an extramarital affair with Missouri Gov. Eric Greitens has been issued a…</t>
  </si>
  <si>
    <t>RT @magathemaga1: ⚠️ URGENT ⚠️
#MoneyBagsAl Video Found!
On April 24th, 2018, hidden camera footage discovered wherein #MoneyBagsAl is ca…</t>
  </si>
  <si>
    <t>⚠️ URGENT ⚠️
#MoneyBagsAl Video Found!
On April 24th, 2018, hidden camera footage discovered wherein #MoneyBagsAl is caught discussing why PS should employ him! 
SHOCKING
#moleg #mogov #mosen 
#Greitens #GreitensIndictment 
#StLouis #missouri #stl #Satire
@RealTravisCook https://t.co/LSMrhHZNgH</t>
  </si>
  <si>
    <t>@RealTravisCook #StLouis #Greitens #Missouri #MoneyBagsAl #KimShady #stl https://t.co/gfEjswuzHA</t>
  </si>
  <si>
    <t>RT @magathemaga1: @StevenDialTV @EricGreitens @41actionnews #MoneyBagsAl and #KimShady
At it again!
#moleg #mogov #mosen
#Missouri #StLou…</t>
  </si>
  <si>
    <t>RT @RealTravisCook: Will be on https://t.co/LqVNagt9Kx in 10 minutes discussing the entire #GreitensIndictment in all it's sordid goodness…</t>
  </si>
  <si>
    <t>RT @MissouriGOP: Read @HannahKellyMO's editorial to learn about the true intentions of Clean Missouri, an initiative funded by Democrat eli…</t>
  </si>
  <si>
    <t>RT @VisioDeiFromLA: Great commentary on the #GreitensIndictment 
Make sure to follow @RealTravisCook 
Then retweet 
Then listen to his p…</t>
  </si>
  <si>
    <t>RT @RealTravisCook: On today's radio show, the identities &amp;amp; motivations of those levelling accusations at #Missouri Governor #Greitens, as…</t>
  </si>
  <si>
    <t>@StevenDialTV @EricGreitens @41actionnews #MoneyBagsAl and #KimShady
At it again!
#moleg #mogov #mosen
#Missouri #StLouis #stl
#Greitens #GreitensIndictment https://t.co/9BHgiCuXmT</t>
  </si>
  <si>
    <t>@StevenDialTV @EricGreitens @41actionnews #MoneyBagsAl 
#Greitens 
#moleg
#CORRUPTION https://t.co/ZseKcfWzWt</t>
  </si>
  <si>
    <t>RT @StevenDialTV: Mystery money has gained the attention of Special House Committee investigating  @EricGreitens. 
Al Watkins received a su…</t>
  </si>
  <si>
    <t>RT @DeplorableGoldn: Right!  #MoLeg https://t.co/qLHe9svXmh</t>
  </si>
  <si>
    <t>RT @EdBigCon: BREAKING: MONEY MAN Dropped Off $100,000 to STL ATTORNEY to Launch Governor Greitens SEX SCANDAL  #Moleg https://t.co/ScU2zIs…</t>
  </si>
  <si>
    <t>RT @HannahBeers: Spot on, @HannahKellyMO. “Clean Missouri” is a desperate attempt to trick voters and diminish our voice! 
https://t.co/bU…</t>
  </si>
  <si>
    <t>RT @magathemaga1: @KurtEricksonPD @stltoday #MoneyBagsAl
#Greitens
#GreitensIndictment 
#moleg
#mogov
#mosen 
#StLouis 
#stl 
#Missouri 
#k…</t>
  </si>
  <si>
    <t>@KurtEricksonPD @stltoday #MoneyBagsAl
#Greitens
#GreitensIndictment 
#moleg
#mogov
#mosen 
#StLouis 
#stl 
#Missouri 
#kimshady
#soros
#moneybags
#money
#getpaid 
#WitchHunt 
#kcmo
#scam
#politics 
#Scandal 
#maga 
#mogop
#BREAKING 
#Trump 
#RedWave2018 
#framejob
#hairdresser https://t.co/v1sYH4ZNV2</t>
  </si>
  <si>
    <t>RT @KurtEricksonPD: House committee seeks to question lawyer about $100,000 cash https://t.co/ChCziesYeE via @stltoday #moleg</t>
  </si>
  <si>
    <t>@NewsTribune #MoneyBagsAl is At it Again! https://t.co/a7U2hI9pnU</t>
  </si>
  <si>
    <t>RT @NewsTribune: $100,000 payment subject of House subpoena https://t.co/XIfSkLFXPL #mogov #moleg</t>
  </si>
  <si>
    <t>@christoferguson #MoneyBagsAl #Missouri #Greitens #kcmo https://t.co/iRgi5Y3koZ</t>
  </si>
  <si>
    <t>RT @christoferguson: #Moleg House committee seeks to question mistress’ ex’s lawyer in Greitens case in regards to anonymously dropped off…</t>
  </si>
  <si>
    <t>RT @magathemaga1: @J_Hancock @EricGreitens #MoneyBagsAl is the name.
Getting paid to make up fake allegations is the GAME
Explaining the…</t>
  </si>
  <si>
    <t>@RealTravisCook 👍👍👍👍</t>
  </si>
  <si>
    <t>RT @RealTravisCook: Today at 2:00 CST on https://t.co/LqVNagt9Kx we examine the #GreitensIndictment here in #Missouri. Or "What happens whe…</t>
  </si>
  <si>
    <t>RT @J_Hancock: Al Watkins, the attorney representing the ex-husband of @EricGreitens’ alleged victim, says he received $100,000 from an ano…</t>
  </si>
  <si>
    <t>@J_Hancock @EricGreitens #MondayMotivation #greitens #missouri #KCMO #stl https://t.co/oFFOSd3HOj</t>
  </si>
  <si>
    <t>RT @J_Hancock: Attorney of the ex-husband who first made the allegations against @EricGreitens public received two payments of $50,000 from…</t>
  </si>
  <si>
    <t>RT @CStamper_: As the Soros-backed prosecutor’s witch hunt falls apart and the secret money trail that launched this whole scheme is made p…</t>
  </si>
  <si>
    <t>RT @Sticknstones4: Why would the chairman of the house investigative committee ignore this salacious information ? 
Did he get any random…</t>
  </si>
  <si>
    <t>RT @CStamper_: A mysterious bag man shows up with $100,000 cash and suddenly, just like magic, this story breaks. I guess $100,000 is all i…</t>
  </si>
  <si>
    <t>RT @Sticknstones4: Good Morning #MoLeg aka witch hunters 
Have Any Bags💰 of Anonymous cash 💵 been dropped off at your offices ?
Amazing t…</t>
  </si>
  <si>
    <t>@J_Hancock @EricGreitens #MoneyBagsAl is the name.
Getting paid to make up fake allegations is the GAME
Explaining the shady nature of it away with tongue kissing is what I do! 
#MoLeg #MoGov #MoSen #Greitens https://t.co/Zh7pQ5eRYZ</t>
  </si>
  <si>
    <t>@BryanLowry3 @J_Hancock His name is #MoneyBagsAl
#MoLeg #MoGov #MoSen #Greitens https://t.co/BibpippOMh</t>
  </si>
  <si>
    <t>RT @J_Hancock: Lawmakers issue subpoena to attorney in @EricGreitens case to ask about anonymous $100,000
https://t.co/Nm5kXMkVlT #moleg #…</t>
  </si>
  <si>
    <t>RT @BryanLowry3: Some major news from @J_Hancock: Lawmakers issue subpoena to attorney in Greitens case to ask about anonymous $100,000 htt…</t>
  </si>
  <si>
    <t>RT @CStamper_: Missouri is under attack. “Under the guise of ethics &amp;amp; lobbying reform, George Soros &amp;amp; other progressive groups are using th…</t>
  </si>
  <si>
    <t>RT @JoeBReporter: I wonder if Watkins, when speaking to lawmakers, will use the same colorful language he used when speaking to reporters o…</t>
  </si>
  <si>
    <t>RT @sigi_hill: SUSPICIOUS
Demanding answers #moleg #mogov #MOSen @AGJoshHawley https://t.co/93R85GyRR1</t>
  </si>
  <si>
    <t>RT @CStamper_: The scheming political operatives, self-interested politicians and untrustworthy media behind this whole scheme won’t like t…</t>
  </si>
  <si>
    <t>RT @bart_appleton: Missouri is under attack. “Under the guise of ethics &amp;amp; lobbying reform, George Soros &amp;amp; other progressive groups are usin…</t>
  </si>
  <si>
    <t>RT @TrumpChess: @HashtagGriswold Nice phrase "running a smear without the facts" considering 2 #WitchHunt cases by dems whose goal=remove a…</t>
  </si>
  <si>
    <t>RT @magathemaga1: An investigation in search of a crime...
#Greitens #GreitensIndictment #moleg #kimshady #Ladderboy #Missouri #StLouis #S…</t>
  </si>
  <si>
    <t>@Sticknstones4 #MoneyBagsAl https://t.co/CL4VBnCJ8K</t>
  </si>
  <si>
    <t>RT @Sticknstones4: “we have actively solicited as much money as possible from as many sources as possible “
Who drops off 2 bags of anonym…</t>
  </si>
  <si>
    <t>RT @JackSuntrup: Possible perjury cited by Greitens' lawyers, who want prosecutors disqualified https://t.co/5JpwQjHMe6 via @stltoday #mole…</t>
  </si>
  <si>
    <t>RT @DeplorableGoldn: RT 🚨
MONEY MAN Dropped Off $100,000 to STL ATTORNEY to Launch Greitens Witchhunt
Ex-husband confirmed the payment,  G…</t>
  </si>
  <si>
    <t>RT @RealTravisCook: $100,000 to try and bring down a Governor...I'd be shocked if this isn't Soros money. #greitens #moleg https://t.co/h1J…</t>
  </si>
  <si>
    <t>RT @strmsptr: #GreitensIndictment Still standing with our Governor. Never surrender @EricGreitens</t>
  </si>
  <si>
    <t>An investigation in search of a crime...
#Greitens #GreitensIndictment #moleg #kimshady #Ladderboy #Missouri #StLouis #STLCards #stl #kcmo @Eric_Schmitt @EricGreitens @elijahhaahr @Rep_TRichardson @MOHouseGOP  @gatewaypundit @MissouriGOP @STLCountyGOP #MoneyBagsAl #mosen @DRUDGE https://t.co/BRKatWd65w</t>
  </si>
  <si>
    <t>RT @DeplorableGoldn: RT
Hey Marshal its innocent until proven guilty 
Why dont you do some real journalism &amp;amp; ask about #MoneyBagsAl and #K…</t>
  </si>
  <si>
    <t>RT @DeplorableGoldn: RT 🚨
This is Just Amazing 
2 Bags💰💰 of anonymous cash 💵💵 100K delivered by courier to Attorney Al Watkins office 
W…</t>
  </si>
  <si>
    <t>RT @Sticknstones4: This is Just Amazing 
2 Bags💰💰 of anonymous cash 💵💵 100K delivered by courier to Attorney Al Watkins office…</t>
  </si>
  <si>
    <t>RT @RealJack: Democrats claim to be so frightened by President Trump’s leadership. 
It must be SOOOOOOO scary living with a leader who jus…</t>
  </si>
  <si>
    <t>RT @KurtSchlichter: Liberals hate America and anyone who seeks to defend it https://t.co/abY9CyaIqj</t>
  </si>
  <si>
    <t>RT @ScottPresler: 🚨🚨LISTEN TO ME🚨🚨
If you live in California, I want you to call your local city council -- wherever you are -- and ask fo…</t>
  </si>
  <si>
    <t>RT @KamVTV: HAPPENING NOW! City Of Yucaipa is a city OUTSIDE of Orange County going to battle to OPPOSE #SB54 Sanctuary Bill TONIGHT! 
@Ci…</t>
  </si>
  <si>
    <t>RT @RealJamesWoods: Don’t you need to feed your army of cats? https://t.co/jk45Zd8x12</t>
  </si>
  <si>
    <t>RT @YearOfZero: Ok.
So news about money bags Watkins guy is wild. So yeah, accusers were paid to make up this story against #Greitens 
An…</t>
  </si>
  <si>
    <t>RT @thecjpearson: Black people, in all corners of America, are opening their eyes and rejecting the liberal narrative, including @kanyewest…</t>
  </si>
  <si>
    <t>Good Morning #MoLeg except @RonFRichard
#GreitensIndictment: 
#KimShady crooked
#NoNotesTisaby crooked
#MoneyBagsAl is Rich
#Ladderboy has COI BIGLY
#MoGov = #MoSwamp
#Accuser testimony inconsistent
#Waited 3 years 
#Went 2 media not police
#Affair consensual
#Soros WITCH HUNT! https://t.co/SoNNbqcAxz</t>
  </si>
  <si>
    <t>RT @TrumpChess: #YouAreWinningWhen the opposition "breaks the law" trying to remove or impeach a duly elected US President and MO Governor…</t>
  </si>
  <si>
    <t>RT @LionelMedia: Former MSNBC journalists expose the channel’s ‘pro-establishment bias’ https://t.co/1ZsmeFUqQd</t>
  </si>
  <si>
    <t>RT @YearOfZero: From a strictly legal POV, #Ladderboy has COI. Hence the requested RO. He’s running for political office and has a vested i…</t>
  </si>
  <si>
    <t>RT @philip_saulter: @ScottCharton @EricGreitens Except you know, the majority of Missourians still back and support Eric Greitens through t…</t>
  </si>
  <si>
    <t>RT @YearOfZero: Those who are awake vs asleep
There are those who see matrix for what it is and realize allegations from women + her ex ar…</t>
  </si>
  <si>
    <t>RT @YearOfZero: MONEY MAN Dropped Off $100,000 to STL ATTORNEY to Launch Greitens Witchhunt
Ex-husband confirmed the payment,  Greitens is…</t>
  </si>
  <si>
    <t>@LV_Scooter @TeamGreitens Lol. This was in January. The lawyer kept the money. If he reported it to the fbi they would have kept it 🤦‍♂️</t>
  </si>
  <si>
    <t>@connielong @TeamGreitens https://t.co/UapOihOmSj</t>
  </si>
  <si>
    <t>@NeykoDominguez @aschmi35 @TeamGreitens Lol use google. He got paid and didn’t disclose! #MoneyBagsAl 
https://t.co/UapOihOmSj</t>
  </si>
  <si>
    <t>@AAron49609630 @ChrisDavisMMJ You mean #KimShady</t>
  </si>
  <si>
    <t>@NeykoDominguez @aschmi35 @TeamGreitens https://t.co/OuqG6VsdWN</t>
  </si>
  <si>
    <t>@stlrntn_manders @klgorges @amysuds @jeffreywbruce @EricGreitens #MoneyBagsAl #Greitens https://t.co/CSkJiPsz3k</t>
  </si>
  <si>
    <t>RT @smart_hillbilly: @TheAmadisKay @EricGreitens He deserves a day in court. Do you people even know what do process is! #StayStrongGreitens</t>
  </si>
  <si>
    <t>RT @amysuds: @EricGreitens Stay strong 💪🏻</t>
  </si>
  <si>
    <t>RT @EricGreitens: Fantastic weekend in Hickory and Texas counties talking about the conservative reforms we’ve fought for, the results we’v…</t>
  </si>
  <si>
    <t>@hotfunkytown @gatewaypundit @Eric_Schmitt @MOHouseGOP #MoneyBagsAl https://t.co/1YkS6mKMoG</t>
  </si>
  <si>
    <t>@hotfunkytown His name is #MoneyBagsAl
@gatewaypundit #Greitens 
@Eric_Schmitt @MOHouseGOP https://t.co/BruxfqOdZj</t>
  </si>
  <si>
    <t>RT @VisioDeiFromLA: Liberals are only allowed to drag #Greitens through the mud?
Conservatives aren’t supposed to be able to defend themse…</t>
  </si>
  <si>
    <t>RT @magathemaga1: @TeamGreitens #MoneyBagsAl and #KimShady https://t.co/TyFjNtdiKx</t>
  </si>
  <si>
    <t>@TeamGreitens @Avenge_mypeople @HotPokerPrinces @strmsptr @SKOLBLUE1 @Hope4Hopeless1 @Sticknstones4 @SpeakerTimJones @MoScarlet @MOHouseGOP #MoneyBagsAl https://t.co/OW5Sf57Pvw</t>
  </si>
  <si>
    <t>@aschmi35 @TeamGreitens #MoneyBagsAl #greitens https://t.co/PgOnmeDxnN</t>
  </si>
  <si>
    <t>RT @melody_grover: For those of you declaring KS credible, what is the standard? She has never been cross-examined, her testimony never com…</t>
  </si>
  <si>
    <t>RT @DeplorableGoldn: RT-ing 🚨
For those of you declaring KS credible, what is the standard? She has never been cross-examined, her testimon…</t>
  </si>
  <si>
    <t>RT @VisioDeiFromLA: Hey Marshal its innocent until proven guilty 
Why dont you do some real journalism and ask about #MoneyBagsAl and #Kim…</t>
  </si>
  <si>
    <t>RT @TrumpChess: BOOM! This is awesome @GovGreitensMO @POTUS #MoVoters #moleg #mohouse #witchhunt #crookedkimgardner #draintheswamp #votethe…</t>
  </si>
  <si>
    <t>RT @DeplorableGoldn: RT 🚨 #moleg #mogov #KimShady #kimshady
#NoNotesTisaby 
#MoneyBagsAl
#parsonbots https://t.co/SpFqHvUrME</t>
  </si>
  <si>
    <t>RT @RealTravisCook: Oh snap! As the kids would say, "Shit's about to get real, dawg!" (Do kids still say that???) #greitens https://t.co/qK…</t>
  </si>
  <si>
    <t>RT @PatriotRain: @VisioDeiFromLA Here we go.... will MSM cover this ? Unlikely. SAVE OUR GOVERNOR FROM THIS WITCH HUNT ! #MoLeg #MoGov #stl…</t>
  </si>
  <si>
    <t>RT @DeplorableGoldn: RT-ING 🚨
Follow the money trail! Where did this cash come from?? From who? #MOLeg #MOSen #STL #Missouri #Followthemone…</t>
  </si>
  <si>
    <t>RT @DeplorableGoldn: RT-ING 🚨👇
Listen 2 #MoneyBagsAl Explanation of getting 100 K payment from mystery man!
Same guy represents ex husband…</t>
  </si>
  <si>
    <t>RT @VisioDeiFromLA: It’s not a witch hunt
It’s not a witch hunt
It’s not a witch hunt
It’s not a witch hunt
It’s not a witch hunt
It’s not…</t>
  </si>
  <si>
    <t>RT @RJFerryJr: @Sticknstones4 @RonFRichard Seems like #moleg needs a Full
Fumigation. #greitens #movoters</t>
  </si>
  <si>
    <t>RT @DeplorableGoldn: RT-ing 🚨
KS testified in deposition she was nude on FaceTime with EG. KS testified to House she never allowed nudes of…</t>
  </si>
  <si>
    <t>RT @magathemaga1: @BigJShoota You'll like this Big J 
Give it some love.
#MoneyBagsAl #KimShady #moleg #mogov #StLouis #greitens https://…</t>
  </si>
  <si>
    <t>RT @DeplorableGoldn: Sh!t just got real! 
⚠️ Text Message Alert ⚠️
💣BREAKING: Eric Greitens’ alleged mistress, along with her ex-husband,…</t>
  </si>
  <si>
    <t>Donna you are a professional liar.
The only crimes were committed by Obama's FBI/DOJ and Hillary Clinton https://t.co/lKP7Q664Nr</t>
  </si>
  <si>
    <t>RT @debbie299: @donnabrazile @USATODAY You gave Hillary questions before the debate; Obama knew what the Russians were up to in Aug 2016 &amp;amp;…</t>
  </si>
  <si>
    <t>RT @RealSaavedra: .@NBCUniversal's @JoyAnnReid fat shames and makes homophobic comments.
https://t.co/OSPdX48bUM https://t.co/7h9B09JEeP</t>
  </si>
  <si>
    <t>RT @magathemaga1: Listen 2 #MoneyBagsAl Explanation of getting 100 K payment from mystery man!
Same guy represents ex husband accusing #gr…</t>
  </si>
  <si>
    <t>Listen 2 #MoneyBagsAl Explanation of getting 100 K payment from mystery man!
Same guy represents ex husband accusing #greitens
✔Is this an explanation?
😂 No.
✔Why is this just now being disclosed?
🤔
✔Did KS lawyer get money?
😈🤷‍♂️
#MoLeg #MoGov #stlouis #Missouri https://t.co/YTJwXWaExI</t>
  </si>
  <si>
    <t>RT @WayneDupreeShow: Gov't can't fix the race divide and neither can the President. That power resides in every day people who want to co-e…</t>
  </si>
  <si>
    <t>@SweetLouDiamond @TeamGreitens Allegations false</t>
  </si>
  <si>
    <t>RT @TeamGreitens: This is a political hit job.
https://t.co/wxf1SGJCcN</t>
  </si>
  <si>
    <t>@jrussell264 @PatriotRain @VisioDeiFromLA Democrats ....also went along with it</t>
  </si>
  <si>
    <t>@TeamGreitens #MoneyBagsAl and #KimShady https://t.co/TyFjNtdiKx</t>
  </si>
  <si>
    <t>@eapenthampy @RepJimNeely Its gonna happen brotha. Mark my words. Once they fire me. And sessions goes. Trust me. Full rescheduling</t>
  </si>
  <si>
    <t>@jrussell264 @PatriotRain @VisioDeiFromLA The lie was only made possible by a lazy media who let Bush do whatever he wanted right after 9/11 bush and the media were bad.
Your misremembering</t>
  </si>
  <si>
    <t>@jrussell264 @PatriotRain @VisioDeiFromLA The media was complicit or did you forget? I was no fan of Bush either but I seem to remember Democrats being furious with the media not doing their jobs. Anybody who doesn't remember that is hallucinating</t>
  </si>
  <si>
    <t>RT @benshapiro: This is totally insane. We've reached out to the high school and the sheriff's office for comment. We'll update if they res…</t>
  </si>
  <si>
    <t>RT @DRUDGE_REPORT: 56 illegals found in TX stash house...</t>
  </si>
  <si>
    <t>RT @RealCandaceO: I will be on with @seanhannity tonight, 9:45pmET.
May the black, ideological civil war commence. 
It’s time.
#TickTock</t>
  </si>
  <si>
    <t>RT @RealCandaceO: 500 million dollars of tax payer dollars go to slaughtering 800 black babies per a day. 
Not a SINGLE WORD from Black Liv…</t>
  </si>
  <si>
    <t>RT @AnthonyHopkins: This is what happens when you’re all work and no play... https://t.co/2KvkJ2baw6</t>
  </si>
  <si>
    <t>RT @aaron_hedlund: From his own website: "Albert S. Watkins...is, quite candidly, beyond description." I disagree. Let me try: blowhard, gr…</t>
  </si>
  <si>
    <t>@jrussell264 Thanks for spreading my message. Increases my followers too</t>
  </si>
  <si>
    <t>@jrussell264 @PatriotRain @VisioDeiFromLA So the mainstream media tells the truth? How come they haven't been screaming from the high hills that the dnc servers have never actually been examined forensically? 
So how would we know they were hacked? 
Yeah ... the media also lied us into the Iraq war ...</t>
  </si>
  <si>
    <t>@VikingVegan @SykesforSenate @realDonaldTrump The question is, is there anyway we can stimulate this without government or is government the only answer here?
#mosen #moleg #mogov</t>
  </si>
  <si>
    <t>@VikingVegan @SykesforSenate @realDonaldTrump You raise a valid point. The most important thing is, he can put a spotlight on the issue.
Broadband for rural is a serious issue, and providers need to get their butts in gear on this. They often won't due to profit. 
#mosen #moleg #mogov</t>
  </si>
  <si>
    <t>@jrussell264 @PatriotRain @VisioDeiFromLA The mainstream media is the enemy of the American people. They don't seek to inform, they seek to push an establishment, leftist, globalist agenda.
If this wasn't the case, David Hogg would get equal coverage with people who are also for our God given rights to bear arms.</t>
  </si>
  <si>
    <t>RT @marcorubio: This well known national writer states very clearly that the 63 million Americans who voted for Trump are haters who should…</t>
  </si>
  <si>
    <t>RT @mflynnJR: The answer is no.  My father didnt lie. Neither did Pence.  W everything going on during the transition, isnt possible that i…</t>
  </si>
  <si>
    <t>RT @BigJShoota: Say it ain't so #MoneyBagsAl ..................
#GreitensIndictment  #MoLeg https://t.co/GXEtZs5UkY</t>
  </si>
  <si>
    <t>@BigJShoota You'll like this Big J 
Give it some love.
#MoneyBagsAl #KimShady #moleg #mogov #StLouis #greitens https://t.co/k77iVbhnbc</t>
  </si>
  <si>
    <t>@LloydMack16 @RaulsRick #MoneyBagsAl #KimShady https://t.co/PKK6gRGPvA</t>
  </si>
  <si>
    <t>RT @SykesforSenate: Attention HANNIBAL, MO: Come join us if you're in the area! 
Follow us on Facebook for all the latest events. https://t…</t>
  </si>
  <si>
    <t>RT @SykesforSenate: If you haven't heard from me in a while it's because I'm campaigning out here in God's country.  
.@realDonaldTrump le…</t>
  </si>
  <si>
    <t>Now this is a good question!
#moleg #mogov #MOSEN https://t.co/jFPy9aH02O</t>
  </si>
  <si>
    <t>@PatriotRain @VisioDeiFromLA Post on your Facebook or wherever you can brother and remember:  the media is the enemy of the American people 
#mogov #moleg #fakenews</t>
  </si>
  <si>
    <t>RT @CStamper_: In case anyone needed any more evidence that this was a politically-motivated witch hunt... Follow the money. Who issued the…</t>
  </si>
  <si>
    <t>RT @memoriadei: Who woulda guessed #MOLEG #Greitens 
https://t.co/LzkE7FmGyR</t>
  </si>
  <si>
    <t>RT @magathemaga1: No #Moleg Republicans fear that @EricGreitens is innocent and will be staying in Jeff City.
I wouldn't doubt if many of…</t>
  </si>
  <si>
    <t>No #Moleg Republicans fear that @EricGreitens is innocent and will be staying in Jeff City.
I wouldn't doubt if many of them are conspiring against him
@elijahhaahr 
@Eric_Schmitt 
@Rep_TRichardson 
@MOHouseGOP 
@Monetti4Senate @SykesforSenate 
@SpeakerTimJones 
#mogov #STL https://t.co/jyQ0nobIV7</t>
  </si>
  <si>
    <t>RT @VisioDeiFromLA: Courier Gave $100k to #MoneyBagsAl 2 Launch #GreitensIndictment / WitchHunt
Attorney representing man who accused #Gre…</t>
  </si>
  <si>
    <t>RT @VisioDeiFromLA: ⚠️ Text Message Alert ⚠️
BREAKING: Eric Greitens’ alleged mistress, along with her ex-husband, have been ordered by th…</t>
  </si>
  <si>
    <t>RT @magathemaga1: @JoeBReporter #Stlouis #Greitens #greitensindictment https://t.co/gbDu6SDfTI</t>
  </si>
  <si>
    <t>RT @Avenge_mypeople: @mursemichaelrn @ChrisDavisMMJ That's what has made me suspect of the judge. He's allowed all manner of mischief and d…</t>
  </si>
  <si>
    <t>RT @magathemaga1: @Norasmith1000 @J_Hancock @EricGreitens #moleg #mogov #greitens #mosen 
We call him #MoneyBagsAl https://t.co/ZErTLcu1DC</t>
  </si>
  <si>
    <t>RT @Avenge_mypeople: #MoneyBagsAl received two mysterious $50,000 payments from a "political operative" to help oust Governor #Greitens  an…</t>
  </si>
  <si>
    <t>RT @magathemaga1: @KMOXKilleen #MoneyBagsAl 
#MoLeg #MoGov #MoSen https://t.co/ASkyMkDCCs</t>
  </si>
  <si>
    <t>RT @strmsptr: Whisky Tango Foxtrot!!! I told y’all this is a set up. @jallman971 @KMOV @stltoday @SpeakerTimJones #MAGA #moleg #deepstate h…</t>
  </si>
  <si>
    <t>RT @VisioDeiFromLA: 🚨 MONEY BAG UPDATE 🚨 
💰 💰 💰 💰 
“Watkins says the cash arrived by courier with no note of explanation. Later-he says h…</t>
  </si>
  <si>
    <t>RT @VisioDeiFromLA: de·flec·tion
dəˈflekSH(ə)n
noun
“the action or process of deflecting or being deflected”
Did Scott Simpson get paid,…</t>
  </si>
  <si>
    <t>RT @VisioDeiFromLA: Key point.
Not allowing a bench trial unconstitutional.
#MoLeg #MoGov #Greitens #MoSen https://t.co/uiYbOLHF3I</t>
  </si>
  <si>
    <t>@Markknight45 @BryanLowry3 @VisioDeiFromLA @JoeBReporter #MoneyBagsAl https://t.co/3VLhMusMR1</t>
  </si>
  <si>
    <t>@KMOXKilleen #MoneyBagsAl 
#MoLeg #MoGov #MoSen https://t.co/ASkyMkDCCs</t>
  </si>
  <si>
    <t>RT @magathemaga1: @christoferguson #moleg #greitens #mogov #MOSEN
#MoneyBagsAl https://t.co/Xb4LBFhlZy</t>
  </si>
  <si>
    <t>RT @Norasmith1000: @Markknight45 @StevenDialTV @VisioDeiFromLA @41actionnews Time to bring the Feds in, there is so much f*uckery going on…</t>
  </si>
  <si>
    <t>RT @magathemaga1: #moleg
Meet Al Watkins 
Better Known as #MoneyBagsAl
#mogov #mosen #stlouis #kimahady #stl #kcmo #greitensindictment #…</t>
  </si>
  <si>
    <t>#moleg
Meet Al Watkins 
Better Known as #MoneyBagsAl
#mogov #mosen #stlouis #kimahady #stl #kcmo #greitensindictment #greitens 
Did Scott Simpson get paid too?
Need to be asking that @Eric_Schmitt !!
@Rep_TRichardson @EricGreitens @elijahhaahr @RonFRichard @johncombest https://t.co/wMCxfAMosZ</t>
  </si>
  <si>
    <t>RT @magathemaga1: @Markknight45 @StevenDialTV @VisioDeiFromLA @41actionnews #MoneyBagsAl 
#KimShady #moleg #mogov #missouri #mosen #StLoui…</t>
  </si>
  <si>
    <t>@Markknight45 @StevenDialTV @VisioDeiFromLA @41actionnews #MoneyBagsAl 
#KimShady #moleg #mogov #missouri #mosen #StLouis #STL
@EricGreitens @gatewaypundit https://t.co/AGdBwveNb9</t>
  </si>
  <si>
    <t>@Norasmith1000 @J_Hancock @EricGreitens #moleg #mogov #greitens #mosen 
We call him #MoneyBagsAl https://t.co/ZErTLcu1DC</t>
  </si>
  <si>
    <t>@christoferguson #moleg #greitens #mogov #MOSEN
#MoneyBagsAl https://t.co/Xb4LBFhlZy</t>
  </si>
  <si>
    <t>RT @SykesforSenate: I wonder if the money was laundered through #MoLeg Republican party leadership... https://t.co/uwutOy1VMa</t>
  </si>
  <si>
    <t>RT @magathemaga1: Good evening #MoLeg except @RonFRichard &amp;amp; @robschaaf 
It appears #KimShady and #MoneyBagsAl have some explaining to do!…</t>
  </si>
  <si>
    <t>RT @aaron_hedlund: This is aging better and better by the minute. ""What I can tell you we have received, in fact actively solicited...as m…</t>
  </si>
  <si>
    <t>Good evening #MoLeg except @RonFRichard &amp;amp; @robschaaf 
It appears #KimShady and #MoneyBagsAl have some explaining to do!
✔100 k anon payment in Jan?
✔Watkins didnt say anything?
✔Simpson getting paid too?
✔What was it for?
WITCH HUNT
#moleg #mogov #mosen #greitens #StLouis https://t.co/dWhQxm5rNR</t>
  </si>
  <si>
    <t>RT @VisioDeiFromLA: Al Watkins paid 100k cash?
Is that how consensual affair got weaponized into absurd allegations against #Greitens ?…</t>
  </si>
  <si>
    <t>RT @magathemaga1: @J_Hancock Jason we have know this was a scam since day 1 given that everybody in #stlouis knows this woman has “dated” n…</t>
  </si>
  <si>
    <t>RT @JoeBReporter: Today's Greiten's dispatch: Attorney of ex-husband in Greitens case received $100,000 from unknown source #GreitensIndict…</t>
  </si>
  <si>
    <t>RT @Allie_Kite: BREAKING from @JoeBReporter: Attorney of ex-husband in Greitens case received $100,000 from unknown source – https://t.co/7…</t>
  </si>
  <si>
    <t>@JoeBReporter #Stlouis #Greitens #greitensindictment https://t.co/gbDu6SDfTI</t>
  </si>
  <si>
    <t>RT @CStamper_: I wonder if they’ll find any texts about the mystery person(s) who formed over $100,000 for the legal costs. I wonder if the…</t>
  </si>
  <si>
    <t>RT @BryanLowry3: Attorney of ex-husband in Greitens case received $100,000 from unknown source via @JoeBReporter https://t.co/mNphFA2m4D #m…</t>
  </si>
  <si>
    <t>RT @JW1057: Mr. Albert Watkins, I understand you received two cash payments each in the amount of $50k. Did you remember to file Form 8300?…</t>
  </si>
  <si>
    <t>RT @Avenge_mypeople: The same people who payed Al Watkins, no doubt. It's a twisted web of money and deceit to unseat @EricGreitens 
#mole…</t>
  </si>
  <si>
    <t>@J_Hancock Jason we have know this was a scam since day 1 given that everybody in #stlouis knows this woman has “dated” not just @EricGreitens but other politicians 
Of course the allegations were fabricated
Of course it was about 💰 
#MoLeg #MoGov #MoSen #Greitens #stlouis #hairdresser https://t.co/ohp2RNoM25</t>
  </si>
  <si>
    <t>RT @J_Hancock: Attorney of ex-husband in Greitens case received $100,000 from unknown source
https://t.co/20Z5vuxEIN #MoLeg #GreitensIndic…</t>
  </si>
  <si>
    <t>RT @magathemaga1: @JW1057 #MoLeg #MoGov https://t.co/OALrHGy600</t>
  </si>
  <si>
    <t>@kadska @ws_missouri #greitens #greitensindictment 
#stlouis #stl https://t.co/tBVZjxuu1f</t>
  </si>
  <si>
    <t>RT @VisioDeiFromLA: After hearing, Al Watkins said 2 anonymous $50k cash payments arrived at his Clayton firm by courier in January w/ no i…</t>
  </si>
  <si>
    <t>RT @VisioDeiFromLA: @ws_missouri #moleg https://t.co/GAv6gDMeHF</t>
  </si>
  <si>
    <t>RT @CStamper_: This is the same lawyer representing the bitter ex-husband and who represented the Soros-backed prosecutor’s investigator wh…</t>
  </si>
  <si>
    <t>RT @Hope4Hopeless1: Great! Gov @EricGreitens LEGAL TEAM are being allowed the opportunity to FOLLOW SOME OF $$$ that's going to these two F…</t>
  </si>
  <si>
    <t>@JW1057 #MoLeg #MoGov https://t.co/OALrHGy600</t>
  </si>
  <si>
    <t>RT @JW1057: Who is paying Katrina "Kitty" Sneed's attorney, Scott Simpson?
#moleg #mogov #greitens #KimShady #IStandWithGreitens</t>
  </si>
  <si>
    <t>RT @VisioDeiFromLA: At 2pm hearing, Greitens' lawyer Jim Martin said Al Watkins, who is representing the ex of the woman with whom Greitens…</t>
  </si>
  <si>
    <t>RT @CStamper_: This is a coordinated effort to push out a sitting Governor due to the conservative reforms he has enacted. Who made these p…</t>
  </si>
  <si>
    <t>RT @SKOLBLUE1: Follow the money trail! Where did this cash come from?? From who? #MOLeg #MOSen #STL #Missouri #kimshady @stlcao @EricGreite…</t>
  </si>
  <si>
    <t>RT @VisioDeiFromLA: Paging:
@Rep_TRichardson 
@RonFRichard 
@elijahhaahr 
@EricGreitens 
@Eric_Schmitt 
@MOHouseGOP 
#moleg #mogov #MOSEN…</t>
  </si>
  <si>
    <t>RT @magathemaga1: At 2pm hearing, #Greitens lawyer Martin said Al Watkins, who is representing ex of the woman with whom Greitens had affai…</t>
  </si>
  <si>
    <t>RT @CStamper_: A political operative drops off $100k in cash to pay a lawyer to represent the guy seeking revenge against our Republican Go…</t>
  </si>
  <si>
    <t>At 2pm hearing, #Greitens lawyer Martin said Al Watkins, who is representing ex of the woman with whom Greitens had affair, received 2 cash payments, total $100k. Martin said money came from "political operative"
#moleg #mogov #mosen 
@elijahhaahr @Eric_Schmitt @Rep_TRichardson https://t.co/IEW5ZD2Cad</t>
  </si>
  <si>
    <t>You have got to be kidding me. Try him, and get the win in court. You have the evidence https://t.co/XdKhek4Fvd</t>
  </si>
  <si>
    <t>@meggers789 @K___Garner @LydaKrewson @JohnLamping @MissouriGOP @Lautergeist @SKOLBLUE1 @MSTLGA @Avenge_mypeople @HotPokerPrinces @RightSideUp313 @gagemitchusson @Shawtypepelina I agree. We need to stop over reacting to things, and ruining people's lives over stupid things. 
I've been posting on here how hypocritical it is to ask him to step down over something so innocuous.</t>
  </si>
  <si>
    <t>RT @ChrisDavisMMJ: The Judge has also ordered William Tisaby testify via disposition by this Thursday. His former counsel said he was busy…</t>
  </si>
  <si>
    <t>RT @ChrisDavisMMJ: ALSO BREAKING: Judge rules that Al Watkins MAY NOT represent William Tisaby, citing a conflict of interest that he also…</t>
  </si>
  <si>
    <t>RT @ChrisDavisMMJ: BREAKING: Eric Greitens’ alleged mistress, along with her ex-husband, have been ordered by the judge to have their phone…</t>
  </si>
  <si>
    <t>RT @Avenge_mypeople: "A #moleg investigation found credible." Ha ha ha. No cross examination, one sided and began trying to find ways to fi…</t>
  </si>
  <si>
    <t>RT @magathemaga1: @meggers789 @K___Garner I dont know burns &amp;amp; am not a Dem, but seems like complete overreaction. Plus Bruce Frank's Jr &amp;amp; c…</t>
  </si>
  <si>
    <t>@meggers789 @K___Garner I dont know burns &amp;amp; am not a Dem, but seems like complete overreaction. Plus Bruce Frank's Jr &amp;amp; crazy lady who threatened president also didnt step down.
If he steps down, they all should. If not let him clarify &amp;amp; tell his side of story. @LydaKrewson and he very tight #moleg https://t.co/40fviELE4l</t>
  </si>
  <si>
    <t>@RealTravisCook Preach!</t>
  </si>
  <si>
    <t>RT @RealTravisCook: Same here--i'm a Missouri citizen (and voter), and I, too, am distressed about this #WitchHunt against the Governor wit…</t>
  </si>
  <si>
    <t>RT @magathemaga1: @NewsTribune @EricGreitens Really they should be
#KimShady
#NoNotesTiasby 
#moleg 
#mogov
#stl
#StLouis 
#greitens https…</t>
  </si>
  <si>
    <t>@NewsTribune @EricGreitens Really they should be
#KimShady
#NoNotesTiasby 
#moleg 
#mogov
#stl
#StLouis 
#greitens https://t.co/R2Lby096Nk</t>
  </si>
  <si>
    <t>Unproven allegations are just that.
If you don't want people to call this a witch hunt, why are you engaging in witch hunt behavior? 
Also the allegations of blackmail and battery are bogus.
A kinky affair that people lied about to get it turned into this. 
#moleg #mogov https://t.co/TKQdwT4wwU</t>
  </si>
  <si>
    <t>RT @VisioDeiFromLA: @rxpatrick So it's an affair? Thanks for confirming what I have been saying for the last 3 months. A consensual affair.…</t>
  </si>
  <si>
    <t>RT @VisioDeiFromLA: @Glic @Beganovic_85 @JW1057 @rxpatrick Another 1 of those #ParsonBots doing Putin's bidding by not supporting due proce…</t>
  </si>
  <si>
    <t>RT @HotPokerPrinces: @RonFRichard 
Stop playing political games with the lives of Missouri voters
We did not elect you to play, we electe…</t>
  </si>
  <si>
    <t>RT @VisioDeiFromLA: #moleg
What's Next?
I see how the Pro Parson Pro Liberal media is trying to plot chess pieces in witch hunt now KS/PS…</t>
  </si>
  <si>
    <t>RT @VisioDeiFromLA: No! Don’t ask Why House didn’t cross examine witness! Ask about Twitter accounts!
Do U think MO is just 100 percent li…</t>
  </si>
  <si>
    <t>Keep calling people</t>
  </si>
  <si>
    <t>RT @IngrahamAngle: This guy represents a CLIENT (and himself) and yet the press treats him like a pundit or political strategist. https://t…</t>
  </si>
  <si>
    <t>RT @kanyewest: we're evolving at warp speed</t>
  </si>
  <si>
    <t>RT @realDonaldTrump: Hard to believe Obstructionists May vote against Mike Pompeo for Secretary of State. The Dems will not approve hundred…</t>
  </si>
  <si>
    <t>RT @ArthurSchwartz: You know what’s offensive to Jews? Your pal @davidhogg111 naming his book Never Again. You want to boycott something? B…</t>
  </si>
  <si>
    <t>RT @KanyeWoke: diversity is strength but I guess that doesn’t include diversity of ideas or opinions.</t>
  </si>
  <si>
    <t>RT @JamesOKeefeIII: Dear corrupt officials,
You might want to start updating your resumes, because we will be releasing new videos startin…</t>
  </si>
  <si>
    <t>RT @TrumpChess: @mflynnJR @GenFlynn I remember when millionaire claire lied about meeting Russian Amb Kislyak only to have a picture surfac…</t>
  </si>
  <si>
    <t>RT @JW1057: @ChillOutWorld @KMOXKilleen Judge Burlison, it is way past time to dismiss this persecution. Do the right thing and dismiss the…</t>
  </si>
  <si>
    <t>RT @JW1057: @KMOXKilleen Judge Burlison, it is way past time to dismiss this persecution. Do the right thing and dismiss the case; it is di…</t>
  </si>
  <si>
    <t>RT @Sticknstones4: What about the gag order
Why is Watkins talking 
W I T C H  H U N T 
#moleg #liars #lies #deceit #gagorder #mogov
#gr…</t>
  </si>
  <si>
    <t>RT @EdBigCon: You got to be kidding me! #Moleg https://t.co/H1HhJRhDZa</t>
  </si>
  <si>
    <t>RT @JW1057: @EricGreitens @StLouisCityCA @HawleyMO @RonFRichard @Rep_TRichardson 
Missouri coup d'état!
#moleg #mogov #greitens #KimShady…</t>
  </si>
  <si>
    <t>@HotPokerPrinces @BigLeague2020 @IamRemoWilliams @TrumpChess @RonFRichard @EricGreitens @Rep_TRichardson @Eric_Schmitt @Hope4Hopeless1 @SKOLBLUE1 @philip_saulter @ohsynesthesia @Avenge_mypeople @Sticknstones4 @RoyBluntMO @DaynaGould @POTUS @GovGreitensMO @SykesforSenate Make sure to call!</t>
  </si>
  <si>
    <t>RT @lukerosiak: WaPo just casually slipping into Paragraph 53 that a **known hacking suspect took a congresswoman's laptop &amp;amp; left it in a p…</t>
  </si>
  <si>
    <t>RT @VisioDeiFromLA: This entire #GreitensIndictment is a joke.
How any of you on #moleg take it seriously shows your complete hatred for @…</t>
  </si>
  <si>
    <t>RT @DeplorableGoldn: RT 🚨
The only bondage going on is  the holding of the passed bills
@RonFRichard is a sadist legislator 
He should st…</t>
  </si>
  <si>
    <t>RT @Sticknstones4: @ScottCharton The only bondage going on is  the holding of the passed bills
@RonFRichard is a sadist legislator 
He sh…</t>
  </si>
  <si>
    <t>RT @CStamper_: Soros-backed prosecutor Kim Gardner’s handpicked private investigator repeatedly lied under oath and withheld evidence. Now…</t>
  </si>
  <si>
    <t>RT @TomJEstes: @EnglishTeach75 @MomsDemand Trying to make sure every Missourian has the gun rights afforded them by the Constitution. This…</t>
  </si>
  <si>
    <t>@JW1057 What a joke</t>
  </si>
  <si>
    <t>RT @JW1057: Good news! St. Louis Taxpayers, it appears you are paying Al Watkins to continue this farce. 
#moleg #mogov #greitens #KimShad…</t>
  </si>
  <si>
    <t>RT @TrumpChess: @magathemaga1 @RonFRichard @EricGreitens @Rep_TRichardson @Eric_Schmitt @Hope4Hopeless1 @SKOLBLUE1 @philip_saulter @ohsynes…</t>
  </si>
  <si>
    <t>@EdBigCon @LaurenTrager @Sticknstones4 @EricGreitens @KMOV Check out @magathemaga1’s Tweet: https://t.co/2liEf9Kwx4</t>
  </si>
  <si>
    <t>RT @EdBigCon: @LaurenTrager @Sticknstones4 @EricGreitens @KMOV You're not getting an #Emmy for this #FakeNews story! Will you go back to wo…</t>
  </si>
  <si>
    <t>RT @magathemaga1: We should also ask why you are allowed to cover this case given your complete conflict of interest as you used 2 work at…</t>
  </si>
  <si>
    <t>We should also ask why you are allowed to cover this case given your complete conflict of interest as you used 2 work at the CAO
If you thought the KMOV story was suspect that broke the "tape" story, ask yourself who Lauren used to work for
#moleg #mogov #stl #stlouis #KimShady https://t.co/wmbBmbrm9S</t>
  </si>
  <si>
    <t>RT @Sticknstones4: @RJFerryJr @RonFRichard Fumigate the swamp on election 🗳 day and vote their sorry asses out.  We need people to work for…</t>
  </si>
  <si>
    <t>RT @CStamper_: Soros-backed prosecutor’s private investigator perjured himself repeatedly &amp;amp; withheld evidence, and created false evidence.…</t>
  </si>
  <si>
    <t>RT @magathemaga1: 🚨 Attack on Missouri! 🚨 
@RonFRichard decided he would rather be petty &amp;amp; attack Missouri voters than work with @EricGrei…</t>
  </si>
  <si>
    <t>🚨 Attack on Missouri! 🚨 
@RonFRichard decided he would rather be petty &amp;amp; attack Missouri voters than work with @EricGreitens 
Call him &amp;amp; say: this is NOT OK
573-751-2173
District office: 417-623-0022
Attacking VOTERS never OK
@Rep_TRichardson @Eric_Schmitt 
#MoLeg #MoGov https://t.co/TLBXifr6ZF</t>
  </si>
  <si>
    <t>RT @realDonaldTrump: Fantastic crowd and great people yesterday in Key West, Florida. Thank you! https://t.co/HqOUFgmbQS</t>
  </si>
  <si>
    <t>RT @RealCandaceO: When @PerezHilton @TomArnold and @ShaunKing, 3 white men, rush to viciously attack the freedom of two black people who re…</t>
  </si>
  <si>
    <t>RT @kanyewest: self victimization is a disease</t>
  </si>
  <si>
    <t>RT @kanyewest: there was a time when slavery was the trend and apparently that time is still upon us. But now it's a mentality.</t>
  </si>
  <si>
    <t>RT @BananaNewsNet: BREAKING: The Ninth Circuit Court of Appeals has overturned Kim-Jong Un's decision. North Korea will resume nuclear test…</t>
  </si>
  <si>
    <t>RT @jbro_1776: Don’t forget Lil Wayne shares the same feelings that Kanye feels. Let’s hope this gives others the courage to finally speak…</t>
  </si>
  <si>
    <t>RT @ColumbiaBugle: The Left: Women and Black People need to be heard!!!
Kanye West and Shania Twain express support for Republicans. 
The…</t>
  </si>
  <si>
    <t>RT @stillgray: Two gay men going to a pub for lunch in New York City were attacked and screamed at by leftists—so-called “social justice wa…</t>
  </si>
  <si>
    <t>RT @Sticknstones4: Sadly Another Homocide 
#stl #missouri https://t.co/7l04Vm1MH8</t>
  </si>
  <si>
    <t>RT @C_3C_3: Once you realize the Deep State spied on Trump to destroy him BEFORE they had any intel to justify their operation everything m…</t>
  </si>
  <si>
    <t>RT @GOP: Ben in West Virginia: "I just want to thank you, Mr. President, for the tax cuts. They've helped out greatly with my family. I'm r…</t>
  </si>
  <si>
    <t>RT @davebrevere: @JDugudichi @TRUMPisGreatUSA @Scottfoundit @trumpisgreat12 @ImDeplorable16 @williamt48 @294thMPCo @HarrellRyan1 @Hoosierfo…</t>
  </si>
  <si>
    <t>@jayfeely Dude it was hilarious</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</si>
</sst>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3153"/>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HYPERLINK("http://www.twitter.com/NathanBLawrence/status/1000091511340650496", "1000091511340650496")</f>
        <v/>
      </c>
      <c r="B2" s="2" t="n">
        <v>43245.79827546296</v>
      </c>
      <c r="C2" t="n">
        <v>0</v>
      </c>
      <c r="D2" t="n">
        <v>0</v>
      </c>
      <c r="E2" t="s">
        <v>13</v>
      </c>
      <c r="F2" t="s"/>
      <c r="G2" t="s"/>
      <c r="H2" t="s"/>
      <c r="I2" t="s"/>
      <c r="J2" t="n">
        <v>-0.2359</v>
      </c>
      <c r="K2" t="n">
        <v>0.056</v>
      </c>
      <c r="L2" t="n">
        <v>0.906</v>
      </c>
      <c r="M2" t="n">
        <v>0.037</v>
      </c>
    </row>
    <row r="3" spans="1:13">
      <c r="A3" s="1">
        <f>HYPERLINK("http://www.twitter.com/NathanBLawrence/status/1000090995856461826", "1000090995856461826")</f>
        <v/>
      </c>
      <c r="B3" s="2" t="n">
        <v>43245.79685185185</v>
      </c>
      <c r="C3" t="n">
        <v>1</v>
      </c>
      <c r="D3" t="n">
        <v>1</v>
      </c>
      <c r="E3" t="s">
        <v>14</v>
      </c>
      <c r="F3" t="s"/>
      <c r="G3" t="s"/>
      <c r="H3" t="s"/>
      <c r="I3" t="s"/>
      <c r="J3" t="n">
        <v>-0.7783</v>
      </c>
      <c r="K3" t="n">
        <v>0.163</v>
      </c>
      <c r="L3" t="n">
        <v>0.837</v>
      </c>
      <c r="M3" t="n">
        <v>0</v>
      </c>
    </row>
    <row r="4" spans="1:13">
      <c r="A4" s="1">
        <f>HYPERLINK("http://www.twitter.com/NathanBLawrence/status/999937595915296769", "999937595915296769")</f>
        <v/>
      </c>
      <c r="B4" s="2" t="n">
        <v>43245.37355324074</v>
      </c>
      <c r="C4" t="n">
        <v>0</v>
      </c>
      <c r="D4" t="n">
        <v>1509</v>
      </c>
      <c r="E4" t="s">
        <v>15</v>
      </c>
      <c r="F4" t="s"/>
      <c r="G4" t="s"/>
      <c r="H4" t="s"/>
      <c r="I4" t="s"/>
      <c r="J4" t="n">
        <v>-0.0644</v>
      </c>
      <c r="K4" t="n">
        <v>0.07000000000000001</v>
      </c>
      <c r="L4" t="n">
        <v>0.87</v>
      </c>
      <c r="M4" t="n">
        <v>0.06</v>
      </c>
    </row>
    <row r="5" spans="1:13">
      <c r="A5" s="1">
        <f>HYPERLINK("http://www.twitter.com/NathanBLawrence/status/999891350169337861", "999891350169337861")</f>
        <v/>
      </c>
      <c r="B5" s="2" t="n">
        <v>43245.2459375</v>
      </c>
      <c r="C5" t="n">
        <v>0</v>
      </c>
      <c r="D5" t="n">
        <v>2</v>
      </c>
      <c r="E5" t="s">
        <v>16</v>
      </c>
      <c r="F5" t="s"/>
      <c r="G5" t="s"/>
      <c r="H5" t="s"/>
      <c r="I5" t="s"/>
      <c r="J5" t="n">
        <v>0</v>
      </c>
      <c r="K5" t="n">
        <v>0</v>
      </c>
      <c r="L5" t="n">
        <v>1</v>
      </c>
      <c r="M5" t="n">
        <v>0</v>
      </c>
    </row>
    <row r="6" spans="1:13">
      <c r="A6" s="1">
        <f>HYPERLINK("http://www.twitter.com/NathanBLawrence/status/999880280704864258", "999880280704864258")</f>
        <v/>
      </c>
      <c r="B6" s="2" t="n">
        <v>43245.21539351852</v>
      </c>
      <c r="C6" t="n">
        <v>0</v>
      </c>
      <c r="D6" t="n">
        <v>1429</v>
      </c>
      <c r="E6" t="s">
        <v>17</v>
      </c>
      <c r="F6" t="s"/>
      <c r="G6" t="s"/>
      <c r="H6" t="s"/>
      <c r="I6" t="s"/>
      <c r="J6" t="n">
        <v>-0.126</v>
      </c>
      <c r="K6" t="n">
        <v>0.16</v>
      </c>
      <c r="L6" t="n">
        <v>0.7</v>
      </c>
      <c r="M6" t="n">
        <v>0.14</v>
      </c>
    </row>
    <row r="7" spans="1:13">
      <c r="A7" s="1">
        <f>HYPERLINK("http://www.twitter.com/NathanBLawrence/status/999880124509048832", "999880124509048832")</f>
        <v/>
      </c>
      <c r="B7" s="2" t="n">
        <v>43245.21496527778</v>
      </c>
      <c r="C7" t="n">
        <v>0</v>
      </c>
      <c r="D7" t="n">
        <v>15363</v>
      </c>
      <c r="E7" t="s">
        <v>18</v>
      </c>
      <c r="F7" t="s"/>
      <c r="G7" t="s"/>
      <c r="H7" t="s"/>
      <c r="I7" t="s"/>
      <c r="J7" t="n">
        <v>-0.6908</v>
      </c>
      <c r="K7" t="n">
        <v>0.231</v>
      </c>
      <c r="L7" t="n">
        <v>0.769</v>
      </c>
      <c r="M7" t="n">
        <v>0</v>
      </c>
    </row>
    <row r="8" spans="1:13">
      <c r="A8" s="1">
        <f>HYPERLINK("http://www.twitter.com/NathanBLawrence/status/999874214038564865", "999874214038564865")</f>
        <v/>
      </c>
      <c r="B8" s="2" t="n">
        <v>43245.19865740741</v>
      </c>
      <c r="C8" t="n">
        <v>0</v>
      </c>
      <c r="D8" t="n">
        <v>6</v>
      </c>
      <c r="E8" t="s">
        <v>19</v>
      </c>
      <c r="F8" t="s"/>
      <c r="G8" t="s"/>
      <c r="H8" t="s"/>
      <c r="I8" t="s"/>
      <c r="J8" t="n">
        <v>-0.8203</v>
      </c>
      <c r="K8" t="n">
        <v>0.274</v>
      </c>
      <c r="L8" t="n">
        <v>0.726</v>
      </c>
      <c r="M8" t="n">
        <v>0</v>
      </c>
    </row>
    <row r="9" spans="1:13">
      <c r="A9" s="1">
        <f>HYPERLINK("http://www.twitter.com/NathanBLawrence/status/999874193876553728", "999874193876553728")</f>
        <v/>
      </c>
      <c r="B9" s="2" t="n">
        <v>43245.19859953703</v>
      </c>
      <c r="C9" t="n">
        <v>9</v>
      </c>
      <c r="D9" t="n">
        <v>6</v>
      </c>
      <c r="E9" t="s">
        <v>20</v>
      </c>
      <c r="F9" t="s"/>
      <c r="G9" t="s"/>
      <c r="H9" t="s"/>
      <c r="I9" t="s"/>
      <c r="J9" t="n">
        <v>-0.5266999999999999</v>
      </c>
      <c r="K9" t="n">
        <v>0.082</v>
      </c>
      <c r="L9" t="n">
        <v>0.884</v>
      </c>
      <c r="M9" t="n">
        <v>0.034</v>
      </c>
    </row>
    <row r="10" spans="1:13">
      <c r="A10" s="1">
        <f>HYPERLINK("http://www.twitter.com/NathanBLawrence/status/999873370589155328", "999873370589155328")</f>
        <v/>
      </c>
      <c r="B10" s="2" t="n">
        <v>43245.19631944445</v>
      </c>
      <c r="C10" t="n">
        <v>4</v>
      </c>
      <c r="D10" t="n">
        <v>2</v>
      </c>
      <c r="E10" t="s">
        <v>21</v>
      </c>
      <c r="F10" t="s"/>
      <c r="G10" t="s"/>
      <c r="H10" t="s"/>
      <c r="I10" t="s"/>
      <c r="J10" t="n">
        <v>0</v>
      </c>
      <c r="K10" t="n">
        <v>0</v>
      </c>
      <c r="L10" t="n">
        <v>1</v>
      </c>
      <c r="M10" t="n">
        <v>0</v>
      </c>
    </row>
    <row r="11" spans="1:13">
      <c r="A11" s="1">
        <f>HYPERLINK("http://www.twitter.com/NathanBLawrence/status/999873128569475072", "999873128569475072")</f>
        <v/>
      </c>
      <c r="B11" s="2" t="n">
        <v>43245.19565972222</v>
      </c>
      <c r="C11" t="n">
        <v>0</v>
      </c>
      <c r="D11" t="n">
        <v>4</v>
      </c>
      <c r="E11" t="s">
        <v>22</v>
      </c>
      <c r="F11" t="s"/>
      <c r="G11" t="s"/>
      <c r="H11" t="s"/>
      <c r="I11" t="s"/>
      <c r="J11" t="n">
        <v>-0.7835</v>
      </c>
      <c r="K11" t="n">
        <v>0.277</v>
      </c>
      <c r="L11" t="n">
        <v>0.723</v>
      </c>
      <c r="M11" t="n">
        <v>0</v>
      </c>
    </row>
    <row r="12" spans="1:13">
      <c r="A12" s="1">
        <f>HYPERLINK("http://www.twitter.com/NathanBLawrence/status/999873110701760513", "999873110701760513")</f>
        <v/>
      </c>
      <c r="B12" s="2" t="n">
        <v>43245.19560185185</v>
      </c>
      <c r="C12" t="n">
        <v>0</v>
      </c>
      <c r="D12" t="n">
        <v>5</v>
      </c>
      <c r="E12" t="s">
        <v>23</v>
      </c>
      <c r="F12" t="s"/>
      <c r="G12" t="s"/>
      <c r="H12" t="s"/>
      <c r="I12" t="s"/>
      <c r="J12" t="n">
        <v>0</v>
      </c>
      <c r="K12" t="n">
        <v>0</v>
      </c>
      <c r="L12" t="n">
        <v>1</v>
      </c>
      <c r="M12" t="n">
        <v>0</v>
      </c>
    </row>
    <row r="13" spans="1:13">
      <c r="A13" s="1">
        <f>HYPERLINK("http://www.twitter.com/NathanBLawrence/status/999873068381196288", "999873068381196288")</f>
        <v/>
      </c>
      <c r="B13" s="2" t="n">
        <v>43245.19548611111</v>
      </c>
      <c r="C13" t="n">
        <v>0</v>
      </c>
      <c r="D13" t="n">
        <v>8</v>
      </c>
      <c r="E13" t="s">
        <v>24</v>
      </c>
      <c r="F13" t="s"/>
      <c r="G13" t="s"/>
      <c r="H13" t="s"/>
      <c r="I13" t="s"/>
      <c r="J13" t="n">
        <v>-0.25</v>
      </c>
      <c r="K13" t="n">
        <v>0.08699999999999999</v>
      </c>
      <c r="L13" t="n">
        <v>0.913</v>
      </c>
      <c r="M13" t="n">
        <v>0</v>
      </c>
    </row>
    <row r="14" spans="1:13">
      <c r="A14" s="1">
        <f>HYPERLINK("http://www.twitter.com/NathanBLawrence/status/999852996010889217", "999852996010889217")</f>
        <v/>
      </c>
      <c r="B14" s="2" t="n">
        <v>43245.14010416667</v>
      </c>
      <c r="C14" t="n">
        <v>0</v>
      </c>
      <c r="D14" t="n">
        <v>151</v>
      </c>
      <c r="E14" t="s">
        <v>25</v>
      </c>
      <c r="F14">
        <f>HYPERLINK("http://pbs.twimg.com/media/Dd-WC_iVAAY1Rhw.jpg", "http://pbs.twimg.com/media/Dd-WC_iVAAY1Rhw.jpg")</f>
        <v/>
      </c>
      <c r="G14" t="s"/>
      <c r="H14" t="s"/>
      <c r="I14" t="s"/>
      <c r="J14" t="n">
        <v>0.653</v>
      </c>
      <c r="K14" t="n">
        <v>0</v>
      </c>
      <c r="L14" t="n">
        <v>0.8120000000000001</v>
      </c>
      <c r="M14" t="n">
        <v>0.188</v>
      </c>
    </row>
    <row r="15" spans="1:13">
      <c r="A15" s="1">
        <f>HYPERLINK("http://www.twitter.com/NathanBLawrence/status/999852959948296193", "999852959948296193")</f>
        <v/>
      </c>
      <c r="B15" s="2" t="n">
        <v>43245.14</v>
      </c>
      <c r="C15" t="n">
        <v>0</v>
      </c>
      <c r="D15" t="n">
        <v>0</v>
      </c>
      <c r="E15" t="s">
        <v>26</v>
      </c>
      <c r="F15" t="s"/>
      <c r="G15" t="s"/>
      <c r="H15" t="s"/>
      <c r="I15" t="s"/>
      <c r="J15" t="n">
        <v>0</v>
      </c>
      <c r="K15" t="n">
        <v>0</v>
      </c>
      <c r="L15" t="n">
        <v>1</v>
      </c>
      <c r="M15" t="n">
        <v>0</v>
      </c>
    </row>
    <row r="16" spans="1:13">
      <c r="A16" s="1">
        <f>HYPERLINK("http://www.twitter.com/NathanBLawrence/status/999852804222214149", "999852804222214149")</f>
        <v/>
      </c>
      <c r="B16" s="2" t="n">
        <v>43245.13957175926</v>
      </c>
      <c r="C16" t="n">
        <v>0</v>
      </c>
      <c r="D16" t="n">
        <v>2597</v>
      </c>
      <c r="E16" t="s">
        <v>27</v>
      </c>
      <c r="F16" t="s"/>
      <c r="G16" t="s"/>
      <c r="H16" t="s"/>
      <c r="I16" t="s"/>
      <c r="J16" t="n">
        <v>-0.296</v>
      </c>
      <c r="K16" t="n">
        <v>0.104</v>
      </c>
      <c r="L16" t="n">
        <v>0.896</v>
      </c>
      <c r="M16" t="n">
        <v>0</v>
      </c>
    </row>
    <row r="17" spans="1:13">
      <c r="A17" s="1">
        <f>HYPERLINK("http://www.twitter.com/NathanBLawrence/status/999852380085800961", "999852380085800961")</f>
        <v/>
      </c>
      <c r="B17" s="2" t="n">
        <v>43245.13840277777</v>
      </c>
      <c r="C17" t="n">
        <v>0</v>
      </c>
      <c r="D17" t="n">
        <v>4</v>
      </c>
      <c r="E17" t="s">
        <v>28</v>
      </c>
      <c r="F17" t="s"/>
      <c r="G17" t="s"/>
      <c r="H17" t="s"/>
      <c r="I17" t="s"/>
      <c r="J17" t="n">
        <v>0</v>
      </c>
      <c r="K17" t="n">
        <v>0</v>
      </c>
      <c r="L17" t="n">
        <v>1</v>
      </c>
      <c r="M17" t="n">
        <v>0</v>
      </c>
    </row>
    <row r="18" spans="1:13">
      <c r="A18" s="1">
        <f>HYPERLINK("http://www.twitter.com/NathanBLawrence/status/999852354110459904", "999852354110459904")</f>
        <v/>
      </c>
      <c r="B18" s="2" t="n">
        <v>43245.13833333334</v>
      </c>
      <c r="C18" t="n">
        <v>1</v>
      </c>
      <c r="D18" t="n">
        <v>1</v>
      </c>
      <c r="E18" t="s">
        <v>29</v>
      </c>
      <c r="F18" t="s"/>
      <c r="G18" t="s"/>
      <c r="H18" t="s"/>
      <c r="I18" t="s"/>
      <c r="J18" t="n">
        <v>0</v>
      </c>
      <c r="K18" t="n">
        <v>0</v>
      </c>
      <c r="L18" t="n">
        <v>1</v>
      </c>
      <c r="M18" t="n">
        <v>0</v>
      </c>
    </row>
    <row r="19" spans="1:13">
      <c r="A19" s="1">
        <f>HYPERLINK("http://www.twitter.com/NathanBLawrence/status/999852280320053249", "999852280320053249")</f>
        <v/>
      </c>
      <c r="B19" s="2" t="n">
        <v>43245.138125</v>
      </c>
      <c r="C19" t="n">
        <v>0</v>
      </c>
      <c r="D19" t="n">
        <v>2</v>
      </c>
      <c r="E19" t="s">
        <v>30</v>
      </c>
      <c r="F19" t="s"/>
      <c r="G19" t="s"/>
      <c r="H19" t="s"/>
      <c r="I19" t="s"/>
      <c r="J19" t="n">
        <v>0</v>
      </c>
      <c r="K19" t="n">
        <v>0</v>
      </c>
      <c r="L19" t="n">
        <v>1</v>
      </c>
      <c r="M19" t="n">
        <v>0</v>
      </c>
    </row>
    <row r="20" spans="1:13">
      <c r="A20" s="1">
        <f>HYPERLINK("http://www.twitter.com/NathanBLawrence/status/999844886944931840", "999844886944931840")</f>
        <v/>
      </c>
      <c r="B20" s="2" t="n">
        <v>43245.11771990741</v>
      </c>
      <c r="C20" t="n">
        <v>0</v>
      </c>
      <c r="D20" t="n">
        <v>77</v>
      </c>
      <c r="E20" t="s">
        <v>31</v>
      </c>
      <c r="F20">
        <f>HYPERLINK("http://pbs.twimg.com/media/DayDMPFW4AABK_k.jpg", "http://pbs.twimg.com/media/DayDMPFW4AABK_k.jpg")</f>
        <v/>
      </c>
      <c r="G20" t="s"/>
      <c r="H20" t="s"/>
      <c r="I20" t="s"/>
      <c r="J20" t="n">
        <v>-0.5106000000000001</v>
      </c>
      <c r="K20" t="n">
        <v>0.134</v>
      </c>
      <c r="L20" t="n">
        <v>0.8179999999999999</v>
      </c>
      <c r="M20" t="n">
        <v>0.048</v>
      </c>
    </row>
    <row r="21" spans="1:13">
      <c r="A21" s="1">
        <f>HYPERLINK("http://www.twitter.com/NathanBLawrence/status/999819223101857792", "999819223101857792")</f>
        <v/>
      </c>
      <c r="B21" s="2" t="n">
        <v>43245.04690972222</v>
      </c>
      <c r="C21" t="n">
        <v>0</v>
      </c>
      <c r="D21" t="n">
        <v>82</v>
      </c>
      <c r="E21" t="s">
        <v>32</v>
      </c>
      <c r="F21" t="s"/>
      <c r="G21" t="s"/>
      <c r="H21" t="s"/>
      <c r="I21" t="s"/>
      <c r="J21" t="n">
        <v>0</v>
      </c>
      <c r="K21" t="n">
        <v>0</v>
      </c>
      <c r="L21" t="n">
        <v>1</v>
      </c>
      <c r="M21" t="n">
        <v>0</v>
      </c>
    </row>
    <row r="22" spans="1:13">
      <c r="A22" s="1">
        <f>HYPERLINK("http://www.twitter.com/NathanBLawrence/status/999819202956578816", "999819202956578816")</f>
        <v/>
      </c>
      <c r="B22" s="2" t="n">
        <v>43245.04685185185</v>
      </c>
      <c r="C22" t="n">
        <v>0</v>
      </c>
      <c r="D22" t="n">
        <v>4</v>
      </c>
      <c r="E22" t="s">
        <v>33</v>
      </c>
      <c r="F22" t="s"/>
      <c r="G22" t="s"/>
      <c r="H22" t="s"/>
      <c r="I22" t="s"/>
      <c r="J22" t="n">
        <v>-0.3612</v>
      </c>
      <c r="K22" t="n">
        <v>0.191</v>
      </c>
      <c r="L22" t="n">
        <v>0.712</v>
      </c>
      <c r="M22" t="n">
        <v>0.097</v>
      </c>
    </row>
    <row r="23" spans="1:13">
      <c r="A23" s="1">
        <f>HYPERLINK("http://www.twitter.com/NathanBLawrence/status/999819187865387008", "999819187865387008")</f>
        <v/>
      </c>
      <c r="B23" s="2" t="n">
        <v>43245.04680555555</v>
      </c>
      <c r="C23" t="n">
        <v>0</v>
      </c>
      <c r="D23" t="n">
        <v>4</v>
      </c>
      <c r="E23" t="s">
        <v>34</v>
      </c>
      <c r="F23" t="s"/>
      <c r="G23" t="s"/>
      <c r="H23" t="s"/>
      <c r="I23" t="s"/>
      <c r="J23" t="n">
        <v>0.4019</v>
      </c>
      <c r="K23" t="n">
        <v>0</v>
      </c>
      <c r="L23" t="n">
        <v>0.803</v>
      </c>
      <c r="M23" t="n">
        <v>0.197</v>
      </c>
    </row>
    <row r="24" spans="1:13">
      <c r="A24" s="1">
        <f>HYPERLINK("http://www.twitter.com/NathanBLawrence/status/999819128134303744", "999819128134303744")</f>
        <v/>
      </c>
      <c r="B24" s="2" t="n">
        <v>43245.04664351852</v>
      </c>
      <c r="C24" t="n">
        <v>0</v>
      </c>
      <c r="D24" t="n">
        <v>21</v>
      </c>
      <c r="E24" t="s">
        <v>35</v>
      </c>
      <c r="F24">
        <f>HYPERLINK("http://pbs.twimg.com/media/Dd_V43zV0AAtcsk.jpg", "http://pbs.twimg.com/media/Dd_V43zV0AAtcsk.jpg")</f>
        <v/>
      </c>
      <c r="G24" t="s"/>
      <c r="H24" t="s"/>
      <c r="I24" t="s"/>
      <c r="J24" t="n">
        <v>0.128</v>
      </c>
      <c r="K24" t="n">
        <v>0</v>
      </c>
      <c r="L24" t="n">
        <v>0.927</v>
      </c>
      <c r="M24" t="n">
        <v>0.073</v>
      </c>
    </row>
    <row r="25" spans="1:13">
      <c r="A25" s="1">
        <f>HYPERLINK("http://www.twitter.com/NathanBLawrence/status/999819097432092672", "999819097432092672")</f>
        <v/>
      </c>
      <c r="B25" s="2" t="n">
        <v>43245.0465625</v>
      </c>
      <c r="C25" t="n">
        <v>0</v>
      </c>
      <c r="D25" t="n">
        <v>6</v>
      </c>
      <c r="E25" t="s">
        <v>36</v>
      </c>
      <c r="F25">
        <f>HYPERLINK("http://pbs.twimg.com/media/Dd9-J3yUQAA-nC1.jpg", "http://pbs.twimg.com/media/Dd9-J3yUQAA-nC1.jpg")</f>
        <v/>
      </c>
      <c r="G25" t="s"/>
      <c r="H25" t="s"/>
      <c r="I25" t="s"/>
      <c r="J25" t="n">
        <v>0</v>
      </c>
      <c r="K25" t="n">
        <v>0</v>
      </c>
      <c r="L25" t="n">
        <v>1</v>
      </c>
      <c r="M25" t="n">
        <v>0</v>
      </c>
    </row>
    <row r="26" spans="1:13">
      <c r="A26" s="1">
        <f>HYPERLINK("http://www.twitter.com/NathanBLawrence/status/999819043250024448", "999819043250024448")</f>
        <v/>
      </c>
      <c r="B26" s="2" t="n">
        <v>43245.04641203704</v>
      </c>
      <c r="C26" t="n">
        <v>0</v>
      </c>
      <c r="D26" t="n">
        <v>6</v>
      </c>
      <c r="E26" t="s">
        <v>37</v>
      </c>
      <c r="F26" t="s"/>
      <c r="G26" t="s"/>
      <c r="H26" t="s"/>
      <c r="I26" t="s"/>
      <c r="J26" t="n">
        <v>-0.7096</v>
      </c>
      <c r="K26" t="n">
        <v>0.211</v>
      </c>
      <c r="L26" t="n">
        <v>0.789</v>
      </c>
      <c r="M26" t="n">
        <v>0</v>
      </c>
    </row>
    <row r="27" spans="1:13">
      <c r="A27" s="1">
        <f>HYPERLINK("http://www.twitter.com/NathanBLawrence/status/999818956008542209", "999818956008542209")</f>
        <v/>
      </c>
      <c r="B27" s="2" t="n">
        <v>43245.04616898148</v>
      </c>
      <c r="C27" t="n">
        <v>0</v>
      </c>
      <c r="D27" t="n">
        <v>232</v>
      </c>
      <c r="E27" t="s">
        <v>38</v>
      </c>
      <c r="F27">
        <f>HYPERLINK("http://pbs.twimg.com/media/Ddy49I3XUAAktHC.jpg", "http://pbs.twimg.com/media/Ddy49I3XUAAktHC.jpg")</f>
        <v/>
      </c>
      <c r="G27" t="s"/>
      <c r="H27" t="s"/>
      <c r="I27" t="s"/>
      <c r="J27" t="n">
        <v>0</v>
      </c>
      <c r="K27" t="n">
        <v>0</v>
      </c>
      <c r="L27" t="n">
        <v>1</v>
      </c>
      <c r="M27" t="n">
        <v>0</v>
      </c>
    </row>
    <row r="28" spans="1:13">
      <c r="A28" s="1">
        <f>HYPERLINK("http://www.twitter.com/NathanBLawrence/status/999818815939674117", "999818815939674117")</f>
        <v/>
      </c>
      <c r="B28" s="2" t="n">
        <v>43245.04578703704</v>
      </c>
      <c r="C28" t="n">
        <v>0</v>
      </c>
      <c r="D28" t="n">
        <v>1</v>
      </c>
      <c r="E28" t="s">
        <v>39</v>
      </c>
      <c r="F28" t="s"/>
      <c r="G28" t="s"/>
      <c r="H28" t="s"/>
      <c r="I28" t="s"/>
      <c r="J28" t="n">
        <v>0.6784</v>
      </c>
      <c r="K28" t="n">
        <v>0</v>
      </c>
      <c r="L28" t="n">
        <v>0.664</v>
      </c>
      <c r="M28" t="n">
        <v>0.336</v>
      </c>
    </row>
    <row r="29" spans="1:13">
      <c r="A29" s="1">
        <f>HYPERLINK("http://www.twitter.com/NathanBLawrence/status/999818629381226498", "999818629381226498")</f>
        <v/>
      </c>
      <c r="B29" s="2" t="n">
        <v>43245.04526620371</v>
      </c>
      <c r="C29" t="n">
        <v>0</v>
      </c>
      <c r="D29" t="n">
        <v>5</v>
      </c>
      <c r="E29" t="s">
        <v>40</v>
      </c>
      <c r="F29">
        <f>HYPERLINK("http://pbs.twimg.com/media/DeAQDw_UwAAVn02.jpg", "http://pbs.twimg.com/media/DeAQDw_UwAAVn02.jpg")</f>
        <v/>
      </c>
      <c r="G29" t="s"/>
      <c r="H29" t="s"/>
      <c r="I29" t="s"/>
      <c r="J29" t="n">
        <v>0</v>
      </c>
      <c r="K29" t="n">
        <v>0</v>
      </c>
      <c r="L29" t="n">
        <v>1</v>
      </c>
      <c r="M29" t="n">
        <v>0</v>
      </c>
    </row>
    <row r="30" spans="1:13">
      <c r="A30" s="1">
        <f>HYPERLINK("http://www.twitter.com/NathanBLawrence/status/999801067486568449", "999801067486568449")</f>
        <v/>
      </c>
      <c r="B30" s="2" t="n">
        <v>43244.99680555556</v>
      </c>
      <c r="C30" t="n">
        <v>0</v>
      </c>
      <c r="D30" t="n">
        <v>4</v>
      </c>
      <c r="E30" t="s">
        <v>41</v>
      </c>
      <c r="F30">
        <f>HYPERLINK("http://pbs.twimg.com/media/Dd_6SjDV4AIKUgb.jpg", "http://pbs.twimg.com/media/Dd_6SjDV4AIKUgb.jpg")</f>
        <v/>
      </c>
      <c r="G30" t="s"/>
      <c r="H30" t="s"/>
      <c r="I30" t="s"/>
      <c r="J30" t="n">
        <v>0</v>
      </c>
      <c r="K30" t="n">
        <v>0</v>
      </c>
      <c r="L30" t="n">
        <v>1</v>
      </c>
      <c r="M30" t="n">
        <v>0</v>
      </c>
    </row>
    <row r="31" spans="1:13">
      <c r="A31" s="1">
        <f>HYPERLINK("http://www.twitter.com/NathanBLawrence/status/999793315716517889", "999793315716517889")</f>
        <v/>
      </c>
      <c r="B31" s="2" t="n">
        <v>43244.97541666667</v>
      </c>
      <c r="C31" t="n">
        <v>13</v>
      </c>
      <c r="D31" t="n">
        <v>9</v>
      </c>
      <c r="E31" t="s">
        <v>42</v>
      </c>
      <c r="F31">
        <f>HYPERLINK("http://pbs.twimg.com/media/Dd_6tsMU8AA13bB.jpg", "http://pbs.twimg.com/media/Dd_6tsMU8AA13bB.jpg")</f>
        <v/>
      </c>
      <c r="G31" t="s"/>
      <c r="H31" t="s"/>
      <c r="I31" t="s"/>
      <c r="J31" t="n">
        <v>-0.876</v>
      </c>
      <c r="K31" t="n">
        <v>0.239</v>
      </c>
      <c r="L31" t="n">
        <v>0.761</v>
      </c>
      <c r="M31" t="n">
        <v>0</v>
      </c>
    </row>
    <row r="32" spans="1:13">
      <c r="A32" s="1">
        <f>HYPERLINK("http://www.twitter.com/NathanBLawrence/status/999793056781078528", "999793056781078528")</f>
        <v/>
      </c>
      <c r="B32" s="2" t="n">
        <v>43244.97469907408</v>
      </c>
      <c r="C32" t="n">
        <v>0</v>
      </c>
      <c r="D32" t="n">
        <v>4</v>
      </c>
      <c r="E32" t="s">
        <v>43</v>
      </c>
      <c r="F32">
        <f>HYPERLINK("http://pbs.twimg.com/media/Dd9-J3yUQAA-nC1.jpg", "http://pbs.twimg.com/media/Dd9-J3yUQAA-nC1.jpg")</f>
        <v/>
      </c>
      <c r="G32" t="s"/>
      <c r="H32" t="s"/>
      <c r="I32" t="s"/>
      <c r="J32" t="n">
        <v>-0.5859</v>
      </c>
      <c r="K32" t="n">
        <v>0.211</v>
      </c>
      <c r="L32" t="n">
        <v>0.789</v>
      </c>
      <c r="M32" t="n">
        <v>0</v>
      </c>
    </row>
    <row r="33" spans="1:13">
      <c r="A33" s="1">
        <f>HYPERLINK("http://www.twitter.com/NathanBLawrence/status/999793047222259715", "999793047222259715")</f>
        <v/>
      </c>
      <c r="B33" s="2" t="n">
        <v>43244.97467592593</v>
      </c>
      <c r="C33" t="n">
        <v>0</v>
      </c>
      <c r="D33" t="n">
        <v>11</v>
      </c>
      <c r="E33" t="s">
        <v>44</v>
      </c>
      <c r="F33" t="s"/>
      <c r="G33" t="s"/>
      <c r="H33" t="s"/>
      <c r="I33" t="s"/>
      <c r="J33" t="n">
        <v>-0.1759</v>
      </c>
      <c r="K33" t="n">
        <v>0.117</v>
      </c>
      <c r="L33" t="n">
        <v>0.798</v>
      </c>
      <c r="M33" t="n">
        <v>0.08500000000000001</v>
      </c>
    </row>
    <row r="34" spans="1:13">
      <c r="A34" s="1">
        <f>HYPERLINK("http://www.twitter.com/NathanBLawrence/status/999792868859564032", "999792868859564032")</f>
        <v/>
      </c>
      <c r="B34" s="2" t="n">
        <v>43244.97417824074</v>
      </c>
      <c r="C34" t="n">
        <v>0</v>
      </c>
      <c r="D34" t="n">
        <v>10</v>
      </c>
      <c r="E34" t="s">
        <v>45</v>
      </c>
      <c r="F34">
        <f>HYPERLINK("http://pbs.twimg.com/media/Dd6spUVUwAABgxM.jpg", "http://pbs.twimg.com/media/Dd6spUVUwAABgxM.jpg")</f>
        <v/>
      </c>
      <c r="G34" t="s"/>
      <c r="H34" t="s"/>
      <c r="I34" t="s"/>
      <c r="J34" t="n">
        <v>-0.516</v>
      </c>
      <c r="K34" t="n">
        <v>0.233</v>
      </c>
      <c r="L34" t="n">
        <v>0.767</v>
      </c>
      <c r="M34" t="n">
        <v>0</v>
      </c>
    </row>
    <row r="35" spans="1:13">
      <c r="A35" s="1">
        <f>HYPERLINK("http://www.twitter.com/NathanBLawrence/status/999792855089647616", "999792855089647616")</f>
        <v/>
      </c>
      <c r="B35" s="2" t="n">
        <v>43244.97414351852</v>
      </c>
      <c r="C35" t="n">
        <v>6</v>
      </c>
      <c r="D35" t="n">
        <v>4</v>
      </c>
      <c r="E35" t="s">
        <v>46</v>
      </c>
      <c r="F35">
        <f>HYPERLINK("http://pbs.twimg.com/media/Dd_6SjDV4AIKUgb.jpg", "http://pbs.twimg.com/media/Dd_6SjDV4AIKUgb.jpg")</f>
        <v/>
      </c>
      <c r="G35" t="s"/>
      <c r="H35" t="s"/>
      <c r="I35" t="s"/>
      <c r="J35" t="n">
        <v>-0.3612</v>
      </c>
      <c r="K35" t="n">
        <v>0.079</v>
      </c>
      <c r="L35" t="n">
        <v>0.921</v>
      </c>
      <c r="M35" t="n">
        <v>0</v>
      </c>
    </row>
    <row r="36" spans="1:13">
      <c r="A36" s="1">
        <f>HYPERLINK("http://www.twitter.com/NathanBLawrence/status/999792506526150656", "999792506526150656")</f>
        <v/>
      </c>
      <c r="B36" s="2" t="n">
        <v>43244.97318287037</v>
      </c>
      <c r="C36" t="n">
        <v>0</v>
      </c>
      <c r="D36" t="n">
        <v>12</v>
      </c>
      <c r="E36" t="s">
        <v>47</v>
      </c>
      <c r="F36" t="s"/>
      <c r="G36" t="s"/>
      <c r="H36" t="s"/>
      <c r="I36" t="s"/>
      <c r="J36" t="n">
        <v>-0.6027</v>
      </c>
      <c r="K36" t="n">
        <v>0.179</v>
      </c>
      <c r="L36" t="n">
        <v>0.821</v>
      </c>
      <c r="M36" t="n">
        <v>0</v>
      </c>
    </row>
    <row r="37" spans="1:13">
      <c r="A37" s="1">
        <f>HYPERLINK("http://www.twitter.com/NathanBLawrence/status/999775680148721664", "999775680148721664")</f>
        <v/>
      </c>
      <c r="B37" s="2" t="n">
        <v>43244.92674768518</v>
      </c>
      <c r="C37" t="n">
        <v>0</v>
      </c>
      <c r="D37" t="n">
        <v>44</v>
      </c>
      <c r="E37" t="s">
        <v>48</v>
      </c>
      <c r="F37" t="s"/>
      <c r="G37" t="s"/>
      <c r="H37" t="s"/>
      <c r="I37" t="s"/>
      <c r="J37" t="n">
        <v>0</v>
      </c>
      <c r="K37" t="n">
        <v>0</v>
      </c>
      <c r="L37" t="n">
        <v>1</v>
      </c>
      <c r="M37" t="n">
        <v>0</v>
      </c>
    </row>
    <row r="38" spans="1:13">
      <c r="A38" s="1">
        <f>HYPERLINK("http://www.twitter.com/NathanBLawrence/status/999775553220743168", "999775553220743168")</f>
        <v/>
      </c>
      <c r="B38" s="2" t="n">
        <v>43244.92640046297</v>
      </c>
      <c r="C38" t="n">
        <v>0</v>
      </c>
      <c r="D38" t="n">
        <v>19</v>
      </c>
      <c r="E38" t="s">
        <v>49</v>
      </c>
      <c r="F38" t="s"/>
      <c r="G38" t="s"/>
      <c r="H38" t="s"/>
      <c r="I38" t="s"/>
      <c r="J38" t="n">
        <v>0.4019</v>
      </c>
      <c r="K38" t="n">
        <v>0</v>
      </c>
      <c r="L38" t="n">
        <v>0.886</v>
      </c>
      <c r="M38" t="n">
        <v>0.114</v>
      </c>
    </row>
    <row r="39" spans="1:13">
      <c r="A39" s="1">
        <f>HYPERLINK("http://www.twitter.com/NathanBLawrence/status/999775514578563075", "999775514578563075")</f>
        <v/>
      </c>
      <c r="B39" s="2" t="n">
        <v>43244.9262962963</v>
      </c>
      <c r="C39" t="n">
        <v>0</v>
      </c>
      <c r="D39" t="n">
        <v>13</v>
      </c>
      <c r="E39" t="s">
        <v>50</v>
      </c>
      <c r="F39" t="s"/>
      <c r="G39" t="s"/>
      <c r="H39" t="s"/>
      <c r="I39" t="s"/>
      <c r="J39" t="n">
        <v>0</v>
      </c>
      <c r="K39" t="n">
        <v>0</v>
      </c>
      <c r="L39" t="n">
        <v>1</v>
      </c>
      <c r="M39" t="n">
        <v>0</v>
      </c>
    </row>
    <row r="40" spans="1:13">
      <c r="A40" s="1">
        <f>HYPERLINK("http://www.twitter.com/NathanBLawrence/status/999775505334317056", "999775505334317056")</f>
        <v/>
      </c>
      <c r="B40" s="2" t="n">
        <v>43244.92627314815</v>
      </c>
      <c r="C40" t="n">
        <v>0</v>
      </c>
      <c r="D40" t="n">
        <v>8</v>
      </c>
      <c r="E40" t="s">
        <v>51</v>
      </c>
      <c r="F40" t="s"/>
      <c r="G40" t="s"/>
      <c r="H40" t="s"/>
      <c r="I40" t="s"/>
      <c r="J40" t="n">
        <v>0</v>
      </c>
      <c r="K40" t="n">
        <v>0</v>
      </c>
      <c r="L40" t="n">
        <v>1</v>
      </c>
      <c r="M40" t="n">
        <v>0</v>
      </c>
    </row>
    <row r="41" spans="1:13">
      <c r="A41" s="1">
        <f>HYPERLINK("http://www.twitter.com/NathanBLawrence/status/999775337063084032", "999775337063084032")</f>
        <v/>
      </c>
      <c r="B41" s="2" t="n">
        <v>43244.92579861111</v>
      </c>
      <c r="C41" t="n">
        <v>0</v>
      </c>
      <c r="D41" t="n">
        <v>19</v>
      </c>
      <c r="E41" t="s">
        <v>52</v>
      </c>
      <c r="F41" t="s"/>
      <c r="G41" t="s"/>
      <c r="H41" t="s"/>
      <c r="I41" t="s"/>
      <c r="J41" t="n">
        <v>-0.4215</v>
      </c>
      <c r="K41" t="n">
        <v>0.109</v>
      </c>
      <c r="L41" t="n">
        <v>0.891</v>
      </c>
      <c r="M41" t="n">
        <v>0</v>
      </c>
    </row>
    <row r="42" spans="1:13">
      <c r="A42" s="1">
        <f>HYPERLINK("http://www.twitter.com/NathanBLawrence/status/999775225003769856", "999775225003769856")</f>
        <v/>
      </c>
      <c r="B42" s="2" t="n">
        <v>43244.92549768519</v>
      </c>
      <c r="C42" t="n">
        <v>2</v>
      </c>
      <c r="D42" t="n">
        <v>1</v>
      </c>
      <c r="E42" t="s">
        <v>53</v>
      </c>
      <c r="F42" t="s"/>
      <c r="G42" t="s"/>
      <c r="H42" t="s"/>
      <c r="I42" t="s"/>
      <c r="J42" t="n">
        <v>0</v>
      </c>
      <c r="K42" t="n">
        <v>0</v>
      </c>
      <c r="L42" t="n">
        <v>1</v>
      </c>
      <c r="M42" t="n">
        <v>0</v>
      </c>
    </row>
    <row r="43" spans="1:13">
      <c r="A43" s="1">
        <f>HYPERLINK("http://www.twitter.com/NathanBLawrence/status/999775070405971968", "999775070405971968")</f>
        <v/>
      </c>
      <c r="B43" s="2" t="n">
        <v>43244.92506944444</v>
      </c>
      <c r="C43" t="n">
        <v>0</v>
      </c>
      <c r="D43" t="n">
        <v>9</v>
      </c>
      <c r="E43" t="s">
        <v>54</v>
      </c>
      <c r="F43" t="s"/>
      <c r="G43" t="s"/>
      <c r="H43" t="s"/>
      <c r="I43" t="s"/>
      <c r="J43" t="n">
        <v>0</v>
      </c>
      <c r="K43" t="n">
        <v>0</v>
      </c>
      <c r="L43" t="n">
        <v>1</v>
      </c>
      <c r="M43" t="n">
        <v>0</v>
      </c>
    </row>
    <row r="44" spans="1:13">
      <c r="A44" s="1">
        <f>HYPERLINK("http://www.twitter.com/NathanBLawrence/status/999775045626064896", "999775045626064896")</f>
        <v/>
      </c>
      <c r="B44" s="2" t="n">
        <v>43244.925</v>
      </c>
      <c r="C44" t="n">
        <v>0</v>
      </c>
      <c r="D44" t="n">
        <v>6</v>
      </c>
      <c r="E44" t="s">
        <v>55</v>
      </c>
      <c r="F44" t="s"/>
      <c r="G44" t="s"/>
      <c r="H44" t="s"/>
      <c r="I44" t="s"/>
      <c r="J44" t="n">
        <v>0</v>
      </c>
      <c r="K44" t="n">
        <v>0</v>
      </c>
      <c r="L44" t="n">
        <v>1</v>
      </c>
      <c r="M44" t="n">
        <v>0</v>
      </c>
    </row>
    <row r="45" spans="1:13">
      <c r="A45" s="1">
        <f>HYPERLINK("http://www.twitter.com/NathanBLawrence/status/999771147192422400", "999771147192422400")</f>
        <v/>
      </c>
      <c r="B45" s="2" t="n">
        <v>43244.91423611111</v>
      </c>
      <c r="C45" t="n">
        <v>0</v>
      </c>
      <c r="D45" t="n">
        <v>1685</v>
      </c>
      <c r="E45" t="s">
        <v>56</v>
      </c>
      <c r="F45" t="s"/>
      <c r="G45" t="s"/>
      <c r="H45" t="s"/>
      <c r="I45" t="s"/>
      <c r="J45" t="n">
        <v>0</v>
      </c>
      <c r="K45" t="n">
        <v>0</v>
      </c>
      <c r="L45" t="n">
        <v>1</v>
      </c>
      <c r="M45" t="n">
        <v>0</v>
      </c>
    </row>
    <row r="46" spans="1:13">
      <c r="A46" s="1">
        <f>HYPERLINK("http://www.twitter.com/NathanBLawrence/status/999770906120589313", "999770906120589313")</f>
        <v/>
      </c>
      <c r="B46" s="2" t="n">
        <v>43244.91357638889</v>
      </c>
      <c r="C46" t="n">
        <v>6</v>
      </c>
      <c r="D46" t="n">
        <v>6</v>
      </c>
      <c r="E46" t="s">
        <v>57</v>
      </c>
      <c r="F46" t="s"/>
      <c r="G46" t="s"/>
      <c r="H46" t="s"/>
      <c r="I46" t="s"/>
      <c r="J46" t="n">
        <v>0</v>
      </c>
      <c r="K46" t="n">
        <v>0</v>
      </c>
      <c r="L46" t="n">
        <v>1</v>
      </c>
      <c r="M46" t="n">
        <v>0</v>
      </c>
    </row>
    <row r="47" spans="1:13">
      <c r="A47" s="1">
        <f>HYPERLINK("http://www.twitter.com/NathanBLawrence/status/999769054763212806", "999769054763212806")</f>
        <v/>
      </c>
      <c r="B47" s="2" t="n">
        <v>43244.90847222223</v>
      </c>
      <c r="C47" t="n">
        <v>10</v>
      </c>
      <c r="D47" t="n">
        <v>9</v>
      </c>
      <c r="E47" t="s">
        <v>58</v>
      </c>
      <c r="F47" t="s"/>
      <c r="G47" t="s"/>
      <c r="H47" t="s"/>
      <c r="I47" t="s"/>
      <c r="J47" t="n">
        <v>0</v>
      </c>
      <c r="K47" t="n">
        <v>0</v>
      </c>
      <c r="L47" t="n">
        <v>1</v>
      </c>
      <c r="M47" t="n">
        <v>0</v>
      </c>
    </row>
    <row r="48" spans="1:13">
      <c r="A48" s="1">
        <f>HYPERLINK("http://www.twitter.com/NathanBLawrence/status/999758077552418816", "999758077552418816")</f>
        <v/>
      </c>
      <c r="B48" s="2" t="n">
        <v>43244.8781712963</v>
      </c>
      <c r="C48" t="n">
        <v>0</v>
      </c>
      <c r="D48" t="n">
        <v>17</v>
      </c>
      <c r="E48" t="s">
        <v>59</v>
      </c>
      <c r="F48" t="s"/>
      <c r="G48" t="s"/>
      <c r="H48" t="s"/>
      <c r="I48" t="s"/>
      <c r="J48" t="n">
        <v>0</v>
      </c>
      <c r="K48" t="n">
        <v>0</v>
      </c>
      <c r="L48" t="n">
        <v>1</v>
      </c>
      <c r="M48" t="n">
        <v>0</v>
      </c>
    </row>
    <row r="49" spans="1:13">
      <c r="A49" s="1">
        <f>HYPERLINK("http://www.twitter.com/NathanBLawrence/status/999758063505731584", "999758063505731584")</f>
        <v/>
      </c>
      <c r="B49" s="2" t="n">
        <v>43244.87813657407</v>
      </c>
      <c r="C49" t="n">
        <v>3</v>
      </c>
      <c r="D49" t="n">
        <v>3</v>
      </c>
      <c r="E49" t="s">
        <v>60</v>
      </c>
      <c r="F49" t="s"/>
      <c r="G49" t="s"/>
      <c r="H49" t="s"/>
      <c r="I49" t="s"/>
      <c r="J49" t="n">
        <v>0</v>
      </c>
      <c r="K49" t="n">
        <v>0</v>
      </c>
      <c r="L49" t="n">
        <v>1</v>
      </c>
      <c r="M49" t="n">
        <v>0</v>
      </c>
    </row>
    <row r="50" spans="1:13">
      <c r="A50" s="1">
        <f>HYPERLINK("http://www.twitter.com/NathanBLawrence/status/999756554462289921", "999756554462289921")</f>
        <v/>
      </c>
      <c r="B50" s="2" t="n">
        <v>43244.87396990741</v>
      </c>
      <c r="C50" t="n">
        <v>2</v>
      </c>
      <c r="D50" t="n">
        <v>2</v>
      </c>
      <c r="E50" t="s">
        <v>61</v>
      </c>
      <c r="F50" t="s"/>
      <c r="G50" t="s"/>
      <c r="H50" t="s"/>
      <c r="I50" t="s"/>
      <c r="J50" t="n">
        <v>0</v>
      </c>
      <c r="K50" t="n">
        <v>0</v>
      </c>
      <c r="L50" t="n">
        <v>1</v>
      </c>
      <c r="M50" t="n">
        <v>0</v>
      </c>
    </row>
    <row r="51" spans="1:13">
      <c r="A51" s="1">
        <f>HYPERLINK("http://www.twitter.com/NathanBLawrence/status/999754899863810048", "999754899863810048")</f>
        <v/>
      </c>
      <c r="B51" s="2" t="n">
        <v>43244.86940972223</v>
      </c>
      <c r="C51" t="n">
        <v>18</v>
      </c>
      <c r="D51" t="n">
        <v>17</v>
      </c>
      <c r="E51" t="s">
        <v>62</v>
      </c>
      <c r="F51" t="s"/>
      <c r="G51" t="s"/>
      <c r="H51" t="s"/>
      <c r="I51" t="s"/>
      <c r="J51" t="n">
        <v>-0.8552999999999999</v>
      </c>
      <c r="K51" t="n">
        <v>0.183</v>
      </c>
      <c r="L51" t="n">
        <v>0.8169999999999999</v>
      </c>
      <c r="M51" t="n">
        <v>0</v>
      </c>
    </row>
    <row r="52" spans="1:13">
      <c r="A52" s="1">
        <f>HYPERLINK("http://www.twitter.com/NathanBLawrence/status/999754259011862530", "999754259011862530")</f>
        <v/>
      </c>
      <c r="B52" s="2" t="n">
        <v>43244.86763888889</v>
      </c>
      <c r="C52" t="n">
        <v>0</v>
      </c>
      <c r="D52" t="n">
        <v>5</v>
      </c>
      <c r="E52" t="s">
        <v>63</v>
      </c>
      <c r="F52" t="s"/>
      <c r="G52" t="s"/>
      <c r="H52" t="s"/>
      <c r="I52" t="s"/>
      <c r="J52" t="n">
        <v>-0.2359</v>
      </c>
      <c r="K52" t="n">
        <v>0.146</v>
      </c>
      <c r="L52" t="n">
        <v>0.744</v>
      </c>
      <c r="M52" t="n">
        <v>0.11</v>
      </c>
    </row>
    <row r="53" spans="1:13">
      <c r="A53" s="1">
        <f>HYPERLINK("http://www.twitter.com/NathanBLawrence/status/999753897379090433", "999753897379090433")</f>
        <v/>
      </c>
      <c r="B53" s="2" t="n">
        <v>43244.86664351852</v>
      </c>
      <c r="C53" t="n">
        <v>0</v>
      </c>
      <c r="D53" t="n">
        <v>7</v>
      </c>
      <c r="E53" t="s">
        <v>64</v>
      </c>
      <c r="F53" t="s"/>
      <c r="G53" t="s"/>
      <c r="H53" t="s"/>
      <c r="I53" t="s"/>
      <c r="J53" t="n">
        <v>0.25</v>
      </c>
      <c r="K53" t="n">
        <v>0</v>
      </c>
      <c r="L53" t="n">
        <v>0.882</v>
      </c>
      <c r="M53" t="n">
        <v>0.118</v>
      </c>
    </row>
    <row r="54" spans="1:13">
      <c r="A54" s="1">
        <f>HYPERLINK("http://www.twitter.com/NathanBLawrence/status/999753861597401093", "999753861597401093")</f>
        <v/>
      </c>
      <c r="B54" s="2" t="n">
        <v>43244.86653935185</v>
      </c>
      <c r="C54" t="n">
        <v>0</v>
      </c>
      <c r="D54" t="n">
        <v>3</v>
      </c>
      <c r="E54" t="s">
        <v>65</v>
      </c>
      <c r="F54" t="s"/>
      <c r="G54" t="s"/>
      <c r="H54" t="s"/>
      <c r="I54" t="s"/>
      <c r="J54" t="n">
        <v>-0.296</v>
      </c>
      <c r="K54" t="n">
        <v>0.081</v>
      </c>
      <c r="L54" t="n">
        <v>0.919</v>
      </c>
      <c r="M54" t="n">
        <v>0</v>
      </c>
    </row>
    <row r="55" spans="1:13">
      <c r="A55" s="1">
        <f>HYPERLINK("http://www.twitter.com/NathanBLawrence/status/999753222603640832", "999753222603640832")</f>
        <v/>
      </c>
      <c r="B55" s="2" t="n">
        <v>43244.86478009259</v>
      </c>
      <c r="C55" t="n">
        <v>0</v>
      </c>
      <c r="D55" t="n">
        <v>5</v>
      </c>
      <c r="E55" t="s">
        <v>66</v>
      </c>
      <c r="F55" t="s"/>
      <c r="G55" t="s"/>
      <c r="H55" t="s"/>
      <c r="I55" t="s"/>
      <c r="J55" t="n">
        <v>-0.7184</v>
      </c>
      <c r="K55" t="n">
        <v>0.231</v>
      </c>
      <c r="L55" t="n">
        <v>0.769</v>
      </c>
      <c r="M55" t="n">
        <v>0</v>
      </c>
    </row>
    <row r="56" spans="1:13">
      <c r="A56" s="1">
        <f>HYPERLINK("http://www.twitter.com/NathanBLawrence/status/999753210356215808", "999753210356215808")</f>
        <v/>
      </c>
      <c r="B56" s="2" t="n">
        <v>43244.86474537037</v>
      </c>
      <c r="C56" t="n">
        <v>0</v>
      </c>
      <c r="D56" t="n">
        <v>8</v>
      </c>
      <c r="E56" t="s">
        <v>67</v>
      </c>
      <c r="F56" t="s"/>
      <c r="G56" t="s"/>
      <c r="H56" t="s"/>
      <c r="I56" t="s"/>
      <c r="J56" t="n">
        <v>0.1406</v>
      </c>
      <c r="K56" t="n">
        <v>0</v>
      </c>
      <c r="L56" t="n">
        <v>0.9340000000000001</v>
      </c>
      <c r="M56" t="n">
        <v>0.066</v>
      </c>
    </row>
    <row r="57" spans="1:13">
      <c r="A57" s="1">
        <f>HYPERLINK("http://www.twitter.com/NathanBLawrence/status/999753200952635395", "999753200952635395")</f>
        <v/>
      </c>
      <c r="B57" s="2" t="n">
        <v>43244.86472222222</v>
      </c>
      <c r="C57" t="n">
        <v>0</v>
      </c>
      <c r="D57" t="n">
        <v>4</v>
      </c>
      <c r="E57" t="s">
        <v>68</v>
      </c>
      <c r="F57" t="s"/>
      <c r="G57" t="s"/>
      <c r="H57" t="s"/>
      <c r="I57" t="s"/>
      <c r="J57" t="n">
        <v>-0.296</v>
      </c>
      <c r="K57" t="n">
        <v>0.091</v>
      </c>
      <c r="L57" t="n">
        <v>0.909</v>
      </c>
      <c r="M57" t="n">
        <v>0</v>
      </c>
    </row>
    <row r="58" spans="1:13">
      <c r="A58" s="1">
        <f>HYPERLINK("http://www.twitter.com/NathanBLawrence/status/999738097171615745", "999738097171615745")</f>
        <v/>
      </c>
      <c r="B58" s="2" t="n">
        <v>43244.82304398148</v>
      </c>
      <c r="C58" t="n">
        <v>1</v>
      </c>
      <c r="D58" t="n">
        <v>1</v>
      </c>
      <c r="E58" t="s">
        <v>69</v>
      </c>
      <c r="F58" t="s"/>
      <c r="G58" t="s"/>
      <c r="H58" t="s"/>
      <c r="I58" t="s"/>
      <c r="J58" t="n">
        <v>0.008500000000000001</v>
      </c>
      <c r="K58" t="n">
        <v>0.151</v>
      </c>
      <c r="L58" t="n">
        <v>0.714</v>
      </c>
      <c r="M58" t="n">
        <v>0.135</v>
      </c>
    </row>
    <row r="59" spans="1:13">
      <c r="A59" s="1">
        <f>HYPERLINK("http://www.twitter.com/NathanBLawrence/status/999731147897794560", "999731147897794560")</f>
        <v/>
      </c>
      <c r="B59" s="2" t="n">
        <v>43244.80386574074</v>
      </c>
      <c r="C59" t="n">
        <v>0</v>
      </c>
      <c r="D59" t="n">
        <v>9</v>
      </c>
      <c r="E59" t="s">
        <v>70</v>
      </c>
      <c r="F59">
        <f>HYPERLINK("http://pbs.twimg.com/media/Dd-SX67V0AENeFW.jpg", "http://pbs.twimg.com/media/Dd-SX67V0AENeFW.jpg")</f>
        <v/>
      </c>
      <c r="G59" t="s"/>
      <c r="H59" t="s"/>
      <c r="I59" t="s"/>
      <c r="J59" t="n">
        <v>0</v>
      </c>
      <c r="K59" t="n">
        <v>0</v>
      </c>
      <c r="L59" t="n">
        <v>1</v>
      </c>
      <c r="M59" t="n">
        <v>0</v>
      </c>
    </row>
    <row r="60" spans="1:13">
      <c r="A60" s="1">
        <f>HYPERLINK("http://www.twitter.com/NathanBLawrence/status/999731130860474369", "999731130860474369")</f>
        <v/>
      </c>
      <c r="B60" s="2" t="n">
        <v>43244.80381944445</v>
      </c>
      <c r="C60" t="n">
        <v>0</v>
      </c>
      <c r="D60" t="n">
        <v>11</v>
      </c>
      <c r="E60" t="s">
        <v>71</v>
      </c>
      <c r="F60" t="s"/>
      <c r="G60" t="s"/>
      <c r="H60" t="s"/>
      <c r="I60" t="s"/>
      <c r="J60" t="n">
        <v>0.1406</v>
      </c>
      <c r="K60" t="n">
        <v>0</v>
      </c>
      <c r="L60" t="n">
        <v>0.928</v>
      </c>
      <c r="M60" t="n">
        <v>0.07199999999999999</v>
      </c>
    </row>
    <row r="61" spans="1:13">
      <c r="A61" s="1">
        <f>HYPERLINK("http://www.twitter.com/NathanBLawrence/status/999731120932614144", "999731120932614144")</f>
        <v/>
      </c>
      <c r="B61" s="2" t="n">
        <v>43244.80378472222</v>
      </c>
      <c r="C61" t="n">
        <v>3</v>
      </c>
      <c r="D61" t="n">
        <v>3</v>
      </c>
      <c r="E61" t="s">
        <v>72</v>
      </c>
      <c r="F61" t="s"/>
      <c r="G61" t="s"/>
      <c r="H61" t="s"/>
      <c r="I61" t="s"/>
      <c r="J61" t="n">
        <v>0</v>
      </c>
      <c r="K61" t="n">
        <v>0</v>
      </c>
      <c r="L61" t="n">
        <v>1</v>
      </c>
      <c r="M61" t="n">
        <v>0</v>
      </c>
    </row>
    <row r="62" spans="1:13">
      <c r="A62" s="1">
        <f>HYPERLINK("http://www.twitter.com/NathanBLawrence/status/999713876706029569", "999713876706029569")</f>
        <v/>
      </c>
      <c r="B62" s="2" t="n">
        <v>43244.75620370371</v>
      </c>
      <c r="C62" t="n">
        <v>0</v>
      </c>
      <c r="D62" t="n">
        <v>10</v>
      </c>
      <c r="E62" t="s">
        <v>73</v>
      </c>
      <c r="F62" t="s"/>
      <c r="G62" t="s"/>
      <c r="H62" t="s"/>
      <c r="I62" t="s"/>
      <c r="J62" t="n">
        <v>0</v>
      </c>
      <c r="K62" t="n">
        <v>0</v>
      </c>
      <c r="L62" t="n">
        <v>1</v>
      </c>
      <c r="M62" t="n">
        <v>0</v>
      </c>
    </row>
    <row r="63" spans="1:13">
      <c r="A63" s="1">
        <f>HYPERLINK("http://www.twitter.com/NathanBLawrence/status/999713645335543808", "999713645335543808")</f>
        <v/>
      </c>
      <c r="B63" s="2" t="n">
        <v>43244.75556712963</v>
      </c>
      <c r="C63" t="n">
        <v>0</v>
      </c>
      <c r="D63" t="n">
        <v>4927</v>
      </c>
      <c r="E63" t="s">
        <v>74</v>
      </c>
      <c r="F63" t="s"/>
      <c r="G63" t="s"/>
      <c r="H63" t="s"/>
      <c r="I63" t="s"/>
      <c r="J63" t="n">
        <v>0.8622</v>
      </c>
      <c r="K63" t="n">
        <v>0</v>
      </c>
      <c r="L63" t="n">
        <v>0.449</v>
      </c>
      <c r="M63" t="n">
        <v>0.551</v>
      </c>
    </row>
    <row r="64" spans="1:13">
      <c r="A64" s="1">
        <f>HYPERLINK("http://www.twitter.com/NathanBLawrence/status/999713442138415104", "999713442138415104")</f>
        <v/>
      </c>
      <c r="B64" s="2" t="n">
        <v>43244.75501157407</v>
      </c>
      <c r="C64" t="n">
        <v>2</v>
      </c>
      <c r="D64" t="n">
        <v>3</v>
      </c>
      <c r="E64" t="s">
        <v>75</v>
      </c>
      <c r="F64" t="s"/>
      <c r="G64" t="s"/>
      <c r="H64" t="s"/>
      <c r="I64" t="s"/>
      <c r="J64" t="n">
        <v>0</v>
      </c>
      <c r="K64" t="n">
        <v>0</v>
      </c>
      <c r="L64" t="n">
        <v>1</v>
      </c>
      <c r="M64" t="n">
        <v>0</v>
      </c>
    </row>
    <row r="65" spans="1:13">
      <c r="A65" s="1">
        <f>HYPERLINK("http://www.twitter.com/NathanBLawrence/status/999706710045491201", "999706710045491201")</f>
        <v/>
      </c>
      <c r="B65" s="2" t="n">
        <v>43244.73642361111</v>
      </c>
      <c r="C65" t="n">
        <v>0</v>
      </c>
      <c r="D65" t="n">
        <v>7</v>
      </c>
      <c r="E65" t="s">
        <v>76</v>
      </c>
      <c r="F65">
        <f>HYPERLINK("http://pbs.twimg.com/media/Dd-ejXfVAAAdcNI.jpg", "http://pbs.twimg.com/media/Dd-ejXfVAAAdcNI.jpg")</f>
        <v/>
      </c>
      <c r="G65" t="s"/>
      <c r="H65" t="s"/>
      <c r="I65" t="s"/>
      <c r="J65" t="n">
        <v>-0.6114000000000001</v>
      </c>
      <c r="K65" t="n">
        <v>0.148</v>
      </c>
      <c r="L65" t="n">
        <v>0.852</v>
      </c>
      <c r="M65" t="n">
        <v>0</v>
      </c>
    </row>
    <row r="66" spans="1:13">
      <c r="A66" s="1">
        <f>HYPERLINK("http://www.twitter.com/NathanBLawrence/status/999705770307522561", "999705770307522561")</f>
        <v/>
      </c>
      <c r="B66" s="2" t="n">
        <v>43244.73383101852</v>
      </c>
      <c r="C66" t="n">
        <v>0</v>
      </c>
      <c r="D66" t="n">
        <v>696</v>
      </c>
      <c r="E66" t="s">
        <v>77</v>
      </c>
      <c r="F66" t="s"/>
      <c r="G66" t="s"/>
      <c r="H66" t="s"/>
      <c r="I66" t="s"/>
      <c r="J66" t="n">
        <v>0</v>
      </c>
      <c r="K66" t="n">
        <v>0</v>
      </c>
      <c r="L66" t="n">
        <v>1</v>
      </c>
      <c r="M66" t="n">
        <v>0</v>
      </c>
    </row>
    <row r="67" spans="1:13">
      <c r="A67" s="1">
        <f>HYPERLINK("http://www.twitter.com/NathanBLawrence/status/999705703802658817", "999705703802658817")</f>
        <v/>
      </c>
      <c r="B67" s="2" t="n">
        <v>43244.73365740741</v>
      </c>
      <c r="C67" t="n">
        <v>0</v>
      </c>
      <c r="D67" t="n">
        <v>32360</v>
      </c>
      <c r="E67" t="s">
        <v>78</v>
      </c>
      <c r="F67" t="s"/>
      <c r="G67" t="s"/>
      <c r="H67" t="s"/>
      <c r="I67" t="s"/>
      <c r="J67" t="n">
        <v>0.7925</v>
      </c>
      <c r="K67" t="n">
        <v>0</v>
      </c>
      <c r="L67" t="n">
        <v>0.766</v>
      </c>
      <c r="M67" t="n">
        <v>0.234</v>
      </c>
    </row>
    <row r="68" spans="1:13">
      <c r="A68" s="1">
        <f>HYPERLINK("http://www.twitter.com/NathanBLawrence/status/999699009978716161", "999699009978716161")</f>
        <v/>
      </c>
      <c r="B68" s="2" t="n">
        <v>43244.71518518519</v>
      </c>
      <c r="C68" t="n">
        <v>0</v>
      </c>
      <c r="D68" t="n">
        <v>5</v>
      </c>
      <c r="E68" t="s">
        <v>79</v>
      </c>
      <c r="F68">
        <f>HYPERLINK("http://pbs.twimg.com/media/Dd-fnfTUQAAszjb.jpg", "http://pbs.twimg.com/media/Dd-fnfTUQAAszjb.jpg")</f>
        <v/>
      </c>
      <c r="G68" t="s"/>
      <c r="H68" t="s"/>
      <c r="I68" t="s"/>
      <c r="J68" t="n">
        <v>0</v>
      </c>
      <c r="K68" t="n">
        <v>0</v>
      </c>
      <c r="L68" t="n">
        <v>1</v>
      </c>
      <c r="M68" t="n">
        <v>0</v>
      </c>
    </row>
    <row r="69" spans="1:13">
      <c r="A69" s="1">
        <f>HYPERLINK("http://www.twitter.com/NathanBLawrence/status/999698900595462146", "999698900595462146")</f>
        <v/>
      </c>
      <c r="B69" s="2" t="n">
        <v>43244.71488425926</v>
      </c>
      <c r="C69" t="n">
        <v>0</v>
      </c>
      <c r="D69" t="n">
        <v>4</v>
      </c>
      <c r="E69" t="s">
        <v>80</v>
      </c>
      <c r="F69">
        <f>HYPERLINK("http://pbs.twimg.com/media/Dd-gnOHV4AAJqRy.jpg", "http://pbs.twimg.com/media/Dd-gnOHV4AAJqRy.jpg")</f>
        <v/>
      </c>
      <c r="G69" t="s"/>
      <c r="H69" t="s"/>
      <c r="I69" t="s"/>
      <c r="J69" t="n">
        <v>-0.5266999999999999</v>
      </c>
      <c r="K69" t="n">
        <v>0.159</v>
      </c>
      <c r="L69" t="n">
        <v>0.841</v>
      </c>
      <c r="M69" t="n">
        <v>0</v>
      </c>
    </row>
    <row r="70" spans="1:13">
      <c r="A70" s="1">
        <f>HYPERLINK("http://www.twitter.com/NathanBLawrence/status/999692763942842368", "999692763942842368")</f>
        <v/>
      </c>
      <c r="B70" s="2" t="n">
        <v>43244.69793981482</v>
      </c>
      <c r="C70" t="n">
        <v>0</v>
      </c>
      <c r="D70" t="n">
        <v>967</v>
      </c>
      <c r="E70" t="s">
        <v>81</v>
      </c>
      <c r="F70" t="s"/>
      <c r="G70" t="s"/>
      <c r="H70" t="s"/>
      <c r="I70" t="s"/>
      <c r="J70" t="n">
        <v>-0.3818</v>
      </c>
      <c r="K70" t="n">
        <v>0.178</v>
      </c>
      <c r="L70" t="n">
        <v>0.822</v>
      </c>
      <c r="M70" t="n">
        <v>0</v>
      </c>
    </row>
    <row r="71" spans="1:13">
      <c r="A71" s="1">
        <f>HYPERLINK("http://www.twitter.com/NathanBLawrence/status/999692720812756992", "999692720812756992")</f>
        <v/>
      </c>
      <c r="B71" s="2" t="n">
        <v>43244.69782407407</v>
      </c>
      <c r="C71" t="n">
        <v>0</v>
      </c>
      <c r="D71" t="n">
        <v>40</v>
      </c>
      <c r="E71" t="s">
        <v>82</v>
      </c>
      <c r="F71" t="s"/>
      <c r="G71" t="s"/>
      <c r="H71" t="s"/>
      <c r="I71" t="s"/>
      <c r="J71" t="n">
        <v>-0.5106000000000001</v>
      </c>
      <c r="K71" t="n">
        <v>0.13</v>
      </c>
      <c r="L71" t="n">
        <v>0.87</v>
      </c>
      <c r="M71" t="n">
        <v>0</v>
      </c>
    </row>
    <row r="72" spans="1:13">
      <c r="A72" s="1">
        <f>HYPERLINK("http://www.twitter.com/NathanBLawrence/status/999692687505809408", "999692687505809408")</f>
        <v/>
      </c>
      <c r="B72" s="2" t="n">
        <v>43244.69773148148</v>
      </c>
      <c r="C72" t="n">
        <v>0</v>
      </c>
      <c r="D72" t="n">
        <v>0</v>
      </c>
      <c r="E72" t="s">
        <v>83</v>
      </c>
      <c r="F72" t="s"/>
      <c r="G72" t="s"/>
      <c r="H72" t="s"/>
      <c r="I72" t="s"/>
      <c r="J72" t="n">
        <v>-0.5817</v>
      </c>
      <c r="K72" t="n">
        <v>0.134</v>
      </c>
      <c r="L72" t="n">
        <v>0.8100000000000001</v>
      </c>
      <c r="M72" t="n">
        <v>0.056</v>
      </c>
    </row>
    <row r="73" spans="1:13">
      <c r="A73" s="1">
        <f>HYPERLINK("http://www.twitter.com/NathanBLawrence/status/999692316544765952", "999692316544765952")</f>
        <v/>
      </c>
      <c r="B73" s="2" t="n">
        <v>43244.69671296296</v>
      </c>
      <c r="C73" t="n">
        <v>0</v>
      </c>
      <c r="D73" t="n">
        <v>270</v>
      </c>
      <c r="E73" t="s">
        <v>84</v>
      </c>
      <c r="F73" t="s"/>
      <c r="G73" t="s"/>
      <c r="H73" t="s"/>
      <c r="I73" t="s"/>
      <c r="J73" t="n">
        <v>-0.1779</v>
      </c>
      <c r="K73" t="n">
        <v>0.139</v>
      </c>
      <c r="L73" t="n">
        <v>0.747</v>
      </c>
      <c r="M73" t="n">
        <v>0.114</v>
      </c>
    </row>
    <row r="74" spans="1:13">
      <c r="A74" s="1">
        <f>HYPERLINK("http://www.twitter.com/NathanBLawrence/status/999692289676054528", "999692289676054528")</f>
        <v/>
      </c>
      <c r="B74" s="2" t="n">
        <v>43244.69663194445</v>
      </c>
      <c r="C74" t="n">
        <v>0</v>
      </c>
      <c r="D74" t="n">
        <v>57</v>
      </c>
      <c r="E74" t="s">
        <v>85</v>
      </c>
      <c r="F74" t="s"/>
      <c r="G74" t="s"/>
      <c r="H74" t="s"/>
      <c r="I74" t="s"/>
      <c r="J74" t="n">
        <v>0</v>
      </c>
      <c r="K74" t="n">
        <v>0</v>
      </c>
      <c r="L74" t="n">
        <v>1</v>
      </c>
      <c r="M74" t="n">
        <v>0</v>
      </c>
    </row>
    <row r="75" spans="1:13">
      <c r="A75" s="1">
        <f>HYPERLINK("http://www.twitter.com/NathanBLawrence/status/999692269887344640", "999692269887344640")</f>
        <v/>
      </c>
      <c r="B75" s="2" t="n">
        <v>43244.69658564815</v>
      </c>
      <c r="C75" t="n">
        <v>0</v>
      </c>
      <c r="D75" t="n">
        <v>6142</v>
      </c>
      <c r="E75" t="s">
        <v>86</v>
      </c>
      <c r="F75" t="s"/>
      <c r="G75" t="s"/>
      <c r="H75" t="s"/>
      <c r="I75" t="s"/>
      <c r="J75" t="n">
        <v>0</v>
      </c>
      <c r="K75" t="n">
        <v>0</v>
      </c>
      <c r="L75" t="n">
        <v>1</v>
      </c>
      <c r="M75" t="n">
        <v>0</v>
      </c>
    </row>
    <row r="76" spans="1:13">
      <c r="A76" s="1">
        <f>HYPERLINK("http://www.twitter.com/NathanBLawrence/status/999692248244736000", "999692248244736000")</f>
        <v/>
      </c>
      <c r="B76" s="2" t="n">
        <v>43244.69652777778</v>
      </c>
      <c r="C76" t="n">
        <v>0</v>
      </c>
      <c r="D76" t="n">
        <v>922</v>
      </c>
      <c r="E76" t="s">
        <v>87</v>
      </c>
      <c r="F76" t="s"/>
      <c r="G76" t="s"/>
      <c r="H76" t="s"/>
      <c r="I76" t="s"/>
      <c r="J76" t="n">
        <v>0</v>
      </c>
      <c r="K76" t="n">
        <v>0</v>
      </c>
      <c r="L76" t="n">
        <v>1</v>
      </c>
      <c r="M76" t="n">
        <v>0</v>
      </c>
    </row>
    <row r="77" spans="1:13">
      <c r="A77" s="1">
        <f>HYPERLINK("http://www.twitter.com/NathanBLawrence/status/999692219220201472", "999692219220201472")</f>
        <v/>
      </c>
      <c r="B77" s="2" t="n">
        <v>43244.69644675926</v>
      </c>
      <c r="C77" t="n">
        <v>0</v>
      </c>
      <c r="D77" t="n">
        <v>1</v>
      </c>
      <c r="E77" t="s">
        <v>88</v>
      </c>
      <c r="F77" t="s"/>
      <c r="G77" t="s"/>
      <c r="H77" t="s"/>
      <c r="I77" t="s"/>
      <c r="J77" t="n">
        <v>-0.0762</v>
      </c>
      <c r="K77" t="n">
        <v>0.106</v>
      </c>
      <c r="L77" t="n">
        <v>0.801</v>
      </c>
      <c r="M77" t="n">
        <v>0.092</v>
      </c>
    </row>
    <row r="78" spans="1:13">
      <c r="A78" s="1">
        <f>HYPERLINK("http://www.twitter.com/NathanBLawrence/status/999692177818124288", "999692177818124288")</f>
        <v/>
      </c>
      <c r="B78" s="2" t="n">
        <v>43244.69633101852</v>
      </c>
      <c r="C78" t="n">
        <v>0</v>
      </c>
      <c r="D78" t="n">
        <v>0</v>
      </c>
      <c r="E78" t="s">
        <v>89</v>
      </c>
      <c r="F78" t="s"/>
      <c r="G78" t="s"/>
      <c r="H78" t="s"/>
      <c r="I78" t="s"/>
      <c r="J78" t="n">
        <v>0</v>
      </c>
      <c r="K78" t="n">
        <v>0</v>
      </c>
      <c r="L78" t="n">
        <v>1</v>
      </c>
      <c r="M78" t="n">
        <v>0</v>
      </c>
    </row>
    <row r="79" spans="1:13">
      <c r="A79" s="1">
        <f>HYPERLINK("http://www.twitter.com/NathanBLawrence/status/999692070783717376", "999692070783717376")</f>
        <v/>
      </c>
      <c r="B79" s="2" t="n">
        <v>43244.69603009259</v>
      </c>
      <c r="C79" t="n">
        <v>0</v>
      </c>
      <c r="D79" t="n">
        <v>214</v>
      </c>
      <c r="E79" t="s">
        <v>90</v>
      </c>
      <c r="F79">
        <f>HYPERLINK("http://pbs.twimg.com/media/Dd-X8bAU0AAjfuE.jpg", "http://pbs.twimg.com/media/Dd-X8bAU0AAjfuE.jpg")</f>
        <v/>
      </c>
      <c r="G79" t="s"/>
      <c r="H79" t="s"/>
      <c r="I79" t="s"/>
      <c r="J79" t="n">
        <v>0.7964</v>
      </c>
      <c r="K79" t="n">
        <v>0</v>
      </c>
      <c r="L79" t="n">
        <v>0.698</v>
      </c>
      <c r="M79" t="n">
        <v>0.302</v>
      </c>
    </row>
    <row r="80" spans="1:13">
      <c r="A80" s="1">
        <f>HYPERLINK("http://www.twitter.com/NathanBLawrence/status/999691980832755712", "999691980832755712")</f>
        <v/>
      </c>
      <c r="B80" s="2" t="n">
        <v>43244.69578703704</v>
      </c>
      <c r="C80" t="n">
        <v>10</v>
      </c>
      <c r="D80" t="n">
        <v>7</v>
      </c>
      <c r="E80" t="s">
        <v>91</v>
      </c>
      <c r="F80">
        <f>HYPERLINK("http://pbs.twimg.com/media/Dd-ejXfVAAAdcNI.jpg", "http://pbs.twimg.com/media/Dd-ejXfVAAAdcNI.jpg")</f>
        <v/>
      </c>
      <c r="G80" t="s"/>
      <c r="H80" t="s"/>
      <c r="I80" t="s"/>
      <c r="J80" t="n">
        <v>-0.6114000000000001</v>
      </c>
      <c r="K80" t="n">
        <v>0.078</v>
      </c>
      <c r="L80" t="n">
        <v>0.922</v>
      </c>
      <c r="M80" t="n">
        <v>0</v>
      </c>
    </row>
    <row r="81" spans="1:13">
      <c r="A81" s="1">
        <f>HYPERLINK("http://www.twitter.com/NathanBLawrence/status/999688902733688832", "999688902733688832")</f>
        <v/>
      </c>
      <c r="B81" s="2" t="n">
        <v>43244.68729166667</v>
      </c>
      <c r="C81" t="n">
        <v>13</v>
      </c>
      <c r="D81" t="n">
        <v>11</v>
      </c>
      <c r="E81" t="s">
        <v>92</v>
      </c>
      <c r="F81">
        <f>HYPERLINK("http://pbs.twimg.com/media/Dd-bwN-UQAEvPqG.jpg", "http://pbs.twimg.com/media/Dd-bwN-UQAEvPqG.jpg")</f>
        <v/>
      </c>
      <c r="G81" t="s"/>
      <c r="H81" t="s"/>
      <c r="I81" t="s"/>
      <c r="J81" t="n">
        <v>0.7096</v>
      </c>
      <c r="K81" t="n">
        <v>0.036</v>
      </c>
      <c r="L81" t="n">
        <v>0.826</v>
      </c>
      <c r="M81" t="n">
        <v>0.138</v>
      </c>
    </row>
    <row r="82" spans="1:13">
      <c r="A82" s="1">
        <f>HYPERLINK("http://www.twitter.com/NathanBLawrence/status/999688182978482176", "999688182978482176")</f>
        <v/>
      </c>
      <c r="B82" s="2" t="n">
        <v>43244.68530092593</v>
      </c>
      <c r="C82" t="n">
        <v>0</v>
      </c>
      <c r="D82" t="n">
        <v>0</v>
      </c>
      <c r="E82" t="s">
        <v>93</v>
      </c>
      <c r="F82" t="s"/>
      <c r="G82" t="s"/>
      <c r="H82" t="s"/>
      <c r="I82" t="s"/>
      <c r="J82" t="n">
        <v>0.4215</v>
      </c>
      <c r="K82" t="n">
        <v>0</v>
      </c>
      <c r="L82" t="n">
        <v>0.417</v>
      </c>
      <c r="M82" t="n">
        <v>0.583</v>
      </c>
    </row>
    <row r="83" spans="1:13">
      <c r="A83" s="1">
        <f>HYPERLINK("http://www.twitter.com/NathanBLawrence/status/999688124157562881", "999688124157562881")</f>
        <v/>
      </c>
      <c r="B83" s="2" t="n">
        <v>43244.68513888889</v>
      </c>
      <c r="C83" t="n">
        <v>0</v>
      </c>
      <c r="D83" t="n">
        <v>0</v>
      </c>
      <c r="E83" t="s">
        <v>94</v>
      </c>
      <c r="F83" t="s"/>
      <c r="G83" t="s"/>
      <c r="H83" t="s"/>
      <c r="I83" t="s"/>
      <c r="J83" t="n">
        <v>-0.5719</v>
      </c>
      <c r="K83" t="n">
        <v>0.091</v>
      </c>
      <c r="L83" t="n">
        <v>0.909</v>
      </c>
      <c r="M83" t="n">
        <v>0</v>
      </c>
    </row>
    <row r="84" spans="1:13">
      <c r="A84" s="1">
        <f>HYPERLINK("http://www.twitter.com/NathanBLawrence/status/999687798016921601", "999687798016921601")</f>
        <v/>
      </c>
      <c r="B84" s="2" t="n">
        <v>43244.68424768518</v>
      </c>
      <c r="C84" t="n">
        <v>0</v>
      </c>
      <c r="D84" t="n">
        <v>0</v>
      </c>
      <c r="E84" t="s">
        <v>95</v>
      </c>
      <c r="F84" t="s"/>
      <c r="G84" t="s"/>
      <c r="H84" t="s"/>
      <c r="I84" t="s"/>
      <c r="J84" t="n">
        <v>0</v>
      </c>
      <c r="K84" t="n">
        <v>0</v>
      </c>
      <c r="L84" t="n">
        <v>1</v>
      </c>
      <c r="M84" t="n">
        <v>0</v>
      </c>
    </row>
    <row r="85" spans="1:13">
      <c r="A85" s="1">
        <f>HYPERLINK("http://www.twitter.com/NathanBLawrence/status/999687314153582594", "999687314153582594")</f>
        <v/>
      </c>
      <c r="B85" s="2" t="n">
        <v>43244.6829050926</v>
      </c>
      <c r="C85" t="n">
        <v>0</v>
      </c>
      <c r="D85" t="n">
        <v>7</v>
      </c>
      <c r="E85" t="s">
        <v>96</v>
      </c>
      <c r="F85">
        <f>HYPERLINK("http://pbs.twimg.com/media/Dd-S04hVwAAIBxw.jpg", "http://pbs.twimg.com/media/Dd-S04hVwAAIBxw.jpg")</f>
        <v/>
      </c>
      <c r="G85" t="s"/>
      <c r="H85" t="s"/>
      <c r="I85" t="s"/>
      <c r="J85" t="n">
        <v>-0.5106000000000001</v>
      </c>
      <c r="K85" t="n">
        <v>0.142</v>
      </c>
      <c r="L85" t="n">
        <v>0.858</v>
      </c>
      <c r="M85" t="n">
        <v>0</v>
      </c>
    </row>
    <row r="86" spans="1:13">
      <c r="A86" s="1">
        <f>HYPERLINK("http://www.twitter.com/NathanBLawrence/status/999687299993690112", "999687299993690112")</f>
        <v/>
      </c>
      <c r="B86" s="2" t="n">
        <v>43244.68287037037</v>
      </c>
      <c r="C86" t="n">
        <v>0</v>
      </c>
      <c r="D86" t="n">
        <v>155</v>
      </c>
      <c r="E86" t="s">
        <v>97</v>
      </c>
      <c r="F86" t="s"/>
      <c r="G86" t="s"/>
      <c r="H86" t="s"/>
      <c r="I86" t="s"/>
      <c r="J86" t="n">
        <v>0</v>
      </c>
      <c r="K86" t="n">
        <v>0</v>
      </c>
      <c r="L86" t="n">
        <v>1</v>
      </c>
      <c r="M86" t="n">
        <v>0</v>
      </c>
    </row>
    <row r="87" spans="1:13">
      <c r="A87" s="1">
        <f>HYPERLINK("http://www.twitter.com/NathanBLawrence/status/999687276664766466", "999687276664766466")</f>
        <v/>
      </c>
      <c r="B87" s="2" t="n">
        <v>43244.68280092593</v>
      </c>
      <c r="C87" t="n">
        <v>2</v>
      </c>
      <c r="D87" t="n">
        <v>1</v>
      </c>
      <c r="E87" t="s">
        <v>98</v>
      </c>
      <c r="F87" t="s"/>
      <c r="G87" t="s"/>
      <c r="H87" t="s"/>
      <c r="I87" t="s"/>
      <c r="J87" t="n">
        <v>-0.3164</v>
      </c>
      <c r="K87" t="n">
        <v>0.109</v>
      </c>
      <c r="L87" t="n">
        <v>0.821</v>
      </c>
      <c r="M87" t="n">
        <v>0.07000000000000001</v>
      </c>
    </row>
    <row r="88" spans="1:13">
      <c r="A88" s="1">
        <f>HYPERLINK("http://www.twitter.com/NathanBLawrence/status/999686944840970241", "999686944840970241")</f>
        <v/>
      </c>
      <c r="B88" s="2" t="n">
        <v>43244.68188657407</v>
      </c>
      <c r="C88" t="n">
        <v>3</v>
      </c>
      <c r="D88" t="n">
        <v>1</v>
      </c>
      <c r="E88" t="s">
        <v>99</v>
      </c>
      <c r="F88" t="s"/>
      <c r="G88" t="s"/>
      <c r="H88" t="s"/>
      <c r="I88" t="s"/>
      <c r="J88" t="n">
        <v>-0.5994</v>
      </c>
      <c r="K88" t="n">
        <v>0.121</v>
      </c>
      <c r="L88" t="n">
        <v>0.879</v>
      </c>
      <c r="M88" t="n">
        <v>0</v>
      </c>
    </row>
    <row r="89" spans="1:13">
      <c r="A89" s="1">
        <f>HYPERLINK("http://www.twitter.com/NathanBLawrence/status/999686416434106368", "999686416434106368")</f>
        <v/>
      </c>
      <c r="B89" s="2" t="n">
        <v>43244.68042824074</v>
      </c>
      <c r="C89" t="n">
        <v>0</v>
      </c>
      <c r="D89" t="n">
        <v>0</v>
      </c>
      <c r="E89" t="s">
        <v>100</v>
      </c>
      <c r="F89" t="s"/>
      <c r="G89" t="s"/>
      <c r="H89" t="s"/>
      <c r="I89" t="s"/>
      <c r="J89" t="n">
        <v>-0.8222</v>
      </c>
      <c r="K89" t="n">
        <v>0.258</v>
      </c>
      <c r="L89" t="n">
        <v>0.642</v>
      </c>
      <c r="M89" t="n">
        <v>0.1</v>
      </c>
    </row>
    <row r="90" spans="1:13">
      <c r="A90" s="1">
        <f>HYPERLINK("http://www.twitter.com/NathanBLawrence/status/999685848848371712", "999685848848371712")</f>
        <v/>
      </c>
      <c r="B90" s="2" t="n">
        <v>43244.67886574074</v>
      </c>
      <c r="C90" t="n">
        <v>0</v>
      </c>
      <c r="D90" t="n">
        <v>11</v>
      </c>
      <c r="E90" t="s">
        <v>41</v>
      </c>
      <c r="F90">
        <f>HYPERLINK("http://pbs.twimg.com/media/Dd-WiA3UwAAjJCx.jpg", "http://pbs.twimg.com/media/Dd-WiA3UwAAjJCx.jpg")</f>
        <v/>
      </c>
      <c r="G90" t="s"/>
      <c r="H90" t="s"/>
      <c r="I90" t="s"/>
      <c r="J90" t="n">
        <v>0</v>
      </c>
      <c r="K90" t="n">
        <v>0</v>
      </c>
      <c r="L90" t="n">
        <v>1</v>
      </c>
      <c r="M90" t="n">
        <v>0</v>
      </c>
    </row>
    <row r="91" spans="1:13">
      <c r="A91" s="1">
        <f>HYPERLINK("http://www.twitter.com/NathanBLawrence/status/999683731907543042", "999683731907543042")</f>
        <v/>
      </c>
      <c r="B91" s="2" t="n">
        <v>43244.67302083333</v>
      </c>
      <c r="C91" t="n">
        <v>5</v>
      </c>
      <c r="D91" t="n">
        <v>3</v>
      </c>
      <c r="E91" t="s">
        <v>101</v>
      </c>
      <c r="F91" t="s"/>
      <c r="G91" t="s"/>
      <c r="H91" t="s"/>
      <c r="I91" t="s"/>
      <c r="J91" t="n">
        <v>0</v>
      </c>
      <c r="K91" t="n">
        <v>0</v>
      </c>
      <c r="L91" t="n">
        <v>1</v>
      </c>
      <c r="M91" t="n">
        <v>0</v>
      </c>
    </row>
    <row r="92" spans="1:13">
      <c r="A92" s="1">
        <f>HYPERLINK("http://www.twitter.com/NathanBLawrence/status/999683510632878080", "999683510632878080")</f>
        <v/>
      </c>
      <c r="B92" s="2" t="n">
        <v>43244.67240740741</v>
      </c>
      <c r="C92" t="n">
        <v>4</v>
      </c>
      <c r="D92" t="n">
        <v>3</v>
      </c>
      <c r="E92" t="s">
        <v>60</v>
      </c>
      <c r="F92" t="s"/>
      <c r="G92" t="s"/>
      <c r="H92" t="s"/>
      <c r="I92" t="s"/>
      <c r="J92" t="n">
        <v>0</v>
      </c>
      <c r="K92" t="n">
        <v>0</v>
      </c>
      <c r="L92" t="n">
        <v>1</v>
      </c>
      <c r="M92" t="n">
        <v>0</v>
      </c>
    </row>
    <row r="93" spans="1:13">
      <c r="A93" s="1">
        <f>HYPERLINK("http://www.twitter.com/NathanBLawrence/status/999683162006540288", "999683162006540288")</f>
        <v/>
      </c>
      <c r="B93" s="2" t="n">
        <v>43244.67144675926</v>
      </c>
      <c r="C93" t="n">
        <v>17</v>
      </c>
      <c r="D93" t="n">
        <v>11</v>
      </c>
      <c r="E93" t="s">
        <v>102</v>
      </c>
      <c r="F93">
        <f>HYPERLINK("http://pbs.twimg.com/media/Dd-WiA3UwAAjJCx.jpg", "http://pbs.twimg.com/media/Dd-WiA3UwAAjJCx.jpg")</f>
        <v/>
      </c>
      <c r="G93" t="s"/>
      <c r="H93" t="s"/>
      <c r="I93" t="s"/>
      <c r="J93" t="n">
        <v>-0.3612</v>
      </c>
      <c r="K93" t="n">
        <v>0.067</v>
      </c>
      <c r="L93" t="n">
        <v>0.9330000000000001</v>
      </c>
      <c r="M93" t="n">
        <v>0</v>
      </c>
    </row>
    <row r="94" spans="1:13">
      <c r="A94" s="1">
        <f>HYPERLINK("http://www.twitter.com/NathanBLawrence/status/999646642876964864", "999646642876964864")</f>
        <v/>
      </c>
      <c r="B94" s="2" t="n">
        <v>43244.57067129629</v>
      </c>
      <c r="C94" t="n">
        <v>0</v>
      </c>
      <c r="D94" t="n">
        <v>8</v>
      </c>
      <c r="E94" t="s">
        <v>103</v>
      </c>
      <c r="F94" t="s"/>
      <c r="G94" t="s"/>
      <c r="H94" t="s"/>
      <c r="I94" t="s"/>
      <c r="J94" t="n">
        <v>0.296</v>
      </c>
      <c r="K94" t="n">
        <v>0</v>
      </c>
      <c r="L94" t="n">
        <v>0.909</v>
      </c>
      <c r="M94" t="n">
        <v>0.091</v>
      </c>
    </row>
    <row r="95" spans="1:13">
      <c r="A95" s="1">
        <f>HYPERLINK("http://www.twitter.com/NathanBLawrence/status/999642244679458817", "999642244679458817")</f>
        <v/>
      </c>
      <c r="B95" s="2" t="n">
        <v>43244.55854166667</v>
      </c>
      <c r="C95" t="n">
        <v>0</v>
      </c>
      <c r="D95" t="n">
        <v>14</v>
      </c>
      <c r="E95" t="s">
        <v>104</v>
      </c>
      <c r="F95">
        <f>HYPERLINK("https://video.twimg.com/ext_tw_video/999462352360624128/pu/vid/720x1280/SCQ4XXBbJj3kfnhi.mp4?tag=3", "https://video.twimg.com/ext_tw_video/999462352360624128/pu/vid/720x1280/SCQ4XXBbJj3kfnhi.mp4?tag=3")</f>
        <v/>
      </c>
      <c r="G95" t="s"/>
      <c r="H95" t="s"/>
      <c r="I95" t="s"/>
      <c r="J95" t="n">
        <v>0.2638</v>
      </c>
      <c r="K95" t="n">
        <v>0.095</v>
      </c>
      <c r="L95" t="n">
        <v>0.774</v>
      </c>
      <c r="M95" t="n">
        <v>0.131</v>
      </c>
    </row>
    <row r="96" spans="1:13">
      <c r="A96" s="1">
        <f>HYPERLINK("http://www.twitter.com/NathanBLawrence/status/999641821205680128", "999641821205680128")</f>
        <v/>
      </c>
      <c r="B96" s="2" t="n">
        <v>43244.55737268519</v>
      </c>
      <c r="C96" t="n">
        <v>0</v>
      </c>
      <c r="D96" t="n">
        <v>6</v>
      </c>
      <c r="E96" t="s">
        <v>105</v>
      </c>
      <c r="F96" t="s"/>
      <c r="G96" t="s"/>
      <c r="H96" t="s"/>
      <c r="I96" t="s"/>
      <c r="J96" t="n">
        <v>0.3612</v>
      </c>
      <c r="K96" t="n">
        <v>0.078</v>
      </c>
      <c r="L96" t="n">
        <v>0.779</v>
      </c>
      <c r="M96" t="n">
        <v>0.143</v>
      </c>
    </row>
    <row r="97" spans="1:13">
      <c r="A97" s="1">
        <f>HYPERLINK("http://www.twitter.com/NathanBLawrence/status/999641731787317254", "999641731787317254")</f>
        <v/>
      </c>
      <c r="B97" s="2" t="n">
        <v>43244.55711805556</v>
      </c>
      <c r="C97" t="n">
        <v>0</v>
      </c>
      <c r="D97" t="n">
        <v>3</v>
      </c>
      <c r="E97" t="s">
        <v>106</v>
      </c>
      <c r="F97" t="s"/>
      <c r="G97" t="s"/>
      <c r="H97" t="s"/>
      <c r="I97" t="s"/>
      <c r="J97" t="n">
        <v>-0.8101</v>
      </c>
      <c r="K97" t="n">
        <v>0.315</v>
      </c>
      <c r="L97" t="n">
        <v>0.6850000000000001</v>
      </c>
      <c r="M97" t="n">
        <v>0</v>
      </c>
    </row>
    <row r="98" spans="1:13">
      <c r="A98" s="1">
        <f>HYPERLINK("http://www.twitter.com/NathanBLawrence/status/999532936952246272", "999532936952246272")</f>
        <v/>
      </c>
      <c r="B98" s="2" t="n">
        <v>43244.25690972222</v>
      </c>
      <c r="C98" t="n">
        <v>0</v>
      </c>
      <c r="D98" t="n">
        <v>2</v>
      </c>
      <c r="E98" t="s">
        <v>107</v>
      </c>
      <c r="F98">
        <f>HYPERLINK("http://pbs.twimg.com/media/Dd76ektV4AE19Om.jpg", "http://pbs.twimg.com/media/Dd76ektV4AE19Om.jpg")</f>
        <v/>
      </c>
      <c r="G98" t="s"/>
      <c r="H98" t="s"/>
      <c r="I98" t="s"/>
      <c r="J98" t="n">
        <v>0</v>
      </c>
      <c r="K98" t="n">
        <v>0</v>
      </c>
      <c r="L98" t="n">
        <v>1</v>
      </c>
      <c r="M98" t="n">
        <v>0</v>
      </c>
    </row>
    <row r="99" spans="1:13">
      <c r="A99" s="1">
        <f>HYPERLINK("http://www.twitter.com/NathanBLawrence/status/999532912386150400", "999532912386150400")</f>
        <v/>
      </c>
      <c r="B99" s="2" t="n">
        <v>43244.25684027778</v>
      </c>
      <c r="C99" t="n">
        <v>1</v>
      </c>
      <c r="D99" t="n">
        <v>1</v>
      </c>
      <c r="E99" t="s">
        <v>108</v>
      </c>
      <c r="F99" t="s"/>
      <c r="G99" t="s"/>
      <c r="H99" t="s"/>
      <c r="I99" t="s"/>
      <c r="J99" t="n">
        <v>-0.8519</v>
      </c>
      <c r="K99" t="n">
        <v>0.259</v>
      </c>
      <c r="L99" t="n">
        <v>0.679</v>
      </c>
      <c r="M99" t="n">
        <v>0.062</v>
      </c>
    </row>
    <row r="100" spans="1:13">
      <c r="A100" s="1">
        <f>HYPERLINK("http://www.twitter.com/NathanBLawrence/status/999532499515650048", "999532499515650048")</f>
        <v/>
      </c>
      <c r="B100" s="2" t="n">
        <v>43244.25569444444</v>
      </c>
      <c r="C100" t="n">
        <v>0</v>
      </c>
      <c r="D100" t="n">
        <v>193</v>
      </c>
      <c r="E100" t="s">
        <v>109</v>
      </c>
      <c r="F100" t="s"/>
      <c r="G100" t="s"/>
      <c r="H100" t="s"/>
      <c r="I100" t="s"/>
      <c r="J100" t="n">
        <v>0.6597</v>
      </c>
      <c r="K100" t="n">
        <v>0</v>
      </c>
      <c r="L100" t="n">
        <v>0.795</v>
      </c>
      <c r="M100" t="n">
        <v>0.205</v>
      </c>
    </row>
    <row r="101" spans="1:13">
      <c r="A101" s="1">
        <f>HYPERLINK("http://www.twitter.com/NathanBLawrence/status/999532446990438400", "999532446990438400")</f>
        <v/>
      </c>
      <c r="B101" s="2" t="n">
        <v>43244.25555555556</v>
      </c>
      <c r="C101" t="n">
        <v>0</v>
      </c>
      <c r="D101" t="n">
        <v>17</v>
      </c>
      <c r="E101" t="s">
        <v>110</v>
      </c>
      <c r="F101">
        <f>HYPERLINK("https://video.twimg.com/ext_tw_video/999501144631095296/pu/vid/1280x720/dxrJUbrzBkG-T6g9.mp4?tag=3", "https://video.twimg.com/ext_tw_video/999501144631095296/pu/vid/1280x720/dxrJUbrzBkG-T6g9.mp4?tag=3")</f>
        <v/>
      </c>
      <c r="G101" t="s"/>
      <c r="H101" t="s"/>
      <c r="I101" t="s"/>
      <c r="J101" t="n">
        <v>0.7955</v>
      </c>
      <c r="K101" t="n">
        <v>0</v>
      </c>
      <c r="L101" t="n">
        <v>0.738</v>
      </c>
      <c r="M101" t="n">
        <v>0.262</v>
      </c>
    </row>
    <row r="102" spans="1:13">
      <c r="A102" s="1">
        <f>HYPERLINK("http://www.twitter.com/NathanBLawrence/status/999522647477227521", "999522647477227521")</f>
        <v/>
      </c>
      <c r="B102" s="2" t="n">
        <v>43244.22851851852</v>
      </c>
      <c r="C102" t="n">
        <v>0</v>
      </c>
      <c r="D102" t="n">
        <v>6</v>
      </c>
      <c r="E102" t="s">
        <v>111</v>
      </c>
      <c r="F102">
        <f>HYPERLINK("http://pbs.twimg.com/media/Dd7CFvwVwAAgbFd.jpg", "http://pbs.twimg.com/media/Dd7CFvwVwAAgbFd.jpg")</f>
        <v/>
      </c>
      <c r="G102" t="s"/>
      <c r="H102" t="s"/>
      <c r="I102" t="s"/>
      <c r="J102" t="n">
        <v>0</v>
      </c>
      <c r="K102" t="n">
        <v>0</v>
      </c>
      <c r="L102" t="n">
        <v>1</v>
      </c>
      <c r="M102" t="n">
        <v>0</v>
      </c>
    </row>
    <row r="103" spans="1:13">
      <c r="A103" s="1">
        <f>HYPERLINK("http://www.twitter.com/NathanBLawrence/status/999522595086176256", "999522595086176256")</f>
        <v/>
      </c>
      <c r="B103" s="2" t="n">
        <v>43244.22836805556</v>
      </c>
      <c r="C103" t="n">
        <v>0</v>
      </c>
      <c r="D103" t="n">
        <v>3</v>
      </c>
      <c r="E103" t="s">
        <v>112</v>
      </c>
      <c r="F103" t="s"/>
      <c r="G103" t="s"/>
      <c r="H103" t="s"/>
      <c r="I103" t="s"/>
      <c r="J103" t="n">
        <v>-0.2044</v>
      </c>
      <c r="K103" t="n">
        <v>0.091</v>
      </c>
      <c r="L103" t="n">
        <v>0.909</v>
      </c>
      <c r="M103" t="n">
        <v>0</v>
      </c>
    </row>
    <row r="104" spans="1:13">
      <c r="A104" s="1">
        <f>HYPERLINK("http://www.twitter.com/NathanBLawrence/status/999522319553966080", "999522319553966080")</f>
        <v/>
      </c>
      <c r="B104" s="2" t="n">
        <v>43244.22760416667</v>
      </c>
      <c r="C104" t="n">
        <v>0</v>
      </c>
      <c r="D104" t="n">
        <v>8</v>
      </c>
      <c r="E104" t="s">
        <v>113</v>
      </c>
      <c r="F104" t="s"/>
      <c r="G104" t="s"/>
      <c r="H104" t="s"/>
      <c r="I104" t="s"/>
      <c r="J104" t="n">
        <v>-0.6124000000000001</v>
      </c>
      <c r="K104" t="n">
        <v>0.257</v>
      </c>
      <c r="L104" t="n">
        <v>0.66</v>
      </c>
      <c r="M104" t="n">
        <v>0.083</v>
      </c>
    </row>
    <row r="105" spans="1:13">
      <c r="A105" s="1">
        <f>HYPERLINK("http://www.twitter.com/NathanBLawrence/status/999522258241630208", "999522258241630208")</f>
        <v/>
      </c>
      <c r="B105" s="2" t="n">
        <v>43244.22744212963</v>
      </c>
      <c r="C105" t="n">
        <v>0</v>
      </c>
      <c r="D105" t="n">
        <v>1</v>
      </c>
      <c r="E105" t="s">
        <v>114</v>
      </c>
      <c r="F105" t="s"/>
      <c r="G105" t="s"/>
      <c r="H105" t="s"/>
      <c r="I105" t="s"/>
      <c r="J105" t="n">
        <v>0</v>
      </c>
      <c r="K105" t="n">
        <v>0</v>
      </c>
      <c r="L105" t="n">
        <v>1</v>
      </c>
      <c r="M105" t="n">
        <v>0</v>
      </c>
    </row>
    <row r="106" spans="1:13">
      <c r="A106" s="1">
        <f>HYPERLINK("http://www.twitter.com/NathanBLawrence/status/999522138691338240", "999522138691338240")</f>
        <v/>
      </c>
      <c r="B106" s="2" t="n">
        <v>43244.22710648148</v>
      </c>
      <c r="C106" t="n">
        <v>0</v>
      </c>
      <c r="D106" t="n">
        <v>43</v>
      </c>
      <c r="E106" t="s">
        <v>115</v>
      </c>
      <c r="F106" t="s"/>
      <c r="G106" t="s"/>
      <c r="H106" t="s"/>
      <c r="I106" t="s"/>
      <c r="J106" t="n">
        <v>0.296</v>
      </c>
      <c r="K106" t="n">
        <v>0</v>
      </c>
      <c r="L106" t="n">
        <v>0.885</v>
      </c>
      <c r="M106" t="n">
        <v>0.115</v>
      </c>
    </row>
    <row r="107" spans="1:13">
      <c r="A107" s="1">
        <f>HYPERLINK("http://www.twitter.com/NathanBLawrence/status/999522129510006785", "999522129510006785")</f>
        <v/>
      </c>
      <c r="B107" s="2" t="n">
        <v>43244.22708333333</v>
      </c>
      <c r="C107" t="n">
        <v>0</v>
      </c>
      <c r="D107" t="n">
        <v>82</v>
      </c>
      <c r="E107" t="s">
        <v>116</v>
      </c>
      <c r="F107" t="s"/>
      <c r="G107" t="s"/>
      <c r="H107" t="s"/>
      <c r="I107" t="s"/>
      <c r="J107" t="n">
        <v>-0.6705</v>
      </c>
      <c r="K107" t="n">
        <v>0.44</v>
      </c>
      <c r="L107" t="n">
        <v>0.5600000000000001</v>
      </c>
      <c r="M107" t="n">
        <v>0</v>
      </c>
    </row>
    <row r="108" spans="1:13">
      <c r="A108" s="1">
        <f>HYPERLINK("http://www.twitter.com/NathanBLawrence/status/999522109683585024", "999522109683585024")</f>
        <v/>
      </c>
      <c r="B108" s="2" t="n">
        <v>43244.22702546296</v>
      </c>
      <c r="C108" t="n">
        <v>0</v>
      </c>
      <c r="D108" t="n">
        <v>261</v>
      </c>
      <c r="E108" t="s">
        <v>117</v>
      </c>
      <c r="F108" t="s"/>
      <c r="G108" t="s"/>
      <c r="H108" t="s"/>
      <c r="I108" t="s"/>
      <c r="J108" t="n">
        <v>-0.5574</v>
      </c>
      <c r="K108" t="n">
        <v>0.266</v>
      </c>
      <c r="L108" t="n">
        <v>0.629</v>
      </c>
      <c r="M108" t="n">
        <v>0.105</v>
      </c>
    </row>
    <row r="109" spans="1:13">
      <c r="A109" s="1">
        <f>HYPERLINK("http://www.twitter.com/NathanBLawrence/status/999487910259904512", "999487910259904512")</f>
        <v/>
      </c>
      <c r="B109" s="2" t="n">
        <v>43244.13266203704</v>
      </c>
      <c r="C109" t="n">
        <v>0</v>
      </c>
      <c r="D109" t="n">
        <v>0</v>
      </c>
      <c r="E109" t="s">
        <v>118</v>
      </c>
      <c r="F109" t="s"/>
      <c r="G109" t="s"/>
      <c r="H109" t="s"/>
      <c r="I109" t="s"/>
      <c r="J109" t="n">
        <v>0.3612</v>
      </c>
      <c r="K109" t="n">
        <v>0</v>
      </c>
      <c r="L109" t="n">
        <v>0.762</v>
      </c>
      <c r="M109" t="n">
        <v>0.238</v>
      </c>
    </row>
    <row r="110" spans="1:13">
      <c r="A110" s="1">
        <f>HYPERLINK("http://www.twitter.com/NathanBLawrence/status/999481486486188032", "999481486486188032")</f>
        <v/>
      </c>
      <c r="B110" s="2" t="n">
        <v>43244.11493055556</v>
      </c>
      <c r="C110" t="n">
        <v>0</v>
      </c>
      <c r="D110" t="n">
        <v>12</v>
      </c>
      <c r="E110" t="s">
        <v>119</v>
      </c>
      <c r="F110" t="s"/>
      <c r="G110" t="s"/>
      <c r="H110" t="s"/>
      <c r="I110" t="s"/>
      <c r="J110" t="n">
        <v>0</v>
      </c>
      <c r="K110" t="n">
        <v>0</v>
      </c>
      <c r="L110" t="n">
        <v>1</v>
      </c>
      <c r="M110" t="n">
        <v>0</v>
      </c>
    </row>
    <row r="111" spans="1:13">
      <c r="A111" s="1">
        <f>HYPERLINK("http://www.twitter.com/NathanBLawrence/status/999481388482080769", "999481388482080769")</f>
        <v/>
      </c>
      <c r="B111" s="2" t="n">
        <v>43244.11466435185</v>
      </c>
      <c r="C111" t="n">
        <v>0</v>
      </c>
      <c r="D111" t="n">
        <v>14</v>
      </c>
      <c r="E111" t="s">
        <v>120</v>
      </c>
      <c r="F111">
        <f>HYPERLINK("http://pbs.twimg.com/media/Dd7Drp9V0AAc5NP.jpg", "http://pbs.twimg.com/media/Dd7Drp9V0AAc5NP.jpg")</f>
        <v/>
      </c>
      <c r="G111" t="s"/>
      <c r="H111" t="s"/>
      <c r="I111" t="s"/>
      <c r="J111" t="n">
        <v>0</v>
      </c>
      <c r="K111" t="n">
        <v>0</v>
      </c>
      <c r="L111" t="n">
        <v>1</v>
      </c>
      <c r="M111" t="n">
        <v>0</v>
      </c>
    </row>
    <row r="112" spans="1:13">
      <c r="A112" s="1">
        <f>HYPERLINK("http://www.twitter.com/NathanBLawrence/status/999481359969243136", "999481359969243136")</f>
        <v/>
      </c>
      <c r="B112" s="2" t="n">
        <v>43244.11458333334</v>
      </c>
      <c r="C112" t="n">
        <v>0</v>
      </c>
      <c r="D112" t="n">
        <v>6</v>
      </c>
      <c r="E112" t="s">
        <v>121</v>
      </c>
      <c r="F112" t="s"/>
      <c r="G112" t="s"/>
      <c r="H112" t="s"/>
      <c r="I112" t="s"/>
      <c r="J112" t="n">
        <v>-0.296</v>
      </c>
      <c r="K112" t="n">
        <v>0.091</v>
      </c>
      <c r="L112" t="n">
        <v>0.909</v>
      </c>
      <c r="M112" t="n">
        <v>0</v>
      </c>
    </row>
    <row r="113" spans="1:13">
      <c r="A113" s="1">
        <f>HYPERLINK("http://www.twitter.com/NathanBLawrence/status/999481346203553793", "999481346203553793")</f>
        <v/>
      </c>
      <c r="B113" s="2" t="n">
        <v>43244.11454861111</v>
      </c>
      <c r="C113" t="n">
        <v>0</v>
      </c>
      <c r="D113" t="n">
        <v>5</v>
      </c>
      <c r="E113" t="s">
        <v>122</v>
      </c>
      <c r="F113" t="s"/>
      <c r="G113" t="s"/>
      <c r="H113" t="s"/>
      <c r="I113" t="s"/>
      <c r="J113" t="n">
        <v>-0.2732</v>
      </c>
      <c r="K113" t="n">
        <v>0.231</v>
      </c>
      <c r="L113" t="n">
        <v>0.769</v>
      </c>
      <c r="M113" t="n">
        <v>0</v>
      </c>
    </row>
    <row r="114" spans="1:13">
      <c r="A114" s="1">
        <f>HYPERLINK("http://www.twitter.com/NathanBLawrence/status/999481317896138752", "999481317896138752")</f>
        <v/>
      </c>
      <c r="B114" s="2" t="n">
        <v>43244.11446759259</v>
      </c>
      <c r="C114" t="n">
        <v>0</v>
      </c>
      <c r="D114" t="n">
        <v>5</v>
      </c>
      <c r="E114" t="s">
        <v>123</v>
      </c>
      <c r="F114" t="s"/>
      <c r="G114" t="s"/>
      <c r="H114" t="s"/>
      <c r="I114" t="s"/>
      <c r="J114" t="n">
        <v>0.34</v>
      </c>
      <c r="K114" t="n">
        <v>0.05</v>
      </c>
      <c r="L114" t="n">
        <v>0.8080000000000001</v>
      </c>
      <c r="M114" t="n">
        <v>0.142</v>
      </c>
    </row>
    <row r="115" spans="1:13">
      <c r="A115" s="1">
        <f>HYPERLINK("http://www.twitter.com/NathanBLawrence/status/999481303765540864", "999481303765540864")</f>
        <v/>
      </c>
      <c r="B115" s="2" t="n">
        <v>43244.1144212963</v>
      </c>
      <c r="C115" t="n">
        <v>0</v>
      </c>
      <c r="D115" t="n">
        <v>4</v>
      </c>
      <c r="E115" t="s">
        <v>124</v>
      </c>
      <c r="F115" t="s"/>
      <c r="G115" t="s"/>
      <c r="H115" t="s"/>
      <c r="I115" t="s"/>
      <c r="J115" t="n">
        <v>0</v>
      </c>
      <c r="K115" t="n">
        <v>0</v>
      </c>
      <c r="L115" t="n">
        <v>1</v>
      </c>
      <c r="M115" t="n">
        <v>0</v>
      </c>
    </row>
    <row r="116" spans="1:13">
      <c r="A116" s="1">
        <f>HYPERLINK("http://www.twitter.com/NathanBLawrence/status/999481254264393728", "999481254264393728")</f>
        <v/>
      </c>
      <c r="B116" s="2" t="n">
        <v>43244.11429398148</v>
      </c>
      <c r="C116" t="n">
        <v>0</v>
      </c>
      <c r="D116" t="n">
        <v>7</v>
      </c>
      <c r="E116" t="s">
        <v>125</v>
      </c>
      <c r="F116" t="s"/>
      <c r="G116" t="s"/>
      <c r="H116" t="s"/>
      <c r="I116" t="s"/>
      <c r="J116" t="n">
        <v>0</v>
      </c>
      <c r="K116" t="n">
        <v>0</v>
      </c>
      <c r="L116" t="n">
        <v>1</v>
      </c>
      <c r="M116" t="n">
        <v>0</v>
      </c>
    </row>
    <row r="117" spans="1:13">
      <c r="A117" s="1">
        <f>HYPERLINK("http://www.twitter.com/NathanBLawrence/status/999480007104847872", "999480007104847872")</f>
        <v/>
      </c>
      <c r="B117" s="2" t="n">
        <v>43244.11084490741</v>
      </c>
      <c r="C117" t="n">
        <v>0</v>
      </c>
      <c r="D117" t="n">
        <v>4</v>
      </c>
      <c r="E117" t="s">
        <v>126</v>
      </c>
      <c r="F117" t="s"/>
      <c r="G117" t="s"/>
      <c r="H117" t="s"/>
      <c r="I117" t="s"/>
      <c r="J117" t="n">
        <v>0</v>
      </c>
      <c r="K117" t="n">
        <v>0</v>
      </c>
      <c r="L117" t="n">
        <v>1</v>
      </c>
      <c r="M117" t="n">
        <v>0</v>
      </c>
    </row>
    <row r="118" spans="1:13">
      <c r="A118" s="1">
        <f>HYPERLINK("http://www.twitter.com/NathanBLawrence/status/999462735762153473", "999462735762153473")</f>
        <v/>
      </c>
      <c r="B118" s="2" t="n">
        <v>43244.06318287037</v>
      </c>
      <c r="C118" t="n">
        <v>0</v>
      </c>
      <c r="D118" t="n">
        <v>25</v>
      </c>
      <c r="E118" t="s">
        <v>76</v>
      </c>
      <c r="F118">
        <f>HYPERLINK("http://pbs.twimg.com/media/Dd7MpGBVwAEJhql.jpg", "http://pbs.twimg.com/media/Dd7MpGBVwAEJhql.jpg")</f>
        <v/>
      </c>
      <c r="G118" t="s"/>
      <c r="H118" t="s"/>
      <c r="I118" t="s"/>
      <c r="J118" t="n">
        <v>-0.6114000000000001</v>
      </c>
      <c r="K118" t="n">
        <v>0.148</v>
      </c>
      <c r="L118" t="n">
        <v>0.852</v>
      </c>
      <c r="M118" t="n">
        <v>0</v>
      </c>
    </row>
    <row r="119" spans="1:13">
      <c r="A119" s="1">
        <f>HYPERLINK("http://www.twitter.com/NathanBLawrence/status/999462640970846208", "999462640970846208")</f>
        <v/>
      </c>
      <c r="B119" s="2" t="n">
        <v>43244.06292824074</v>
      </c>
      <c r="C119" t="n">
        <v>0</v>
      </c>
      <c r="D119" t="n">
        <v>4</v>
      </c>
      <c r="E119" t="s">
        <v>127</v>
      </c>
      <c r="F119" t="s"/>
      <c r="G119" t="s"/>
      <c r="H119" t="s"/>
      <c r="I119" t="s"/>
      <c r="J119" t="n">
        <v>0</v>
      </c>
      <c r="K119" t="n">
        <v>0</v>
      </c>
      <c r="L119" t="n">
        <v>1</v>
      </c>
      <c r="M119" t="n">
        <v>0</v>
      </c>
    </row>
    <row r="120" spans="1:13">
      <c r="A120" s="1">
        <f>HYPERLINK("http://www.twitter.com/NathanBLawrence/status/999462442806792192", "999462442806792192")</f>
        <v/>
      </c>
      <c r="B120" s="2" t="n">
        <v>43244.06238425926</v>
      </c>
      <c r="C120" t="n">
        <v>19</v>
      </c>
      <c r="D120" t="n">
        <v>14</v>
      </c>
      <c r="E120" t="s">
        <v>128</v>
      </c>
      <c r="F120">
        <f>HYPERLINK("https://video.twimg.com/ext_tw_video/999462352360624128/pu/vid/720x1280/SCQ4XXBbJj3kfnhi.mp4?tag=3", "https://video.twimg.com/ext_tw_video/999462352360624128/pu/vid/720x1280/SCQ4XXBbJj3kfnhi.mp4?tag=3")</f>
        <v/>
      </c>
      <c r="G120" t="s"/>
      <c r="H120" t="s"/>
      <c r="I120" t="s"/>
      <c r="J120" t="n">
        <v>0.3905</v>
      </c>
      <c r="K120" t="n">
        <v>0.065</v>
      </c>
      <c r="L120" t="n">
        <v>0.831</v>
      </c>
      <c r="M120" t="n">
        <v>0.103</v>
      </c>
    </row>
    <row r="121" spans="1:13">
      <c r="A121" s="1">
        <f>HYPERLINK("http://www.twitter.com/NathanBLawrence/status/999461180807831553", "999461180807831553")</f>
        <v/>
      </c>
      <c r="B121" s="2" t="n">
        <v>43244.05890046297</v>
      </c>
      <c r="C121" t="n">
        <v>27</v>
      </c>
      <c r="D121" t="n">
        <v>25</v>
      </c>
      <c r="E121" t="s">
        <v>129</v>
      </c>
      <c r="F121">
        <f>HYPERLINK("http://pbs.twimg.com/media/Dd7MpGBVwAEJhql.jpg", "http://pbs.twimg.com/media/Dd7MpGBVwAEJhql.jpg")</f>
        <v/>
      </c>
      <c r="G121" t="s"/>
      <c r="H121" t="s"/>
      <c r="I121" t="s"/>
      <c r="J121" t="n">
        <v>-0.6114000000000001</v>
      </c>
      <c r="K121" t="n">
        <v>0.078</v>
      </c>
      <c r="L121" t="n">
        <v>0.922</v>
      </c>
      <c r="M121" t="n">
        <v>0</v>
      </c>
    </row>
    <row r="122" spans="1:13">
      <c r="A122" s="1">
        <f>HYPERLINK("http://www.twitter.com/NathanBLawrence/status/999460133292961792", "999460133292961792")</f>
        <v/>
      </c>
      <c r="B122" s="2" t="n">
        <v>43244.05600694445</v>
      </c>
      <c r="C122" t="n">
        <v>3</v>
      </c>
      <c r="D122" t="n">
        <v>1</v>
      </c>
      <c r="E122" t="s">
        <v>130</v>
      </c>
      <c r="F122">
        <f>HYPERLINK("http://pbs.twimg.com/media/Dd7Lr22V4AA03G_.jpg", "http://pbs.twimg.com/media/Dd7Lr22V4AA03G_.jpg")</f>
        <v/>
      </c>
      <c r="G122" t="s"/>
      <c r="H122" t="s"/>
      <c r="I122" t="s"/>
      <c r="J122" t="n">
        <v>0</v>
      </c>
      <c r="K122" t="n">
        <v>0</v>
      </c>
      <c r="L122" t="n">
        <v>1</v>
      </c>
      <c r="M122" t="n">
        <v>0</v>
      </c>
    </row>
    <row r="123" spans="1:13">
      <c r="A123" s="1">
        <f>HYPERLINK("http://www.twitter.com/NathanBLawrence/status/999448185708908547", "999448185708908547")</f>
        <v/>
      </c>
      <c r="B123" s="2" t="n">
        <v>43244.02303240741</v>
      </c>
      <c r="C123" t="n">
        <v>0</v>
      </c>
      <c r="D123" t="n">
        <v>0</v>
      </c>
      <c r="E123" t="s">
        <v>131</v>
      </c>
      <c r="F123">
        <f>HYPERLINK("http://pbs.twimg.com/media/Dd7A0i_V4AAE_-s.jpg", "http://pbs.twimg.com/media/Dd7A0i_V4AAE_-s.jpg")</f>
        <v/>
      </c>
      <c r="G123" t="s"/>
      <c r="H123" t="s"/>
      <c r="I123" t="s"/>
      <c r="J123" t="n">
        <v>0</v>
      </c>
      <c r="K123" t="n">
        <v>0</v>
      </c>
      <c r="L123" t="n">
        <v>1</v>
      </c>
      <c r="M123" t="n">
        <v>0</v>
      </c>
    </row>
    <row r="124" spans="1:13">
      <c r="A124" s="1">
        <f>HYPERLINK("http://www.twitter.com/NathanBLawrence/status/999435575529824257", "999435575529824257")</f>
        <v/>
      </c>
      <c r="B124" s="2" t="n">
        <v>43243.98824074074</v>
      </c>
      <c r="C124" t="n">
        <v>1</v>
      </c>
      <c r="D124" t="n">
        <v>0</v>
      </c>
      <c r="E124" t="s">
        <v>132</v>
      </c>
      <c r="F124" t="s"/>
      <c r="G124" t="s"/>
      <c r="H124" t="s"/>
      <c r="I124" t="s"/>
      <c r="J124" t="n">
        <v>0.4019</v>
      </c>
      <c r="K124" t="n">
        <v>0</v>
      </c>
      <c r="L124" t="n">
        <v>0.769</v>
      </c>
      <c r="M124" t="n">
        <v>0.231</v>
      </c>
    </row>
    <row r="125" spans="1:13">
      <c r="A125" s="1">
        <f>HYPERLINK("http://www.twitter.com/NathanBLawrence/status/999435486518235136", "999435486518235136")</f>
        <v/>
      </c>
      <c r="B125" s="2" t="n">
        <v>43243.98799768519</v>
      </c>
      <c r="C125" t="n">
        <v>0</v>
      </c>
      <c r="D125" t="n">
        <v>13</v>
      </c>
      <c r="E125" t="s">
        <v>133</v>
      </c>
      <c r="F125" t="s"/>
      <c r="G125" t="s"/>
      <c r="H125" t="s"/>
      <c r="I125" t="s"/>
      <c r="J125" t="n">
        <v>0</v>
      </c>
      <c r="K125" t="n">
        <v>0</v>
      </c>
      <c r="L125" t="n">
        <v>1</v>
      </c>
      <c r="M125" t="n">
        <v>0</v>
      </c>
    </row>
    <row r="126" spans="1:13">
      <c r="A126" s="1">
        <f>HYPERLINK("http://www.twitter.com/NathanBLawrence/status/999433797950197760", "999433797950197760")</f>
        <v/>
      </c>
      <c r="B126" s="2" t="n">
        <v>43243.98333333333</v>
      </c>
      <c r="C126" t="n">
        <v>3</v>
      </c>
      <c r="D126" t="n">
        <v>1</v>
      </c>
      <c r="E126" t="s">
        <v>134</v>
      </c>
      <c r="F126" t="s"/>
      <c r="G126" t="s"/>
      <c r="H126" t="s"/>
      <c r="I126" t="s"/>
      <c r="J126" t="n">
        <v>-0.128</v>
      </c>
      <c r="K126" t="n">
        <v>0.104</v>
      </c>
      <c r="L126" t="n">
        <v>0.8080000000000001</v>
      </c>
      <c r="M126" t="n">
        <v>0.08799999999999999</v>
      </c>
    </row>
    <row r="127" spans="1:13">
      <c r="A127" s="1">
        <f>HYPERLINK("http://www.twitter.com/NathanBLawrence/status/999433606018879490", "999433606018879490")</f>
        <v/>
      </c>
      <c r="B127" s="2" t="n">
        <v>43243.98280092593</v>
      </c>
      <c r="C127" t="n">
        <v>2</v>
      </c>
      <c r="D127" t="n">
        <v>1</v>
      </c>
      <c r="E127" t="s">
        <v>135</v>
      </c>
      <c r="F127" t="s"/>
      <c r="G127" t="s"/>
      <c r="H127" t="s"/>
      <c r="I127" t="s"/>
      <c r="J127" t="n">
        <v>0.9527</v>
      </c>
      <c r="K127" t="n">
        <v>0.051</v>
      </c>
      <c r="L127" t="n">
        <v>0.675</v>
      </c>
      <c r="M127" t="n">
        <v>0.273</v>
      </c>
    </row>
    <row r="128" spans="1:13">
      <c r="A128" s="1">
        <f>HYPERLINK("http://www.twitter.com/NathanBLawrence/status/999429605776920576", "999429605776920576")</f>
        <v/>
      </c>
      <c r="B128" s="2" t="n">
        <v>43243.97177083333</v>
      </c>
      <c r="C128" t="n">
        <v>0</v>
      </c>
      <c r="D128" t="n">
        <v>8</v>
      </c>
      <c r="E128" t="s">
        <v>136</v>
      </c>
      <c r="F128">
        <f>HYPERLINK("http://pbs.twimg.com/media/Dd6rayhVMAA2a9E.jpg", "http://pbs.twimg.com/media/Dd6rayhVMAA2a9E.jpg")</f>
        <v/>
      </c>
      <c r="G128" t="s"/>
      <c r="H128" t="s"/>
      <c r="I128" t="s"/>
      <c r="J128" t="n">
        <v>-0.5147</v>
      </c>
      <c r="K128" t="n">
        <v>0.126</v>
      </c>
      <c r="L128" t="n">
        <v>0.874</v>
      </c>
      <c r="M128" t="n">
        <v>0</v>
      </c>
    </row>
    <row r="129" spans="1:13">
      <c r="A129" s="1">
        <f>HYPERLINK("http://www.twitter.com/NathanBLawrence/status/999429553746530304", "999429553746530304")</f>
        <v/>
      </c>
      <c r="B129" s="2" t="n">
        <v>43243.97162037037</v>
      </c>
      <c r="C129" t="n">
        <v>0</v>
      </c>
      <c r="D129" t="n">
        <v>40</v>
      </c>
      <c r="E129" t="s">
        <v>137</v>
      </c>
      <c r="F129">
        <f>HYPERLINK("http://pbs.twimg.com/media/Dd6WHEGVMAAQ3V8.jpg", "http://pbs.twimg.com/media/Dd6WHEGVMAAQ3V8.jpg")</f>
        <v/>
      </c>
      <c r="G129" t="s"/>
      <c r="H129" t="s"/>
      <c r="I129" t="s"/>
      <c r="J129" t="n">
        <v>0.6597</v>
      </c>
      <c r="K129" t="n">
        <v>0</v>
      </c>
      <c r="L129" t="n">
        <v>0.795</v>
      </c>
      <c r="M129" t="n">
        <v>0.205</v>
      </c>
    </row>
    <row r="130" spans="1:13">
      <c r="A130" s="1">
        <f>HYPERLINK("http://www.twitter.com/NathanBLawrence/status/999429533827846145", "999429533827846145")</f>
        <v/>
      </c>
      <c r="B130" s="2" t="n">
        <v>43243.97157407407</v>
      </c>
      <c r="C130" t="n">
        <v>4</v>
      </c>
      <c r="D130" t="n">
        <v>3</v>
      </c>
      <c r="E130" t="s">
        <v>138</v>
      </c>
      <c r="F130" t="s"/>
      <c r="G130" t="s"/>
      <c r="H130" t="s"/>
      <c r="I130" t="s"/>
      <c r="J130" t="n">
        <v>0</v>
      </c>
      <c r="K130" t="n">
        <v>0</v>
      </c>
      <c r="L130" t="n">
        <v>1</v>
      </c>
      <c r="M130" t="n">
        <v>0</v>
      </c>
    </row>
    <row r="131" spans="1:13">
      <c r="A131" s="1">
        <f>HYPERLINK("http://www.twitter.com/NathanBLawrence/status/999429329783320576", "999429329783320576")</f>
        <v/>
      </c>
      <c r="B131" s="2" t="n">
        <v>43243.97100694444</v>
      </c>
      <c r="C131" t="n">
        <v>2</v>
      </c>
      <c r="D131" t="n">
        <v>0</v>
      </c>
      <c r="E131" t="s">
        <v>139</v>
      </c>
      <c r="F131">
        <f>HYPERLINK("http://pbs.twimg.com/media/Dd6vq4qV0AAO4Ma.jpg", "http://pbs.twimg.com/media/Dd6vq4qV0AAO4Ma.jpg")</f>
        <v/>
      </c>
      <c r="G131" t="s"/>
      <c r="H131" t="s"/>
      <c r="I131" t="s"/>
      <c r="J131" t="n">
        <v>0</v>
      </c>
      <c r="K131" t="n">
        <v>0</v>
      </c>
      <c r="L131" t="n">
        <v>1</v>
      </c>
      <c r="M131" t="n">
        <v>0</v>
      </c>
    </row>
    <row r="132" spans="1:13">
      <c r="A132" s="1">
        <f>HYPERLINK("http://www.twitter.com/NathanBLawrence/status/999429092071084033", "999429092071084033")</f>
        <v/>
      </c>
      <c r="B132" s="2" t="n">
        <v>43243.97034722222</v>
      </c>
      <c r="C132" t="n">
        <v>1</v>
      </c>
      <c r="D132" t="n">
        <v>0</v>
      </c>
      <c r="E132" t="s">
        <v>140</v>
      </c>
      <c r="F132" t="s"/>
      <c r="G132" t="s"/>
      <c r="H132" t="s"/>
      <c r="I132" t="s"/>
      <c r="J132" t="n">
        <v>-0.5707</v>
      </c>
      <c r="K132" t="n">
        <v>0.118</v>
      </c>
      <c r="L132" t="n">
        <v>0.835</v>
      </c>
      <c r="M132" t="n">
        <v>0.047</v>
      </c>
    </row>
    <row r="133" spans="1:13">
      <c r="A133" s="1">
        <f>HYPERLINK("http://www.twitter.com/NathanBLawrence/status/999428018555760640", "999428018555760640")</f>
        <v/>
      </c>
      <c r="B133" s="2" t="n">
        <v>43243.96738425926</v>
      </c>
      <c r="C133" t="n">
        <v>2</v>
      </c>
      <c r="D133" t="n">
        <v>1</v>
      </c>
      <c r="E133" t="s">
        <v>141</v>
      </c>
      <c r="F133" t="s"/>
      <c r="G133" t="s"/>
      <c r="H133" t="s"/>
      <c r="I133" t="s"/>
      <c r="J133" t="n">
        <v>-0.3818</v>
      </c>
      <c r="K133" t="n">
        <v>0.206</v>
      </c>
      <c r="L133" t="n">
        <v>0.794</v>
      </c>
      <c r="M133" t="n">
        <v>0</v>
      </c>
    </row>
    <row r="134" spans="1:13">
      <c r="A134" s="1">
        <f>HYPERLINK("http://www.twitter.com/NathanBLawrence/status/999427818755969025", "999427818755969025")</f>
        <v/>
      </c>
      <c r="B134" s="2" t="n">
        <v>43243.96684027778</v>
      </c>
      <c r="C134" t="n">
        <v>3</v>
      </c>
      <c r="D134" t="n">
        <v>1</v>
      </c>
      <c r="E134" t="s">
        <v>142</v>
      </c>
      <c r="F134" t="s"/>
      <c r="G134" t="s"/>
      <c r="H134" t="s"/>
      <c r="I134" t="s"/>
      <c r="J134" t="n">
        <v>-0.7837</v>
      </c>
      <c r="K134" t="n">
        <v>0.268</v>
      </c>
      <c r="L134" t="n">
        <v>0.677</v>
      </c>
      <c r="M134" t="n">
        <v>0.056</v>
      </c>
    </row>
    <row r="135" spans="1:13">
      <c r="A135" s="1">
        <f>HYPERLINK("http://www.twitter.com/NathanBLawrence/status/999427606259949569", "999427606259949569")</f>
        <v/>
      </c>
      <c r="B135" s="2" t="n">
        <v>43243.96625</v>
      </c>
      <c r="C135" t="n">
        <v>3</v>
      </c>
      <c r="D135" t="n">
        <v>0</v>
      </c>
      <c r="E135" t="s">
        <v>143</v>
      </c>
      <c r="F135" t="s"/>
      <c r="G135" t="s"/>
      <c r="H135" t="s"/>
      <c r="I135" t="s"/>
      <c r="J135" t="n">
        <v>-0.6369</v>
      </c>
      <c r="K135" t="n">
        <v>0.16</v>
      </c>
      <c r="L135" t="n">
        <v>0.779</v>
      </c>
      <c r="M135" t="n">
        <v>0.061</v>
      </c>
    </row>
    <row r="136" spans="1:13">
      <c r="A136" s="1">
        <f>HYPERLINK("http://www.twitter.com/NathanBLawrence/status/999426054363209731", "999426054363209731")</f>
        <v/>
      </c>
      <c r="B136" s="2" t="n">
        <v>43243.96196759259</v>
      </c>
      <c r="C136" t="n">
        <v>0</v>
      </c>
      <c r="D136" t="n">
        <v>5</v>
      </c>
      <c r="E136" t="s">
        <v>144</v>
      </c>
      <c r="F136">
        <f>HYPERLINK("http://pbs.twimg.com/media/Dd6baHKU8AIZzsp.jpg", "http://pbs.twimg.com/media/Dd6baHKU8AIZzsp.jpg")</f>
        <v/>
      </c>
      <c r="G136" t="s"/>
      <c r="H136" t="s"/>
      <c r="I136" t="s"/>
      <c r="J136" t="n">
        <v>0</v>
      </c>
      <c r="K136" t="n">
        <v>0</v>
      </c>
      <c r="L136" t="n">
        <v>1</v>
      </c>
      <c r="M136" t="n">
        <v>0</v>
      </c>
    </row>
    <row r="137" spans="1:13">
      <c r="A137" s="1">
        <f>HYPERLINK("http://www.twitter.com/NathanBLawrence/status/999425602909298688", "999425602909298688")</f>
        <v/>
      </c>
      <c r="B137" s="2" t="n">
        <v>43243.96071759259</v>
      </c>
      <c r="C137" t="n">
        <v>1</v>
      </c>
      <c r="D137" t="n">
        <v>1</v>
      </c>
      <c r="E137" t="s">
        <v>145</v>
      </c>
      <c r="F137" t="s"/>
      <c r="G137" t="s"/>
      <c r="H137" t="s"/>
      <c r="I137" t="s"/>
      <c r="J137" t="n">
        <v>0.1263</v>
      </c>
      <c r="K137" t="n">
        <v>0.105</v>
      </c>
      <c r="L137" t="n">
        <v>0.769</v>
      </c>
      <c r="M137" t="n">
        <v>0.125</v>
      </c>
    </row>
    <row r="138" spans="1:13">
      <c r="A138" s="1">
        <f>HYPERLINK("http://www.twitter.com/NathanBLawrence/status/999425441315377153", "999425441315377153")</f>
        <v/>
      </c>
      <c r="B138" s="2" t="n">
        <v>43243.96027777778</v>
      </c>
      <c r="C138" t="n">
        <v>3</v>
      </c>
      <c r="D138" t="n">
        <v>3</v>
      </c>
      <c r="E138" t="s">
        <v>146</v>
      </c>
      <c r="F138">
        <f>HYPERLINK("http://pbs.twimg.com/media/Dd6sIkdV0AElakI.jpg", "http://pbs.twimg.com/media/Dd6sIkdV0AElakI.jpg")</f>
        <v/>
      </c>
      <c r="G138" t="s"/>
      <c r="H138" t="s"/>
      <c r="I138" t="s"/>
      <c r="J138" t="n">
        <v>0</v>
      </c>
      <c r="K138" t="n">
        <v>0</v>
      </c>
      <c r="L138" t="n">
        <v>1</v>
      </c>
      <c r="M138" t="n">
        <v>0</v>
      </c>
    </row>
    <row r="139" spans="1:13">
      <c r="A139" s="1">
        <f>HYPERLINK("http://www.twitter.com/NathanBLawrence/status/999424651267801090", "999424651267801090")</f>
        <v/>
      </c>
      <c r="B139" s="2" t="n">
        <v>43243.95809027777</v>
      </c>
      <c r="C139" t="n">
        <v>10</v>
      </c>
      <c r="D139" t="n">
        <v>8</v>
      </c>
      <c r="E139" t="s">
        <v>147</v>
      </c>
      <c r="F139">
        <f>HYPERLINK("http://pbs.twimg.com/media/Dd6rayhVMAA2a9E.jpg", "http://pbs.twimg.com/media/Dd6rayhVMAA2a9E.jpg")</f>
        <v/>
      </c>
      <c r="G139" t="s"/>
      <c r="H139" t="s"/>
      <c r="I139" t="s"/>
      <c r="J139" t="n">
        <v>-0.7734</v>
      </c>
      <c r="K139" t="n">
        <v>0.133</v>
      </c>
      <c r="L139" t="n">
        <v>0.867</v>
      </c>
      <c r="M139" t="n">
        <v>0</v>
      </c>
    </row>
    <row r="140" spans="1:13">
      <c r="A140" s="1">
        <f>HYPERLINK("http://www.twitter.com/NathanBLawrence/status/999424461341450242", "999424461341450242")</f>
        <v/>
      </c>
      <c r="B140" s="2" t="n">
        <v>43243.95756944444</v>
      </c>
      <c r="C140" t="n">
        <v>0</v>
      </c>
      <c r="D140" t="n">
        <v>14</v>
      </c>
      <c r="E140" t="s">
        <v>136</v>
      </c>
      <c r="F140">
        <f>HYPERLINK("http://pbs.twimg.com/media/Dd6q33HVAAENarD.jpg", "http://pbs.twimg.com/media/Dd6q33HVAAENarD.jpg")</f>
        <v/>
      </c>
      <c r="G140" t="s"/>
      <c r="H140" t="s"/>
      <c r="I140" t="s"/>
      <c r="J140" t="n">
        <v>-0.5147</v>
      </c>
      <c r="K140" t="n">
        <v>0.126</v>
      </c>
      <c r="L140" t="n">
        <v>0.874</v>
      </c>
      <c r="M140" t="n">
        <v>0</v>
      </c>
    </row>
    <row r="141" spans="1:13">
      <c r="A141" s="1">
        <f>HYPERLINK("http://www.twitter.com/NathanBLawrence/status/999424052052754432", "999424052052754432")</f>
        <v/>
      </c>
      <c r="B141" s="2" t="n">
        <v>43243.95644675926</v>
      </c>
      <c r="C141" t="n">
        <v>15</v>
      </c>
      <c r="D141" t="n">
        <v>14</v>
      </c>
      <c r="E141" t="s">
        <v>148</v>
      </c>
      <c r="F141">
        <f>HYPERLINK("http://pbs.twimg.com/media/Dd6q33HVAAENarD.jpg", "http://pbs.twimg.com/media/Dd6q33HVAAENarD.jpg")</f>
        <v/>
      </c>
      <c r="G141" t="s"/>
      <c r="H141" t="s"/>
      <c r="I141" t="s"/>
      <c r="J141" t="n">
        <v>-0.7734</v>
      </c>
      <c r="K141" t="n">
        <v>0.133</v>
      </c>
      <c r="L141" t="n">
        <v>0.867</v>
      </c>
      <c r="M141" t="n">
        <v>0</v>
      </c>
    </row>
    <row r="142" spans="1:13">
      <c r="A142" s="1">
        <f>HYPERLINK("http://www.twitter.com/NathanBLawrence/status/999415219939151872", "999415219939151872")</f>
        <v/>
      </c>
      <c r="B142" s="2" t="n">
        <v>43243.93207175926</v>
      </c>
      <c r="C142" t="n">
        <v>0</v>
      </c>
      <c r="D142" t="n">
        <v>6</v>
      </c>
      <c r="E142" t="s">
        <v>149</v>
      </c>
      <c r="F142" t="s"/>
      <c r="G142" t="s"/>
      <c r="H142" t="s"/>
      <c r="I142" t="s"/>
      <c r="J142" t="n">
        <v>-0.7155</v>
      </c>
      <c r="K142" t="n">
        <v>0.249</v>
      </c>
      <c r="L142" t="n">
        <v>0.751</v>
      </c>
      <c r="M142" t="n">
        <v>0</v>
      </c>
    </row>
    <row r="143" spans="1:13">
      <c r="A143" s="1">
        <f>HYPERLINK("http://www.twitter.com/NathanBLawrence/status/999415207511363584", "999415207511363584")</f>
        <v/>
      </c>
      <c r="B143" s="2" t="n">
        <v>43243.93203703704</v>
      </c>
      <c r="C143" t="n">
        <v>0</v>
      </c>
      <c r="D143" t="n">
        <v>2</v>
      </c>
      <c r="E143" t="s">
        <v>150</v>
      </c>
      <c r="F143" t="s"/>
      <c r="G143" t="s"/>
      <c r="H143" t="s"/>
      <c r="I143" t="s"/>
      <c r="J143" t="n">
        <v>0.4497</v>
      </c>
      <c r="K143" t="n">
        <v>0.08699999999999999</v>
      </c>
      <c r="L143" t="n">
        <v>0.75</v>
      </c>
      <c r="M143" t="n">
        <v>0.164</v>
      </c>
    </row>
    <row r="144" spans="1:13">
      <c r="A144" s="1">
        <f>HYPERLINK("http://www.twitter.com/NathanBLawrence/status/999415173734715392", "999415173734715392")</f>
        <v/>
      </c>
      <c r="B144" s="2" t="n">
        <v>43243.93194444444</v>
      </c>
      <c r="C144" t="n">
        <v>0</v>
      </c>
      <c r="D144" t="n">
        <v>9</v>
      </c>
      <c r="E144" t="s">
        <v>151</v>
      </c>
      <c r="F144" t="s"/>
      <c r="G144" t="s"/>
      <c r="H144" t="s"/>
      <c r="I144" t="s"/>
      <c r="J144" t="n">
        <v>0.2732</v>
      </c>
      <c r="K144" t="n">
        <v>0.109</v>
      </c>
      <c r="L144" t="n">
        <v>0.698</v>
      </c>
      <c r="M144" t="n">
        <v>0.194</v>
      </c>
    </row>
    <row r="145" spans="1:13">
      <c r="A145" s="1">
        <f>HYPERLINK("http://www.twitter.com/NathanBLawrence/status/999415017941487622", "999415017941487622")</f>
        <v/>
      </c>
      <c r="B145" s="2" t="n">
        <v>43243.9315162037</v>
      </c>
      <c r="C145" t="n">
        <v>0</v>
      </c>
      <c r="D145" t="n">
        <v>10</v>
      </c>
      <c r="E145" t="s">
        <v>152</v>
      </c>
      <c r="F145" t="s"/>
      <c r="G145" t="s"/>
      <c r="H145" t="s"/>
      <c r="I145" t="s"/>
      <c r="J145" t="n">
        <v>0.6597</v>
      </c>
      <c r="K145" t="n">
        <v>0</v>
      </c>
      <c r="L145" t="n">
        <v>0.787</v>
      </c>
      <c r="M145" t="n">
        <v>0.213</v>
      </c>
    </row>
    <row r="146" spans="1:13">
      <c r="A146" s="1">
        <f>HYPERLINK("http://www.twitter.com/NathanBLawrence/status/999415008533630976", "999415008533630976")</f>
        <v/>
      </c>
      <c r="B146" s="2" t="n">
        <v>43243.93148148148</v>
      </c>
      <c r="C146" t="n">
        <v>0</v>
      </c>
      <c r="D146" t="n">
        <v>11</v>
      </c>
      <c r="E146" t="s">
        <v>153</v>
      </c>
      <c r="F146" t="s"/>
      <c r="G146" t="s"/>
      <c r="H146" t="s"/>
      <c r="I146" t="s"/>
      <c r="J146" t="n">
        <v>-0.4404</v>
      </c>
      <c r="K146" t="n">
        <v>0.127</v>
      </c>
      <c r="L146" t="n">
        <v>0.873</v>
      </c>
      <c r="M146" t="n">
        <v>0</v>
      </c>
    </row>
    <row r="147" spans="1:13">
      <c r="A147" s="1">
        <f>HYPERLINK("http://www.twitter.com/NathanBLawrence/status/999412938015412225", "999412938015412225")</f>
        <v/>
      </c>
      <c r="B147" s="2" t="n">
        <v>43243.92577546297</v>
      </c>
      <c r="C147" t="n">
        <v>4</v>
      </c>
      <c r="D147" t="n">
        <v>1</v>
      </c>
      <c r="E147" t="s">
        <v>154</v>
      </c>
      <c r="F147">
        <f>HYPERLINK("http://pbs.twimg.com/media/Dd6gxDOVAAESsBj.jpg", "http://pbs.twimg.com/media/Dd6gxDOVAAESsBj.jpg")</f>
        <v/>
      </c>
      <c r="G147" t="s"/>
      <c r="H147" t="s"/>
      <c r="I147" t="s"/>
      <c r="J147" t="n">
        <v>0.6187</v>
      </c>
      <c r="K147" t="n">
        <v>0.057</v>
      </c>
      <c r="L147" t="n">
        <v>0.854</v>
      </c>
      <c r="M147" t="n">
        <v>0.089</v>
      </c>
    </row>
    <row r="148" spans="1:13">
      <c r="A148" s="1">
        <f>HYPERLINK("http://www.twitter.com/NathanBLawrence/status/999412063519891457", "999412063519891457")</f>
        <v/>
      </c>
      <c r="B148" s="2" t="n">
        <v>43243.92335648148</v>
      </c>
      <c r="C148" t="n">
        <v>12</v>
      </c>
      <c r="D148" t="n">
        <v>6</v>
      </c>
      <c r="E148" t="s">
        <v>155</v>
      </c>
      <c r="F148">
        <f>HYPERLINK("http://pbs.twimg.com/media/Dd6f9mAUwAEEVdF.jpg", "http://pbs.twimg.com/media/Dd6f9mAUwAEEVdF.jpg")</f>
        <v/>
      </c>
      <c r="G148" t="s"/>
      <c r="H148" t="s"/>
      <c r="I148" t="s"/>
      <c r="J148" t="n">
        <v>0</v>
      </c>
      <c r="K148" t="n">
        <v>0</v>
      </c>
      <c r="L148" t="n">
        <v>1</v>
      </c>
      <c r="M148" t="n">
        <v>0</v>
      </c>
    </row>
    <row r="149" spans="1:13">
      <c r="A149" s="1">
        <f>HYPERLINK("http://www.twitter.com/NathanBLawrence/status/999411597813706752", "999411597813706752")</f>
        <v/>
      </c>
      <c r="B149" s="2" t="n">
        <v>43243.92207175926</v>
      </c>
      <c r="C149" t="n">
        <v>2</v>
      </c>
      <c r="D149" t="n">
        <v>0</v>
      </c>
      <c r="E149" t="s">
        <v>156</v>
      </c>
      <c r="F149" t="s"/>
      <c r="G149" t="s"/>
      <c r="H149" t="s"/>
      <c r="I149" t="s"/>
      <c r="J149" t="n">
        <v>-0.5423</v>
      </c>
      <c r="K149" t="n">
        <v>0.149</v>
      </c>
      <c r="L149" t="n">
        <v>0.851</v>
      </c>
      <c r="M149" t="n">
        <v>0</v>
      </c>
    </row>
    <row r="150" spans="1:13">
      <c r="A150" s="1">
        <f>HYPERLINK("http://www.twitter.com/NathanBLawrence/status/999411462723514368", "999411462723514368")</f>
        <v/>
      </c>
      <c r="B150" s="2" t="n">
        <v>43243.92170138889</v>
      </c>
      <c r="C150" t="n">
        <v>11</v>
      </c>
      <c r="D150" t="n">
        <v>7</v>
      </c>
      <c r="E150" t="s">
        <v>157</v>
      </c>
      <c r="F150">
        <f>HYPERLINK("http://pbs.twimg.com/media/Dd6fa9yVQAEPPbi.jpg", "http://pbs.twimg.com/media/Dd6fa9yVQAEPPbi.jpg")</f>
        <v/>
      </c>
      <c r="G150" t="s"/>
      <c r="H150" t="s"/>
      <c r="I150" t="s"/>
      <c r="J150" t="n">
        <v>0</v>
      </c>
      <c r="K150" t="n">
        <v>0</v>
      </c>
      <c r="L150" t="n">
        <v>1</v>
      </c>
      <c r="M150" t="n">
        <v>0</v>
      </c>
    </row>
    <row r="151" spans="1:13">
      <c r="A151" s="1">
        <f>HYPERLINK("http://www.twitter.com/NathanBLawrence/status/999409265906540544", "999409265906540544")</f>
        <v/>
      </c>
      <c r="B151" s="2" t="n">
        <v>43243.91563657407</v>
      </c>
      <c r="C151" t="n">
        <v>7</v>
      </c>
      <c r="D151" t="n">
        <v>1</v>
      </c>
      <c r="E151" t="s">
        <v>158</v>
      </c>
      <c r="F151" t="s"/>
      <c r="G151" t="s"/>
      <c r="H151" t="s"/>
      <c r="I151" t="s"/>
      <c r="J151" t="n">
        <v>0</v>
      </c>
      <c r="K151" t="n">
        <v>0</v>
      </c>
      <c r="L151" t="n">
        <v>1</v>
      </c>
      <c r="M151" t="n">
        <v>0</v>
      </c>
    </row>
    <row r="152" spans="1:13">
      <c r="A152" s="1">
        <f>HYPERLINK("http://www.twitter.com/NathanBLawrence/status/999408422649987072", "999408422649987072")</f>
        <v/>
      </c>
      <c r="B152" s="2" t="n">
        <v>43243.91331018518</v>
      </c>
      <c r="C152" t="n">
        <v>0</v>
      </c>
      <c r="D152" t="n">
        <v>5</v>
      </c>
      <c r="E152" t="s">
        <v>159</v>
      </c>
      <c r="F152">
        <f>HYPERLINK("http://pbs.twimg.com/media/Dd5uImpVAAIs7Ts.jpg", "http://pbs.twimg.com/media/Dd5uImpVAAIs7Ts.jpg")</f>
        <v/>
      </c>
      <c r="G152" t="s"/>
      <c r="H152" t="s"/>
      <c r="I152" t="s"/>
      <c r="J152" t="n">
        <v>-0.5994</v>
      </c>
      <c r="K152" t="n">
        <v>0.207</v>
      </c>
      <c r="L152" t="n">
        <v>0.747</v>
      </c>
      <c r="M152" t="n">
        <v>0.046</v>
      </c>
    </row>
    <row r="153" spans="1:13">
      <c r="A153" s="1">
        <f>HYPERLINK("http://www.twitter.com/NathanBLawrence/status/999408007921496064", "999408007921496064")</f>
        <v/>
      </c>
      <c r="B153" s="2" t="n">
        <v>43243.91216435185</v>
      </c>
      <c r="C153" t="n">
        <v>12</v>
      </c>
      <c r="D153" t="n">
        <v>5</v>
      </c>
      <c r="E153" t="s">
        <v>160</v>
      </c>
      <c r="F153">
        <f>HYPERLINK("http://pbs.twimg.com/media/Dd6cRyUU0AAYNb_.jpg", "http://pbs.twimg.com/media/Dd6cRyUU0AAYNb_.jpg")</f>
        <v/>
      </c>
      <c r="G153" t="s"/>
      <c r="H153" t="s"/>
      <c r="I153" t="s"/>
      <c r="J153" t="n">
        <v>0</v>
      </c>
      <c r="K153" t="n">
        <v>0</v>
      </c>
      <c r="L153" t="n">
        <v>1</v>
      </c>
      <c r="M153" t="n">
        <v>0</v>
      </c>
    </row>
    <row r="154" spans="1:13">
      <c r="A154" s="1">
        <f>HYPERLINK("http://www.twitter.com/NathanBLawrence/status/999407282436890624", "999407282436890624")</f>
        <v/>
      </c>
      <c r="B154" s="2" t="n">
        <v>43243.91016203703</v>
      </c>
      <c r="C154" t="n">
        <v>3</v>
      </c>
      <c r="D154" t="n">
        <v>2</v>
      </c>
      <c r="E154" t="s">
        <v>161</v>
      </c>
      <c r="F154" t="s"/>
      <c r="G154" t="s"/>
      <c r="H154" t="s"/>
      <c r="I154" t="s"/>
      <c r="J154" t="n">
        <v>0</v>
      </c>
      <c r="K154" t="n">
        <v>0</v>
      </c>
      <c r="L154" t="n">
        <v>1</v>
      </c>
      <c r="M154" t="n">
        <v>0</v>
      </c>
    </row>
    <row r="155" spans="1:13">
      <c r="A155" s="1">
        <f>HYPERLINK("http://www.twitter.com/NathanBLawrence/status/999407050940649474", "999407050940649474")</f>
        <v/>
      </c>
      <c r="B155" s="2" t="n">
        <v>43243.90952546296</v>
      </c>
      <c r="C155" t="n">
        <v>15</v>
      </c>
      <c r="D155" t="n">
        <v>5</v>
      </c>
      <c r="E155" t="s">
        <v>162</v>
      </c>
      <c r="F155">
        <f>HYPERLINK("http://pbs.twimg.com/media/Dd6baHKU8AIZzsp.jpg", "http://pbs.twimg.com/media/Dd6baHKU8AIZzsp.jpg")</f>
        <v/>
      </c>
      <c r="G155" t="s"/>
      <c r="H155" t="s"/>
      <c r="I155" t="s"/>
      <c r="J155" t="n">
        <v>0</v>
      </c>
      <c r="K155" t="n">
        <v>0</v>
      </c>
      <c r="L155" t="n">
        <v>1</v>
      </c>
      <c r="M155" t="n">
        <v>0</v>
      </c>
    </row>
    <row r="156" spans="1:13">
      <c r="A156" s="1">
        <f>HYPERLINK("http://www.twitter.com/NathanBLawrence/status/999406705246162945", "999406705246162945")</f>
        <v/>
      </c>
      <c r="B156" s="2" t="n">
        <v>43243.90857638889</v>
      </c>
      <c r="C156" t="n">
        <v>1</v>
      </c>
      <c r="D156" t="n">
        <v>0</v>
      </c>
      <c r="E156" t="s">
        <v>61</v>
      </c>
      <c r="F156" t="s"/>
      <c r="G156" t="s"/>
      <c r="H156" t="s"/>
      <c r="I156" t="s"/>
      <c r="J156" t="n">
        <v>0</v>
      </c>
      <c r="K156" t="n">
        <v>0</v>
      </c>
      <c r="L156" t="n">
        <v>1</v>
      </c>
      <c r="M156" t="n">
        <v>0</v>
      </c>
    </row>
    <row r="157" spans="1:13">
      <c r="A157" s="1">
        <f>HYPERLINK("http://www.twitter.com/NathanBLawrence/status/999406403864481793", "999406403864481793")</f>
        <v/>
      </c>
      <c r="B157" s="2" t="n">
        <v>43243.90774305556</v>
      </c>
      <c r="C157" t="n">
        <v>3</v>
      </c>
      <c r="D157" t="n">
        <v>0</v>
      </c>
      <c r="E157" t="s">
        <v>163</v>
      </c>
      <c r="F157" t="s"/>
      <c r="G157" t="s"/>
      <c r="H157" t="s"/>
      <c r="I157" t="s"/>
      <c r="J157" t="n">
        <v>0</v>
      </c>
      <c r="K157" t="n">
        <v>0</v>
      </c>
      <c r="L157" t="n">
        <v>1</v>
      </c>
      <c r="M157" t="n">
        <v>0</v>
      </c>
    </row>
    <row r="158" spans="1:13">
      <c r="A158" s="1">
        <f>HYPERLINK("http://www.twitter.com/NathanBLawrence/status/999406186272260096", "999406186272260096")</f>
        <v/>
      </c>
      <c r="B158" s="2" t="n">
        <v>43243.9071412037</v>
      </c>
      <c r="C158" t="n">
        <v>0</v>
      </c>
      <c r="D158" t="n">
        <v>1</v>
      </c>
      <c r="E158" t="s">
        <v>164</v>
      </c>
      <c r="F158" t="s"/>
      <c r="G158" t="s"/>
      <c r="H158" t="s"/>
      <c r="I158" t="s"/>
      <c r="J158" t="n">
        <v>0</v>
      </c>
      <c r="K158" t="n">
        <v>0</v>
      </c>
      <c r="L158" t="n">
        <v>1</v>
      </c>
      <c r="M158" t="n">
        <v>0</v>
      </c>
    </row>
    <row r="159" spans="1:13">
      <c r="A159" s="1">
        <f>HYPERLINK("http://www.twitter.com/NathanBLawrence/status/999406172947050497", "999406172947050497")</f>
        <v/>
      </c>
      <c r="B159" s="2" t="n">
        <v>43243.90710648148</v>
      </c>
      <c r="C159" t="n">
        <v>0</v>
      </c>
      <c r="D159" t="n">
        <v>3</v>
      </c>
      <c r="E159" t="s">
        <v>165</v>
      </c>
      <c r="F159" t="s"/>
      <c r="G159" t="s"/>
      <c r="H159" t="s"/>
      <c r="I159" t="s"/>
      <c r="J159" t="n">
        <v>-0.5994</v>
      </c>
      <c r="K159" t="n">
        <v>0.302</v>
      </c>
      <c r="L159" t="n">
        <v>0.698</v>
      </c>
      <c r="M159" t="n">
        <v>0</v>
      </c>
    </row>
    <row r="160" spans="1:13">
      <c r="A160" s="1">
        <f>HYPERLINK("http://www.twitter.com/NathanBLawrence/status/999406101719404544", "999406101719404544")</f>
        <v/>
      </c>
      <c r="B160" s="2" t="n">
        <v>43243.90690972222</v>
      </c>
      <c r="C160" t="n">
        <v>1</v>
      </c>
      <c r="D160" t="n">
        <v>0</v>
      </c>
      <c r="E160" t="s">
        <v>166</v>
      </c>
      <c r="F160" t="s"/>
      <c r="G160" t="s"/>
      <c r="H160" t="s"/>
      <c r="I160" t="s"/>
      <c r="J160" t="n">
        <v>0</v>
      </c>
      <c r="K160" t="n">
        <v>0</v>
      </c>
      <c r="L160" t="n">
        <v>1</v>
      </c>
      <c r="M160" t="n">
        <v>0</v>
      </c>
    </row>
    <row r="161" spans="1:13">
      <c r="A161" s="1">
        <f>HYPERLINK("http://www.twitter.com/NathanBLawrence/status/999405798840307714", "999405798840307714")</f>
        <v/>
      </c>
      <c r="B161" s="2" t="n">
        <v>43243.90607638889</v>
      </c>
      <c r="C161" t="n">
        <v>4</v>
      </c>
      <c r="D161" t="n">
        <v>0</v>
      </c>
      <c r="E161" t="s">
        <v>167</v>
      </c>
      <c r="F161" t="s"/>
      <c r="G161" t="s"/>
      <c r="H161" t="s"/>
      <c r="I161" t="s"/>
      <c r="J161" t="n">
        <v>0</v>
      </c>
      <c r="K161" t="n">
        <v>0</v>
      </c>
      <c r="L161" t="n">
        <v>1</v>
      </c>
      <c r="M161" t="n">
        <v>0</v>
      </c>
    </row>
    <row r="162" spans="1:13">
      <c r="A162" s="1">
        <f>HYPERLINK("http://www.twitter.com/NathanBLawrence/status/999405541515513856", "999405541515513856")</f>
        <v/>
      </c>
      <c r="B162" s="2" t="n">
        <v>43243.9053587963</v>
      </c>
      <c r="C162" t="n">
        <v>2</v>
      </c>
      <c r="D162" t="n">
        <v>0</v>
      </c>
      <c r="E162" t="s">
        <v>168</v>
      </c>
      <c r="F162" t="s"/>
      <c r="G162" t="s"/>
      <c r="H162" t="s"/>
      <c r="I162" t="s"/>
      <c r="J162" t="n">
        <v>0</v>
      </c>
      <c r="K162" t="n">
        <v>0</v>
      </c>
      <c r="L162" t="n">
        <v>1</v>
      </c>
      <c r="M162" t="n">
        <v>0</v>
      </c>
    </row>
    <row r="163" spans="1:13">
      <c r="A163" s="1">
        <f>HYPERLINK("http://www.twitter.com/NathanBLawrence/status/999401226440671232", "999401226440671232")</f>
        <v/>
      </c>
      <c r="B163" s="2" t="n">
        <v>43243.89346064815</v>
      </c>
      <c r="C163" t="n">
        <v>42</v>
      </c>
      <c r="D163" t="n">
        <v>40</v>
      </c>
      <c r="E163" t="s">
        <v>169</v>
      </c>
      <c r="F163">
        <f>HYPERLINK("http://pbs.twimg.com/media/Dd6WHEGVMAAQ3V8.jpg", "http://pbs.twimg.com/media/Dd6WHEGVMAAQ3V8.jpg")</f>
        <v/>
      </c>
      <c r="G163" t="s"/>
      <c r="H163" t="s"/>
      <c r="I163" t="s"/>
      <c r="J163" t="n">
        <v>0.6597</v>
      </c>
      <c r="K163" t="n">
        <v>0</v>
      </c>
      <c r="L163" t="n">
        <v>0.878</v>
      </c>
      <c r="M163" t="n">
        <v>0.122</v>
      </c>
    </row>
    <row r="164" spans="1:13">
      <c r="A164" s="1">
        <f>HYPERLINK("http://www.twitter.com/NathanBLawrence/status/999396286251126791", "999396286251126791")</f>
        <v/>
      </c>
      <c r="B164" s="2" t="n">
        <v>43243.87982638889</v>
      </c>
      <c r="C164" t="n">
        <v>0</v>
      </c>
      <c r="D164" t="n">
        <v>10</v>
      </c>
      <c r="E164" t="s">
        <v>170</v>
      </c>
      <c r="F164" t="s"/>
      <c r="G164" t="s"/>
      <c r="H164" t="s"/>
      <c r="I164" t="s"/>
      <c r="J164" t="n">
        <v>0.1285</v>
      </c>
      <c r="K164" t="n">
        <v>0.08799999999999999</v>
      </c>
      <c r="L164" t="n">
        <v>0.803</v>
      </c>
      <c r="M164" t="n">
        <v>0.109</v>
      </c>
    </row>
    <row r="165" spans="1:13">
      <c r="A165" s="1">
        <f>HYPERLINK("http://www.twitter.com/NathanBLawrence/status/999395898923905029", "999395898923905029")</f>
        <v/>
      </c>
      <c r="B165" s="2" t="n">
        <v>43243.87875</v>
      </c>
      <c r="C165" t="n">
        <v>0</v>
      </c>
      <c r="D165" t="n">
        <v>8</v>
      </c>
      <c r="E165" t="s">
        <v>171</v>
      </c>
      <c r="F165" t="s"/>
      <c r="G165" t="s"/>
      <c r="H165" t="s"/>
      <c r="I165" t="s"/>
      <c r="J165" t="n">
        <v>0.4215</v>
      </c>
      <c r="K165" t="n">
        <v>0</v>
      </c>
      <c r="L165" t="n">
        <v>0.896</v>
      </c>
      <c r="M165" t="n">
        <v>0.104</v>
      </c>
    </row>
    <row r="166" spans="1:13">
      <c r="A166" s="1">
        <f>HYPERLINK("http://www.twitter.com/NathanBLawrence/status/999394318057115649", "999394318057115649")</f>
        <v/>
      </c>
      <c r="B166" s="2" t="n">
        <v>43243.87438657408</v>
      </c>
      <c r="C166" t="n">
        <v>0</v>
      </c>
      <c r="D166" t="n">
        <v>10</v>
      </c>
      <c r="E166" t="s">
        <v>172</v>
      </c>
      <c r="F166" t="s"/>
      <c r="G166" t="s"/>
      <c r="H166" t="s"/>
      <c r="I166" t="s"/>
      <c r="J166" t="n">
        <v>0.1027</v>
      </c>
      <c r="K166" t="n">
        <v>0.089</v>
      </c>
      <c r="L166" t="n">
        <v>0.805</v>
      </c>
      <c r="M166" t="n">
        <v>0.106</v>
      </c>
    </row>
    <row r="167" spans="1:13">
      <c r="A167" s="1">
        <f>HYPERLINK("http://www.twitter.com/NathanBLawrence/status/999384201945284608", "999384201945284608")</f>
        <v/>
      </c>
      <c r="B167" s="2" t="n">
        <v>43243.84648148148</v>
      </c>
      <c r="C167" t="n">
        <v>0</v>
      </c>
      <c r="D167" t="n">
        <v>3</v>
      </c>
      <c r="E167" t="s">
        <v>173</v>
      </c>
      <c r="F167" t="s"/>
      <c r="G167" t="s"/>
      <c r="H167" t="s"/>
      <c r="I167" t="s"/>
      <c r="J167" t="n">
        <v>-0.2462</v>
      </c>
      <c r="K167" t="n">
        <v>0.135</v>
      </c>
      <c r="L167" t="n">
        <v>0.777</v>
      </c>
      <c r="M167" t="n">
        <v>0.08699999999999999</v>
      </c>
    </row>
    <row r="168" spans="1:13">
      <c r="A168" s="1">
        <f>HYPERLINK("http://www.twitter.com/NathanBLawrence/status/999384062765797376", "999384062765797376")</f>
        <v/>
      </c>
      <c r="B168" s="2" t="n">
        <v>43243.84608796296</v>
      </c>
      <c r="C168" t="n">
        <v>0</v>
      </c>
      <c r="D168" t="n">
        <v>7</v>
      </c>
      <c r="E168" t="s">
        <v>174</v>
      </c>
      <c r="F168" t="s"/>
      <c r="G168" t="s"/>
      <c r="H168" t="s"/>
      <c r="I168" t="s"/>
      <c r="J168" t="n">
        <v>0</v>
      </c>
      <c r="K168" t="n">
        <v>0</v>
      </c>
      <c r="L168" t="n">
        <v>1</v>
      </c>
      <c r="M168" t="n">
        <v>0</v>
      </c>
    </row>
    <row r="169" spans="1:13">
      <c r="A169" s="1">
        <f>HYPERLINK("http://www.twitter.com/NathanBLawrence/status/999384040225542149", "999384040225542149")</f>
        <v/>
      </c>
      <c r="B169" s="2" t="n">
        <v>43243.84603009259</v>
      </c>
      <c r="C169" t="n">
        <v>0</v>
      </c>
      <c r="D169" t="n">
        <v>6</v>
      </c>
      <c r="E169" t="s">
        <v>175</v>
      </c>
      <c r="F169" t="s"/>
      <c r="G169" t="s"/>
      <c r="H169" t="s"/>
      <c r="I169" t="s"/>
      <c r="J169" t="n">
        <v>0</v>
      </c>
      <c r="K169" t="n">
        <v>0</v>
      </c>
      <c r="L169" t="n">
        <v>1</v>
      </c>
      <c r="M169" t="n">
        <v>0</v>
      </c>
    </row>
    <row r="170" spans="1:13">
      <c r="A170" s="1">
        <f>HYPERLINK("http://www.twitter.com/NathanBLawrence/status/999383996533440513", "999383996533440513")</f>
        <v/>
      </c>
      <c r="B170" s="2" t="n">
        <v>43243.84591435185</v>
      </c>
      <c r="C170" t="n">
        <v>0</v>
      </c>
      <c r="D170" t="n">
        <v>5</v>
      </c>
      <c r="E170" t="s">
        <v>176</v>
      </c>
      <c r="F170" t="s"/>
      <c r="G170" t="s"/>
      <c r="H170" t="s"/>
      <c r="I170" t="s"/>
      <c r="J170" t="n">
        <v>0.6177</v>
      </c>
      <c r="K170" t="n">
        <v>0.07199999999999999</v>
      </c>
      <c r="L170" t="n">
        <v>0.756</v>
      </c>
      <c r="M170" t="n">
        <v>0.172</v>
      </c>
    </row>
    <row r="171" spans="1:13">
      <c r="A171" s="1">
        <f>HYPERLINK("http://www.twitter.com/NathanBLawrence/status/999383939482636288", "999383939482636288")</f>
        <v/>
      </c>
      <c r="B171" s="2" t="n">
        <v>43243.84575231482</v>
      </c>
      <c r="C171" t="n">
        <v>0</v>
      </c>
      <c r="D171" t="n">
        <v>23</v>
      </c>
      <c r="E171" t="s">
        <v>177</v>
      </c>
      <c r="F171" t="s"/>
      <c r="G171" t="s"/>
      <c r="H171" t="s"/>
      <c r="I171" t="s"/>
      <c r="J171" t="n">
        <v>0.3612</v>
      </c>
      <c r="K171" t="n">
        <v>0</v>
      </c>
      <c r="L171" t="n">
        <v>0.878</v>
      </c>
      <c r="M171" t="n">
        <v>0.122</v>
      </c>
    </row>
    <row r="172" spans="1:13">
      <c r="A172" s="1">
        <f>HYPERLINK("http://www.twitter.com/NathanBLawrence/status/999383733101789184", "999383733101789184")</f>
        <v/>
      </c>
      <c r="B172" s="2" t="n">
        <v>43243.84518518519</v>
      </c>
      <c r="C172" t="n">
        <v>0</v>
      </c>
      <c r="D172" t="n">
        <v>8</v>
      </c>
      <c r="E172" t="s">
        <v>178</v>
      </c>
      <c r="F172">
        <f>HYPERLINK("http://pbs.twimg.com/media/Dd54EQDVAAACs3C.jpg", "http://pbs.twimg.com/media/Dd54EQDVAAACs3C.jpg")</f>
        <v/>
      </c>
      <c r="G172" t="s"/>
      <c r="H172" t="s"/>
      <c r="I172" t="s"/>
      <c r="J172" t="n">
        <v>0.4064</v>
      </c>
      <c r="K172" t="n">
        <v>0</v>
      </c>
      <c r="L172" t="n">
        <v>0.88</v>
      </c>
      <c r="M172" t="n">
        <v>0.12</v>
      </c>
    </row>
    <row r="173" spans="1:13">
      <c r="A173" s="1">
        <f>HYPERLINK("http://www.twitter.com/NathanBLawrence/status/999378227087990784", "999378227087990784")</f>
        <v/>
      </c>
      <c r="B173" s="2" t="n">
        <v>43243.82998842592</v>
      </c>
      <c r="C173" t="n">
        <v>0</v>
      </c>
      <c r="D173" t="n">
        <v>13</v>
      </c>
      <c r="E173" t="s">
        <v>179</v>
      </c>
      <c r="F173">
        <f>HYPERLINK("http://pbs.twimg.com/media/Dd53fVnVAAAGbPK.jpg", "http://pbs.twimg.com/media/Dd53fVnVAAAGbPK.jpg")</f>
        <v/>
      </c>
      <c r="G173" t="s"/>
      <c r="H173" t="s"/>
      <c r="I173" t="s"/>
      <c r="J173" t="n">
        <v>-0.6808</v>
      </c>
      <c r="K173" t="n">
        <v>0.203</v>
      </c>
      <c r="L173" t="n">
        <v>0.797</v>
      </c>
      <c r="M173" t="n">
        <v>0</v>
      </c>
    </row>
    <row r="174" spans="1:13">
      <c r="A174" s="1">
        <f>HYPERLINK("http://www.twitter.com/NathanBLawrence/status/999378185090490369", "999378185090490369")</f>
        <v/>
      </c>
      <c r="B174" s="2" t="n">
        <v>43243.82987268519</v>
      </c>
      <c r="C174" t="n">
        <v>0</v>
      </c>
      <c r="D174" t="n">
        <v>11</v>
      </c>
      <c r="E174" t="s">
        <v>180</v>
      </c>
      <c r="F174" t="s"/>
      <c r="G174" t="s"/>
      <c r="H174" t="s"/>
      <c r="I174" t="s"/>
      <c r="J174" t="n">
        <v>-0.3226</v>
      </c>
      <c r="K174" t="n">
        <v>0.183</v>
      </c>
      <c r="L174" t="n">
        <v>0.723</v>
      </c>
      <c r="M174" t="n">
        <v>0.094</v>
      </c>
    </row>
    <row r="175" spans="1:13">
      <c r="A175" s="1">
        <f>HYPERLINK("http://www.twitter.com/NathanBLawrence/status/999366626310082560", "999366626310082560")</f>
        <v/>
      </c>
      <c r="B175" s="2" t="n">
        <v>43243.79797453704</v>
      </c>
      <c r="C175" t="n">
        <v>0</v>
      </c>
      <c r="D175" t="n">
        <v>48</v>
      </c>
      <c r="E175" t="s">
        <v>181</v>
      </c>
      <c r="F175" t="s"/>
      <c r="G175" t="s"/>
      <c r="H175" t="s"/>
      <c r="I175" t="s"/>
      <c r="J175" t="n">
        <v>-0.6486</v>
      </c>
      <c r="K175" t="n">
        <v>0.189</v>
      </c>
      <c r="L175" t="n">
        <v>0.772</v>
      </c>
      <c r="M175" t="n">
        <v>0.039</v>
      </c>
    </row>
    <row r="176" spans="1:13">
      <c r="A176" s="1">
        <f>HYPERLINK("http://www.twitter.com/NathanBLawrence/status/999366005137821696", "999366005137821696")</f>
        <v/>
      </c>
      <c r="B176" s="2" t="n">
        <v>43243.79626157408</v>
      </c>
      <c r="C176" t="n">
        <v>0</v>
      </c>
      <c r="D176" t="n">
        <v>10</v>
      </c>
      <c r="E176" t="s">
        <v>182</v>
      </c>
      <c r="F176" t="s"/>
      <c r="G176" t="s"/>
      <c r="H176" t="s"/>
      <c r="I176" t="s"/>
      <c r="J176" t="n">
        <v>0</v>
      </c>
      <c r="K176" t="n">
        <v>0</v>
      </c>
      <c r="L176" t="n">
        <v>1</v>
      </c>
      <c r="M176" t="n">
        <v>0</v>
      </c>
    </row>
    <row r="177" spans="1:13">
      <c r="A177" s="1">
        <f>HYPERLINK("http://www.twitter.com/NathanBLawrence/status/999363549674786817", "999363549674786817")</f>
        <v/>
      </c>
      <c r="B177" s="2" t="n">
        <v>43243.78949074074</v>
      </c>
      <c r="C177" t="n">
        <v>2</v>
      </c>
      <c r="D177" t="n">
        <v>1</v>
      </c>
      <c r="E177" t="s">
        <v>183</v>
      </c>
      <c r="F177" t="s"/>
      <c r="G177" t="s"/>
      <c r="H177" t="s"/>
      <c r="I177" t="s"/>
      <c r="J177" t="n">
        <v>0.6705</v>
      </c>
      <c r="K177" t="n">
        <v>0.095</v>
      </c>
      <c r="L177" t="n">
        <v>0.708</v>
      </c>
      <c r="M177" t="n">
        <v>0.197</v>
      </c>
    </row>
    <row r="178" spans="1:13">
      <c r="A178" s="1">
        <f>HYPERLINK("http://www.twitter.com/NathanBLawrence/status/999359254887915520", "999359254887915520")</f>
        <v/>
      </c>
      <c r="B178" s="2" t="n">
        <v>43243.77763888889</v>
      </c>
      <c r="C178" t="n">
        <v>0</v>
      </c>
      <c r="D178" t="n">
        <v>58</v>
      </c>
      <c r="E178" t="s">
        <v>184</v>
      </c>
      <c r="F178" t="s"/>
      <c r="G178" t="s"/>
      <c r="H178" t="s"/>
      <c r="I178" t="s"/>
      <c r="J178" t="n">
        <v>-0.5423</v>
      </c>
      <c r="K178" t="n">
        <v>0.179</v>
      </c>
      <c r="L178" t="n">
        <v>0.821</v>
      </c>
      <c r="M178" t="n">
        <v>0</v>
      </c>
    </row>
    <row r="179" spans="1:13">
      <c r="A179" s="1">
        <f>HYPERLINK("http://www.twitter.com/NathanBLawrence/status/999357271225315337", "999357271225315337")</f>
        <v/>
      </c>
      <c r="B179" s="2" t="n">
        <v>43243.77216435185</v>
      </c>
      <c r="C179" t="n">
        <v>8</v>
      </c>
      <c r="D179" t="n">
        <v>5</v>
      </c>
      <c r="E179" t="s">
        <v>185</v>
      </c>
      <c r="F179">
        <f>HYPERLINK("http://pbs.twimg.com/media/Dd5uImpVAAIs7Ts.jpg", "http://pbs.twimg.com/media/Dd5uImpVAAIs7Ts.jpg")</f>
        <v/>
      </c>
      <c r="G179" t="s"/>
      <c r="H179" t="s"/>
      <c r="I179" t="s"/>
      <c r="J179" t="n">
        <v>-0.5994</v>
      </c>
      <c r="K179" t="n">
        <v>0.172</v>
      </c>
      <c r="L179" t="n">
        <v>0.79</v>
      </c>
      <c r="M179" t="n">
        <v>0.038</v>
      </c>
    </row>
    <row r="180" spans="1:13">
      <c r="A180" s="1">
        <f>HYPERLINK("http://www.twitter.com/NathanBLawrence/status/999356807586951170", "999356807586951170")</f>
        <v/>
      </c>
      <c r="B180" s="2" t="n">
        <v>43243.77087962963</v>
      </c>
      <c r="C180" t="n">
        <v>0</v>
      </c>
      <c r="D180" t="n">
        <v>11</v>
      </c>
      <c r="E180" t="s">
        <v>186</v>
      </c>
      <c r="F180" t="s"/>
      <c r="G180" t="s"/>
      <c r="H180" t="s"/>
      <c r="I180" t="s"/>
      <c r="J180" t="n">
        <v>-0.2656</v>
      </c>
      <c r="K180" t="n">
        <v>0.186</v>
      </c>
      <c r="L180" t="n">
        <v>0.705</v>
      </c>
      <c r="M180" t="n">
        <v>0.109</v>
      </c>
    </row>
    <row r="181" spans="1:13">
      <c r="A181" s="1">
        <f>HYPERLINK("http://www.twitter.com/NathanBLawrence/status/999356766763864071", "999356766763864071")</f>
        <v/>
      </c>
      <c r="B181" s="2" t="n">
        <v>43243.77077546297</v>
      </c>
      <c r="C181" t="n">
        <v>1</v>
      </c>
      <c r="D181" t="n">
        <v>1</v>
      </c>
      <c r="E181" t="s">
        <v>187</v>
      </c>
      <c r="F181">
        <f>HYPERLINK("http://pbs.twimg.com/media/Dd5tqsNVAAEJNOf.jpg", "http://pbs.twimg.com/media/Dd5tqsNVAAEJNOf.jpg")</f>
        <v/>
      </c>
      <c r="G181" t="s"/>
      <c r="H181" t="s"/>
      <c r="I181" t="s"/>
      <c r="J181" t="n">
        <v>0</v>
      </c>
      <c r="K181" t="n">
        <v>0</v>
      </c>
      <c r="L181" t="n">
        <v>1</v>
      </c>
      <c r="M181" t="n">
        <v>0</v>
      </c>
    </row>
    <row r="182" spans="1:13">
      <c r="A182" s="1">
        <f>HYPERLINK("http://www.twitter.com/NathanBLawrence/status/999356627609321472", "999356627609321472")</f>
        <v/>
      </c>
      <c r="B182" s="2" t="n">
        <v>43243.77038194444</v>
      </c>
      <c r="C182" t="n">
        <v>0</v>
      </c>
      <c r="D182" t="n">
        <v>10</v>
      </c>
      <c r="E182" t="s">
        <v>188</v>
      </c>
      <c r="F182">
        <f>HYPERLINK("http://pbs.twimg.com/media/Dd5tI2kU0AE4C_f.jpg", "http://pbs.twimg.com/media/Dd5tI2kU0AE4C_f.jpg")</f>
        <v/>
      </c>
      <c r="G182">
        <f>HYPERLINK("http://pbs.twimg.com/media/Dd5tI2kU0AAtiez.jpg", "http://pbs.twimg.com/media/Dd5tI2kU0AAtiez.jpg")</f>
        <v/>
      </c>
      <c r="H182" t="s"/>
      <c r="I182" t="s"/>
      <c r="J182" t="n">
        <v>0.8928</v>
      </c>
      <c r="K182" t="n">
        <v>0</v>
      </c>
      <c r="L182" t="n">
        <v>0.628</v>
      </c>
      <c r="M182" t="n">
        <v>0.372</v>
      </c>
    </row>
    <row r="183" spans="1:13">
      <c r="A183" s="1">
        <f>HYPERLINK("http://www.twitter.com/NathanBLawrence/status/999356490828873729", "999356490828873729")</f>
        <v/>
      </c>
      <c r="B183" s="2" t="n">
        <v>43243.77001157407</v>
      </c>
      <c r="C183" t="n">
        <v>1</v>
      </c>
      <c r="D183" t="n">
        <v>0</v>
      </c>
      <c r="E183" t="s">
        <v>189</v>
      </c>
      <c r="F183" t="s"/>
      <c r="G183" t="s"/>
      <c r="H183" t="s"/>
      <c r="I183" t="s"/>
      <c r="J183" t="n">
        <v>0</v>
      </c>
      <c r="K183" t="n">
        <v>0</v>
      </c>
      <c r="L183" t="n">
        <v>1</v>
      </c>
      <c r="M183" t="n">
        <v>0</v>
      </c>
    </row>
    <row r="184" spans="1:13">
      <c r="A184" s="1">
        <f>HYPERLINK("http://www.twitter.com/NathanBLawrence/status/999356420477857809", "999356420477857809")</f>
        <v/>
      </c>
      <c r="B184" s="2" t="n">
        <v>43243.76981481481</v>
      </c>
      <c r="C184" t="n">
        <v>0</v>
      </c>
      <c r="D184" t="n">
        <v>0</v>
      </c>
      <c r="E184" t="s">
        <v>190</v>
      </c>
      <c r="F184" t="s"/>
      <c r="G184" t="s"/>
      <c r="H184" t="s"/>
      <c r="I184" t="s"/>
      <c r="J184" t="n">
        <v>-0.296</v>
      </c>
      <c r="K184" t="n">
        <v>0.104</v>
      </c>
      <c r="L184" t="n">
        <v>0.84</v>
      </c>
      <c r="M184" t="n">
        <v>0.056</v>
      </c>
    </row>
    <row r="185" spans="1:13">
      <c r="A185" s="1">
        <f>HYPERLINK("http://www.twitter.com/NathanBLawrence/status/999355648159682560", "999355648159682560")</f>
        <v/>
      </c>
      <c r="B185" s="2" t="n">
        <v>43243.76768518519</v>
      </c>
      <c r="C185" t="n">
        <v>0</v>
      </c>
      <c r="D185" t="n">
        <v>6</v>
      </c>
      <c r="E185" t="s">
        <v>191</v>
      </c>
      <c r="F185" t="s"/>
      <c r="G185" t="s"/>
      <c r="H185" t="s"/>
      <c r="I185" t="s"/>
      <c r="J185" t="n">
        <v>0.4619</v>
      </c>
      <c r="K185" t="n">
        <v>0.107</v>
      </c>
      <c r="L185" t="n">
        <v>0.661</v>
      </c>
      <c r="M185" t="n">
        <v>0.232</v>
      </c>
    </row>
    <row r="186" spans="1:13">
      <c r="A186" s="1">
        <f>HYPERLINK("http://www.twitter.com/NathanBLawrence/status/999355598897590283", "999355598897590283")</f>
        <v/>
      </c>
      <c r="B186" s="2" t="n">
        <v>43243.76754629629</v>
      </c>
      <c r="C186" t="n">
        <v>6</v>
      </c>
      <c r="D186" t="n">
        <v>4</v>
      </c>
      <c r="E186" t="s">
        <v>192</v>
      </c>
      <c r="F186" t="s"/>
      <c r="G186" t="s"/>
      <c r="H186" t="s"/>
      <c r="I186" t="s"/>
      <c r="J186" t="n">
        <v>-0.5106000000000001</v>
      </c>
      <c r="K186" t="n">
        <v>0.32</v>
      </c>
      <c r="L186" t="n">
        <v>0.68</v>
      </c>
      <c r="M186" t="n">
        <v>0</v>
      </c>
    </row>
    <row r="187" spans="1:13">
      <c r="A187" s="1">
        <f>HYPERLINK("http://www.twitter.com/NathanBLawrence/status/999355145547853830", "999355145547853830")</f>
        <v/>
      </c>
      <c r="B187" s="2" t="n">
        <v>43243.76629629629</v>
      </c>
      <c r="C187" t="n">
        <v>0</v>
      </c>
      <c r="D187" t="n">
        <v>7</v>
      </c>
      <c r="E187" t="s">
        <v>193</v>
      </c>
      <c r="F187" t="s"/>
      <c r="G187" t="s"/>
      <c r="H187" t="s"/>
      <c r="I187" t="s"/>
      <c r="J187" t="n">
        <v>0.7779</v>
      </c>
      <c r="K187" t="n">
        <v>0</v>
      </c>
      <c r="L187" t="n">
        <v>0.672</v>
      </c>
      <c r="M187" t="n">
        <v>0.328</v>
      </c>
    </row>
    <row r="188" spans="1:13">
      <c r="A188" s="1">
        <f>HYPERLINK("http://www.twitter.com/NathanBLawrence/status/999355121808093190", "999355121808093190")</f>
        <v/>
      </c>
      <c r="B188" s="2" t="n">
        <v>43243.76622685185</v>
      </c>
      <c r="C188" t="n">
        <v>0</v>
      </c>
      <c r="D188" t="n">
        <v>7</v>
      </c>
      <c r="E188" t="s">
        <v>194</v>
      </c>
      <c r="F188" t="s"/>
      <c r="G188" t="s"/>
      <c r="H188" t="s"/>
      <c r="I188" t="s"/>
      <c r="J188" t="n">
        <v>-0.8225</v>
      </c>
      <c r="K188" t="n">
        <v>0.312</v>
      </c>
      <c r="L188" t="n">
        <v>0.6879999999999999</v>
      </c>
      <c r="M188" t="n">
        <v>0</v>
      </c>
    </row>
    <row r="189" spans="1:13">
      <c r="A189" s="1">
        <f>HYPERLINK("http://www.twitter.com/NathanBLawrence/status/999355014161338368", "999355014161338368")</f>
        <v/>
      </c>
      <c r="B189" s="2" t="n">
        <v>43243.7659375</v>
      </c>
      <c r="C189" t="n">
        <v>0</v>
      </c>
      <c r="D189" t="n">
        <v>4</v>
      </c>
      <c r="E189" t="s">
        <v>195</v>
      </c>
      <c r="F189" t="s"/>
      <c r="G189" t="s"/>
      <c r="H189" t="s"/>
      <c r="I189" t="s"/>
      <c r="J189" t="n">
        <v>-0.7351</v>
      </c>
      <c r="K189" t="n">
        <v>0.22</v>
      </c>
      <c r="L189" t="n">
        <v>0.78</v>
      </c>
      <c r="M189" t="n">
        <v>0</v>
      </c>
    </row>
    <row r="190" spans="1:13">
      <c r="A190" s="1">
        <f>HYPERLINK("http://www.twitter.com/NathanBLawrence/status/999351673029046275", "999351673029046275")</f>
        <v/>
      </c>
      <c r="B190" s="2" t="n">
        <v>43243.75671296296</v>
      </c>
      <c r="C190" t="n">
        <v>0</v>
      </c>
      <c r="D190" t="n">
        <v>0</v>
      </c>
      <c r="E190" t="s">
        <v>196</v>
      </c>
      <c r="F190" t="s"/>
      <c r="G190" t="s"/>
      <c r="H190" t="s"/>
      <c r="I190" t="s"/>
      <c r="J190" t="n">
        <v>0.3182</v>
      </c>
      <c r="K190" t="n">
        <v>0</v>
      </c>
      <c r="L190" t="n">
        <v>0.777</v>
      </c>
      <c r="M190" t="n">
        <v>0.223</v>
      </c>
    </row>
    <row r="191" spans="1:13">
      <c r="A191" s="1">
        <f>HYPERLINK("http://www.twitter.com/NathanBLawrence/status/999351523229470720", "999351523229470720")</f>
        <v/>
      </c>
      <c r="B191" s="2" t="n">
        <v>43243.7562962963</v>
      </c>
      <c r="C191" t="n">
        <v>0</v>
      </c>
      <c r="D191" t="n">
        <v>0</v>
      </c>
      <c r="E191" t="s">
        <v>197</v>
      </c>
      <c r="F191" t="s"/>
      <c r="G191" t="s"/>
      <c r="H191" t="s"/>
      <c r="I191" t="s"/>
      <c r="J191" t="n">
        <v>0.7161</v>
      </c>
      <c r="K191" t="n">
        <v>0</v>
      </c>
      <c r="L191" t="n">
        <v>0.861</v>
      </c>
      <c r="M191" t="n">
        <v>0.139</v>
      </c>
    </row>
    <row r="192" spans="1:13">
      <c r="A192" s="1">
        <f>HYPERLINK("http://www.twitter.com/NathanBLawrence/status/999350795534503936", "999350795534503936")</f>
        <v/>
      </c>
      <c r="B192" s="2" t="n">
        <v>43243.75429398148</v>
      </c>
      <c r="C192" t="n">
        <v>2</v>
      </c>
      <c r="D192" t="n">
        <v>0</v>
      </c>
      <c r="E192" t="s">
        <v>198</v>
      </c>
      <c r="F192" t="s"/>
      <c r="G192" t="s"/>
      <c r="H192" t="s"/>
      <c r="I192" t="s"/>
      <c r="J192" t="n">
        <v>0.5707</v>
      </c>
      <c r="K192" t="n">
        <v>0.08</v>
      </c>
      <c r="L192" t="n">
        <v>0.738</v>
      </c>
      <c r="M192" t="n">
        <v>0.182</v>
      </c>
    </row>
    <row r="193" spans="1:13">
      <c r="A193" s="1">
        <f>HYPERLINK("http://www.twitter.com/NathanBLawrence/status/999350627565211648", "999350627565211648")</f>
        <v/>
      </c>
      <c r="B193" s="2" t="n">
        <v>43243.75383101852</v>
      </c>
      <c r="C193" t="n">
        <v>1</v>
      </c>
      <c r="D193" t="n">
        <v>1</v>
      </c>
      <c r="E193" t="s">
        <v>199</v>
      </c>
      <c r="F193">
        <f>HYPERLINK("https://video.twimg.com/ext_tw_video/999350559235719169/pu/vid/1280x720/fRNCV3z8gMDDh2Q1.mp4?tag=3", "https://video.twimg.com/ext_tw_video/999350559235719169/pu/vid/1280x720/fRNCV3z8gMDDh2Q1.mp4?tag=3")</f>
        <v/>
      </c>
      <c r="G193" t="s"/>
      <c r="H193" t="s"/>
      <c r="I193" t="s"/>
      <c r="J193" t="n">
        <v>-0.4023</v>
      </c>
      <c r="K193" t="n">
        <v>0.076</v>
      </c>
      <c r="L193" t="n">
        <v>0.924</v>
      </c>
      <c r="M193" t="n">
        <v>0</v>
      </c>
    </row>
    <row r="194" spans="1:13">
      <c r="A194" s="1">
        <f>HYPERLINK("http://www.twitter.com/NathanBLawrence/status/999350358949408776", "999350358949408776")</f>
        <v/>
      </c>
      <c r="B194" s="2" t="n">
        <v>43243.75309027778</v>
      </c>
      <c r="C194" t="n">
        <v>2</v>
      </c>
      <c r="D194" t="n">
        <v>1</v>
      </c>
      <c r="E194" t="s">
        <v>200</v>
      </c>
      <c r="F194">
        <f>HYPERLINK("http://pbs.twimg.com/media/Dd5n2X8V0AAZ3N4.jpg", "http://pbs.twimg.com/media/Dd5n2X8V0AAZ3N4.jpg")</f>
        <v/>
      </c>
      <c r="G194" t="s"/>
      <c r="H194" t="s"/>
      <c r="I194" t="s"/>
      <c r="J194" t="n">
        <v>-0.7456</v>
      </c>
      <c r="K194" t="n">
        <v>0.18</v>
      </c>
      <c r="L194" t="n">
        <v>0.772</v>
      </c>
      <c r="M194" t="n">
        <v>0.048</v>
      </c>
    </row>
    <row r="195" spans="1:13">
      <c r="A195" s="1">
        <f>HYPERLINK("http://www.twitter.com/NathanBLawrence/status/999350059610333184", "999350059610333184")</f>
        <v/>
      </c>
      <c r="B195" s="2" t="n">
        <v>43243.75225694444</v>
      </c>
      <c r="C195" t="n">
        <v>0</v>
      </c>
      <c r="D195" t="n">
        <v>0</v>
      </c>
      <c r="E195" t="s">
        <v>201</v>
      </c>
      <c r="F195">
        <f>HYPERLINK("http://pbs.twimg.com/media/Dd5nku0UQAAVkDk.jpg", "http://pbs.twimg.com/media/Dd5nku0UQAAVkDk.jpg")</f>
        <v/>
      </c>
      <c r="G195" t="s"/>
      <c r="H195" t="s"/>
      <c r="I195" t="s"/>
      <c r="J195" t="n">
        <v>-0.6872</v>
      </c>
      <c r="K195" t="n">
        <v>0.112</v>
      </c>
      <c r="L195" t="n">
        <v>0.864</v>
      </c>
      <c r="M195" t="n">
        <v>0.024</v>
      </c>
    </row>
    <row r="196" spans="1:13">
      <c r="A196" s="1">
        <f>HYPERLINK("http://www.twitter.com/NathanBLawrence/status/999348986678075392", "999348986678075392")</f>
        <v/>
      </c>
      <c r="B196" s="2" t="n">
        <v>43243.74930555555</v>
      </c>
      <c r="C196" t="n">
        <v>0</v>
      </c>
      <c r="D196" t="n">
        <v>4</v>
      </c>
      <c r="E196" t="s">
        <v>202</v>
      </c>
      <c r="F196" t="s"/>
      <c r="G196" t="s"/>
      <c r="H196" t="s"/>
      <c r="I196" t="s"/>
      <c r="J196" t="n">
        <v>-0.5574</v>
      </c>
      <c r="K196" t="n">
        <v>0.266</v>
      </c>
      <c r="L196" t="n">
        <v>0.631</v>
      </c>
      <c r="M196" t="n">
        <v>0.104</v>
      </c>
    </row>
    <row r="197" spans="1:13">
      <c r="A197" s="1">
        <f>HYPERLINK("http://www.twitter.com/NathanBLawrence/status/999348960283254784", "999348960283254784")</f>
        <v/>
      </c>
      <c r="B197" s="2" t="n">
        <v>43243.74922453704</v>
      </c>
      <c r="C197" t="n">
        <v>0</v>
      </c>
      <c r="D197" t="n">
        <v>10</v>
      </c>
      <c r="E197" t="s">
        <v>203</v>
      </c>
      <c r="F197" t="s"/>
      <c r="G197" t="s"/>
      <c r="H197" t="s"/>
      <c r="I197" t="s"/>
      <c r="J197" t="n">
        <v>0</v>
      </c>
      <c r="K197" t="n">
        <v>0</v>
      </c>
      <c r="L197" t="n">
        <v>1</v>
      </c>
      <c r="M197" t="n">
        <v>0</v>
      </c>
    </row>
    <row r="198" spans="1:13">
      <c r="A198" s="1">
        <f>HYPERLINK("http://www.twitter.com/NathanBLawrence/status/999348934123368450", "999348934123368450")</f>
        <v/>
      </c>
      <c r="B198" s="2" t="n">
        <v>43243.74915509259</v>
      </c>
      <c r="C198" t="n">
        <v>0</v>
      </c>
      <c r="D198" t="n">
        <v>6</v>
      </c>
      <c r="E198" t="s">
        <v>204</v>
      </c>
      <c r="F198" t="s"/>
      <c r="G198" t="s"/>
      <c r="H198" t="s"/>
      <c r="I198" t="s"/>
      <c r="J198" t="n">
        <v>-0.4574</v>
      </c>
      <c r="K198" t="n">
        <v>0.187</v>
      </c>
      <c r="L198" t="n">
        <v>0.8129999999999999</v>
      </c>
      <c r="M198" t="n">
        <v>0</v>
      </c>
    </row>
    <row r="199" spans="1:13">
      <c r="A199" s="1">
        <f>HYPERLINK("http://www.twitter.com/NathanBLawrence/status/999348070168047617", "999348070168047617")</f>
        <v/>
      </c>
      <c r="B199" s="2" t="n">
        <v>43243.74677083334</v>
      </c>
      <c r="C199" t="n">
        <v>3</v>
      </c>
      <c r="D199" t="n">
        <v>1</v>
      </c>
      <c r="E199" t="s">
        <v>205</v>
      </c>
      <c r="F199" t="s"/>
      <c r="G199" t="s"/>
      <c r="H199" t="s"/>
      <c r="I199" t="s"/>
      <c r="J199" t="n">
        <v>0</v>
      </c>
      <c r="K199" t="n">
        <v>0</v>
      </c>
      <c r="L199" t="n">
        <v>1</v>
      </c>
      <c r="M199" t="n">
        <v>0</v>
      </c>
    </row>
    <row r="200" spans="1:13">
      <c r="A200" s="1">
        <f>HYPERLINK("http://www.twitter.com/NathanBLawrence/status/999347172637335552", "999347172637335552")</f>
        <v/>
      </c>
      <c r="B200" s="2" t="n">
        <v>43243.74429398148</v>
      </c>
      <c r="C200" t="n">
        <v>0</v>
      </c>
      <c r="D200" t="n">
        <v>0</v>
      </c>
      <c r="E200" t="s">
        <v>206</v>
      </c>
      <c r="F200" t="s"/>
      <c r="G200" t="s"/>
      <c r="H200" t="s"/>
      <c r="I200" t="s"/>
      <c r="J200" t="n">
        <v>0.1541</v>
      </c>
      <c r="K200" t="n">
        <v>0.06900000000000001</v>
      </c>
      <c r="L200" t="n">
        <v>0.871</v>
      </c>
      <c r="M200" t="n">
        <v>0.061</v>
      </c>
    </row>
    <row r="201" spans="1:13">
      <c r="A201" s="1">
        <f>HYPERLINK("http://www.twitter.com/NathanBLawrence/status/999343628576272386", "999343628576272386")</f>
        <v/>
      </c>
      <c r="B201" s="2" t="n">
        <v>43243.73451388889</v>
      </c>
      <c r="C201" t="n">
        <v>0</v>
      </c>
      <c r="D201" t="n">
        <v>9</v>
      </c>
      <c r="E201" t="s">
        <v>207</v>
      </c>
      <c r="F201">
        <f>HYPERLINK("http://pbs.twimg.com/media/Dd5htWhV4AURtie.jpg", "http://pbs.twimg.com/media/Dd5htWhV4AURtie.jpg")</f>
        <v/>
      </c>
      <c r="G201" t="s"/>
      <c r="H201" t="s"/>
      <c r="I201" t="s"/>
      <c r="J201" t="n">
        <v>-0.6705</v>
      </c>
      <c r="K201" t="n">
        <v>0.193</v>
      </c>
      <c r="L201" t="n">
        <v>0.8070000000000001</v>
      </c>
      <c r="M201" t="n">
        <v>0</v>
      </c>
    </row>
    <row r="202" spans="1:13">
      <c r="A202" s="1">
        <f>HYPERLINK("http://www.twitter.com/NathanBLawrence/status/999343605054455809", "999343605054455809")</f>
        <v/>
      </c>
      <c r="B202" s="2" t="n">
        <v>43243.73445601852</v>
      </c>
      <c r="C202" t="n">
        <v>12</v>
      </c>
      <c r="D202" t="n">
        <v>9</v>
      </c>
      <c r="E202" t="s">
        <v>208</v>
      </c>
      <c r="F202">
        <f>HYPERLINK("http://pbs.twimg.com/media/Dd5htWhV4AURtie.jpg", "http://pbs.twimg.com/media/Dd5htWhV4AURtie.jpg")</f>
        <v/>
      </c>
      <c r="G202" t="s"/>
      <c r="H202" t="s"/>
      <c r="I202" t="s"/>
      <c r="J202" t="n">
        <v>-0.3818</v>
      </c>
      <c r="K202" t="n">
        <v>0.094</v>
      </c>
      <c r="L202" t="n">
        <v>0.856</v>
      </c>
      <c r="M202" t="n">
        <v>0.05</v>
      </c>
    </row>
    <row r="203" spans="1:13">
      <c r="A203" s="1">
        <f>HYPERLINK("http://www.twitter.com/NathanBLawrence/status/999342905729978368", "999342905729978368")</f>
        <v/>
      </c>
      <c r="B203" s="2" t="n">
        <v>43243.73252314814</v>
      </c>
      <c r="C203" t="n">
        <v>0</v>
      </c>
      <c r="D203" t="n">
        <v>10</v>
      </c>
      <c r="E203" t="s">
        <v>209</v>
      </c>
      <c r="F203">
        <f>HYPERLINK("https://video.twimg.com/ext_tw_video/999339877664604160/pu/vid/1280x720/Lq9xPxBdEWHkdEia.mp4?tag=3", "https://video.twimg.com/ext_tw_video/999339877664604160/pu/vid/1280x720/Lq9xPxBdEWHkdEia.mp4?tag=3")</f>
        <v/>
      </c>
      <c r="G203" t="s"/>
      <c r="H203" t="s"/>
      <c r="I203" t="s"/>
      <c r="J203" t="n">
        <v>-0.4023</v>
      </c>
      <c r="K203" t="n">
        <v>0.119</v>
      </c>
      <c r="L203" t="n">
        <v>0.881</v>
      </c>
      <c r="M203" t="n">
        <v>0</v>
      </c>
    </row>
    <row r="204" spans="1:13">
      <c r="A204" s="1">
        <f>HYPERLINK("http://www.twitter.com/NathanBLawrence/status/999342685914836992", "999342685914836992")</f>
        <v/>
      </c>
      <c r="B204" s="2" t="n">
        <v>43243.73190972222</v>
      </c>
      <c r="C204" t="n">
        <v>12</v>
      </c>
      <c r="D204" t="n">
        <v>5</v>
      </c>
      <c r="E204" t="s">
        <v>210</v>
      </c>
      <c r="F204" t="s"/>
      <c r="G204" t="s"/>
      <c r="H204" t="s"/>
      <c r="I204" t="s"/>
      <c r="J204" t="n">
        <v>0.3919</v>
      </c>
      <c r="K204" t="n">
        <v>0.031</v>
      </c>
      <c r="L204" t="n">
        <v>0.906</v>
      </c>
      <c r="M204" t="n">
        <v>0.063</v>
      </c>
    </row>
    <row r="205" spans="1:13">
      <c r="A205" s="1">
        <f>HYPERLINK("http://www.twitter.com/NathanBLawrence/status/999341425027440640", "999341425027440640")</f>
        <v/>
      </c>
      <c r="B205" s="2" t="n">
        <v>43243.7284375</v>
      </c>
      <c r="C205" t="n">
        <v>0</v>
      </c>
      <c r="D205" t="n">
        <v>7</v>
      </c>
      <c r="E205" t="s">
        <v>211</v>
      </c>
      <c r="F205" t="s"/>
      <c r="G205" t="s"/>
      <c r="H205" t="s"/>
      <c r="I205" t="s"/>
      <c r="J205" t="n">
        <v>-0.296</v>
      </c>
      <c r="K205" t="n">
        <v>0.097</v>
      </c>
      <c r="L205" t="n">
        <v>0.853</v>
      </c>
      <c r="M205" t="n">
        <v>0.05</v>
      </c>
    </row>
    <row r="206" spans="1:13">
      <c r="A206" s="1">
        <f>HYPERLINK("http://www.twitter.com/NathanBLawrence/status/999340215616581633", "999340215616581633")</f>
        <v/>
      </c>
      <c r="B206" s="2" t="n">
        <v>43243.72509259259</v>
      </c>
      <c r="C206" t="n">
        <v>16</v>
      </c>
      <c r="D206" t="n">
        <v>10</v>
      </c>
      <c r="E206" t="s">
        <v>212</v>
      </c>
      <c r="F206">
        <f>HYPERLINK("https://video.twimg.com/ext_tw_video/999339877664604160/pu/vid/1280x720/Lq9xPxBdEWHkdEia.mp4?tag=3", "https://video.twimg.com/ext_tw_video/999339877664604160/pu/vid/1280x720/Lq9xPxBdEWHkdEia.mp4?tag=3")</f>
        <v/>
      </c>
      <c r="G206" t="s"/>
      <c r="H206" t="s"/>
      <c r="I206" t="s"/>
      <c r="J206" t="n">
        <v>-0.4023</v>
      </c>
      <c r="K206" t="n">
        <v>0.109</v>
      </c>
      <c r="L206" t="n">
        <v>0.891</v>
      </c>
      <c r="M206" t="n">
        <v>0</v>
      </c>
    </row>
    <row r="207" spans="1:13">
      <c r="A207" s="1">
        <f>HYPERLINK("http://www.twitter.com/NathanBLawrence/status/999339281868083200", "999339281868083200")</f>
        <v/>
      </c>
      <c r="B207" s="2" t="n">
        <v>43243.72252314815</v>
      </c>
      <c r="C207" t="n">
        <v>0</v>
      </c>
      <c r="D207" t="n">
        <v>16</v>
      </c>
      <c r="E207" t="s">
        <v>213</v>
      </c>
      <c r="F207">
        <f>HYPERLINK("http://pbs.twimg.com/media/Dd5drSaVwAAIk6V.jpg", "http://pbs.twimg.com/media/Dd5drSaVwAAIk6V.jpg")</f>
        <v/>
      </c>
      <c r="G207" t="s"/>
      <c r="H207" t="s"/>
      <c r="I207" t="s"/>
      <c r="J207" t="n">
        <v>-0.0772</v>
      </c>
      <c r="K207" t="n">
        <v>0.139</v>
      </c>
      <c r="L207" t="n">
        <v>0.736</v>
      </c>
      <c r="M207" t="n">
        <v>0.126</v>
      </c>
    </row>
    <row r="208" spans="1:13">
      <c r="A208" s="1">
        <f>HYPERLINK("http://www.twitter.com/NathanBLawrence/status/999339189568180224", "999339189568180224")</f>
        <v/>
      </c>
      <c r="B208" s="2" t="n">
        <v>43243.72226851852</v>
      </c>
      <c r="C208" t="n">
        <v>20</v>
      </c>
      <c r="D208" t="n">
        <v>16</v>
      </c>
      <c r="E208" t="s">
        <v>214</v>
      </c>
      <c r="F208">
        <f>HYPERLINK("http://pbs.twimg.com/media/Dd5drSaVwAAIk6V.jpg", "http://pbs.twimg.com/media/Dd5drSaVwAAIk6V.jpg")</f>
        <v/>
      </c>
      <c r="G208" t="s"/>
      <c r="H208" t="s"/>
      <c r="I208" t="s"/>
      <c r="J208" t="n">
        <v>-0.694</v>
      </c>
      <c r="K208" t="n">
        <v>0.186</v>
      </c>
      <c r="L208" t="n">
        <v>0.752</v>
      </c>
      <c r="M208" t="n">
        <v>0.062</v>
      </c>
    </row>
    <row r="209" spans="1:13">
      <c r="A209" s="1">
        <f>HYPERLINK("http://www.twitter.com/NathanBLawrence/status/999332024962945031", "999332024962945031")</f>
        <v/>
      </c>
      <c r="B209" s="2" t="n">
        <v>43243.7025</v>
      </c>
      <c r="C209" t="n">
        <v>4</v>
      </c>
      <c r="D209" t="n">
        <v>2</v>
      </c>
      <c r="E209" t="s">
        <v>215</v>
      </c>
      <c r="F209" t="s"/>
      <c r="G209" t="s"/>
      <c r="H209" t="s"/>
      <c r="I209" t="s"/>
      <c r="J209" t="n">
        <v>-0.9219000000000001</v>
      </c>
      <c r="K209" t="n">
        <v>0.269</v>
      </c>
      <c r="L209" t="n">
        <v>0.6830000000000001</v>
      </c>
      <c r="M209" t="n">
        <v>0.048</v>
      </c>
    </row>
    <row r="210" spans="1:13">
      <c r="A210" s="1">
        <f>HYPERLINK("http://www.twitter.com/NathanBLawrence/status/999331387974012929", "999331387974012929")</f>
        <v/>
      </c>
      <c r="B210" s="2" t="n">
        <v>43243.70074074074</v>
      </c>
      <c r="C210" t="n">
        <v>2</v>
      </c>
      <c r="D210" t="n">
        <v>0</v>
      </c>
      <c r="E210" t="s">
        <v>216</v>
      </c>
      <c r="F210" t="s"/>
      <c r="G210" t="s"/>
      <c r="H210" t="s"/>
      <c r="I210" t="s"/>
      <c r="J210" t="n">
        <v>-0.5994</v>
      </c>
      <c r="K210" t="n">
        <v>0.259</v>
      </c>
      <c r="L210" t="n">
        <v>0.741</v>
      </c>
      <c r="M210" t="n">
        <v>0</v>
      </c>
    </row>
    <row r="211" spans="1:13">
      <c r="A211" s="1">
        <f>HYPERLINK("http://www.twitter.com/NathanBLawrence/status/999265045442854912", "999265045442854912")</f>
        <v/>
      </c>
      <c r="B211" s="2" t="n">
        <v>43243.51766203704</v>
      </c>
      <c r="C211" t="n">
        <v>0</v>
      </c>
      <c r="D211" t="n">
        <v>4</v>
      </c>
      <c r="E211" t="s">
        <v>217</v>
      </c>
      <c r="F211" t="s"/>
      <c r="G211" t="s"/>
      <c r="H211" t="s"/>
      <c r="I211" t="s"/>
      <c r="J211" t="n">
        <v>-0.739</v>
      </c>
      <c r="K211" t="n">
        <v>0.238</v>
      </c>
      <c r="L211" t="n">
        <v>0.762</v>
      </c>
      <c r="M211" t="n">
        <v>0</v>
      </c>
    </row>
    <row r="212" spans="1:13">
      <c r="A212" s="1">
        <f>HYPERLINK("http://www.twitter.com/NathanBLawrence/status/999233014726057984", "999233014726057984")</f>
        <v/>
      </c>
      <c r="B212" s="2" t="n">
        <v>43243.42928240741</v>
      </c>
      <c r="C212" t="n">
        <v>0</v>
      </c>
      <c r="D212" t="n">
        <v>8</v>
      </c>
      <c r="E212" t="s">
        <v>218</v>
      </c>
      <c r="F212" t="s"/>
      <c r="G212" t="s"/>
      <c r="H212" t="s"/>
      <c r="I212" t="s"/>
      <c r="J212" t="n">
        <v>0.6179</v>
      </c>
      <c r="K212" t="n">
        <v>0</v>
      </c>
      <c r="L212" t="n">
        <v>0.748</v>
      </c>
      <c r="M212" t="n">
        <v>0.252</v>
      </c>
    </row>
    <row r="213" spans="1:13">
      <c r="A213" s="1">
        <f>HYPERLINK("http://www.twitter.com/NathanBLawrence/status/999232982111150080", "999232982111150080")</f>
        <v/>
      </c>
      <c r="B213" s="2" t="n">
        <v>43243.42918981481</v>
      </c>
      <c r="C213" t="n">
        <v>0</v>
      </c>
      <c r="D213" t="n">
        <v>7</v>
      </c>
      <c r="E213" t="s">
        <v>219</v>
      </c>
      <c r="F213" t="s"/>
      <c r="G213" t="s"/>
      <c r="H213" t="s"/>
      <c r="I213" t="s"/>
      <c r="J213" t="n">
        <v>0.4019</v>
      </c>
      <c r="K213" t="n">
        <v>0</v>
      </c>
      <c r="L213" t="n">
        <v>0.829</v>
      </c>
      <c r="M213" t="n">
        <v>0.171</v>
      </c>
    </row>
    <row r="214" spans="1:13">
      <c r="A214" s="1">
        <f>HYPERLINK("http://www.twitter.com/NathanBLawrence/status/999230959160627200", "999230959160627200")</f>
        <v/>
      </c>
      <c r="B214" s="2" t="n">
        <v>43243.42361111111</v>
      </c>
      <c r="C214" t="n">
        <v>0</v>
      </c>
      <c r="D214" t="n">
        <v>8</v>
      </c>
      <c r="E214" t="s">
        <v>220</v>
      </c>
      <c r="F214" t="s"/>
      <c r="G214" t="s"/>
      <c r="H214" t="s"/>
      <c r="I214" t="s"/>
      <c r="J214" t="n">
        <v>-0.2023</v>
      </c>
      <c r="K214" t="n">
        <v>0.096</v>
      </c>
      <c r="L214" t="n">
        <v>0.904</v>
      </c>
      <c r="M214" t="n">
        <v>0</v>
      </c>
    </row>
    <row r="215" spans="1:13">
      <c r="A215" s="1">
        <f>HYPERLINK("http://www.twitter.com/NathanBLawrence/status/999192972297154560", "999192972297154560")</f>
        <v/>
      </c>
      <c r="B215" s="2" t="n">
        <v>43243.31878472222</v>
      </c>
      <c r="C215" t="n">
        <v>0</v>
      </c>
      <c r="D215" t="n">
        <v>0</v>
      </c>
      <c r="E215" t="s">
        <v>221</v>
      </c>
      <c r="F215" t="s"/>
      <c r="G215" t="s"/>
      <c r="H215" t="s"/>
      <c r="I215" t="s"/>
      <c r="J215" t="n">
        <v>-0.0772</v>
      </c>
      <c r="K215" t="n">
        <v>0.117</v>
      </c>
      <c r="L215" t="n">
        <v>0.8090000000000001</v>
      </c>
      <c r="M215" t="n">
        <v>0.074</v>
      </c>
    </row>
    <row r="216" spans="1:13">
      <c r="A216" s="1">
        <f>HYPERLINK("http://www.twitter.com/NathanBLawrence/status/999154860225433601", "999154860225433601")</f>
        <v/>
      </c>
      <c r="B216" s="2" t="n">
        <v>43243.21361111111</v>
      </c>
      <c r="C216" t="n">
        <v>0</v>
      </c>
      <c r="D216" t="n">
        <v>8</v>
      </c>
      <c r="E216" t="s">
        <v>222</v>
      </c>
      <c r="F216" t="s"/>
      <c r="G216" t="s"/>
      <c r="H216" t="s"/>
      <c r="I216" t="s"/>
      <c r="J216" t="n">
        <v>0.4404</v>
      </c>
      <c r="K216" t="n">
        <v>0</v>
      </c>
      <c r="L216" t="n">
        <v>0.892</v>
      </c>
      <c r="M216" t="n">
        <v>0.108</v>
      </c>
    </row>
    <row r="217" spans="1:13">
      <c r="A217" s="1">
        <f>HYPERLINK("http://www.twitter.com/NathanBLawrence/status/999154782207119361", "999154782207119361")</f>
        <v/>
      </c>
      <c r="B217" s="2" t="n">
        <v>43243.21340277778</v>
      </c>
      <c r="C217" t="n">
        <v>0</v>
      </c>
      <c r="D217" t="n">
        <v>11</v>
      </c>
      <c r="E217" t="s">
        <v>223</v>
      </c>
      <c r="F217" t="s"/>
      <c r="G217" t="s"/>
      <c r="H217" t="s"/>
      <c r="I217" t="s"/>
      <c r="J217" t="n">
        <v>0.3875</v>
      </c>
      <c r="K217" t="n">
        <v>0</v>
      </c>
      <c r="L217" t="n">
        <v>0.869</v>
      </c>
      <c r="M217" t="n">
        <v>0.131</v>
      </c>
    </row>
    <row r="218" spans="1:13">
      <c r="A218" s="1">
        <f>HYPERLINK("http://www.twitter.com/NathanBLawrence/status/999153864178913280", "999153864178913280")</f>
        <v/>
      </c>
      <c r="B218" s="2" t="n">
        <v>43243.21086805555</v>
      </c>
      <c r="C218" t="n">
        <v>12</v>
      </c>
      <c r="D218" t="n">
        <v>8</v>
      </c>
      <c r="E218" t="s">
        <v>224</v>
      </c>
      <c r="F218" t="s"/>
      <c r="G218" t="s"/>
      <c r="H218" t="s"/>
      <c r="I218" t="s"/>
      <c r="J218" t="n">
        <v>-0.2023</v>
      </c>
      <c r="K218" t="n">
        <v>0.107</v>
      </c>
      <c r="L218" t="n">
        <v>0.893</v>
      </c>
      <c r="M218" t="n">
        <v>0</v>
      </c>
    </row>
    <row r="219" spans="1:13">
      <c r="A219" s="1">
        <f>HYPERLINK("http://www.twitter.com/NathanBLawrence/status/999152655673982977", "999152655673982977")</f>
        <v/>
      </c>
      <c r="B219" s="2" t="n">
        <v>43243.20753472222</v>
      </c>
      <c r="C219" t="n">
        <v>17</v>
      </c>
      <c r="D219" t="n">
        <v>11</v>
      </c>
      <c r="E219" t="s">
        <v>225</v>
      </c>
      <c r="F219" t="s"/>
      <c r="G219" t="s"/>
      <c r="H219" t="s"/>
      <c r="I219" t="s"/>
      <c r="J219" t="n">
        <v>0.4567</v>
      </c>
      <c r="K219" t="n">
        <v>0</v>
      </c>
      <c r="L219" t="n">
        <v>0.923</v>
      </c>
      <c r="M219" t="n">
        <v>0.077</v>
      </c>
    </row>
    <row r="220" spans="1:13">
      <c r="A220" s="1">
        <f>HYPERLINK("http://www.twitter.com/NathanBLawrence/status/999151898686119936", "999151898686119936")</f>
        <v/>
      </c>
      <c r="B220" s="2" t="n">
        <v>43243.20543981482</v>
      </c>
      <c r="C220" t="n">
        <v>0</v>
      </c>
      <c r="D220" t="n">
        <v>11</v>
      </c>
      <c r="E220" t="s">
        <v>226</v>
      </c>
      <c r="F220" t="s"/>
      <c r="G220" t="s"/>
      <c r="H220" t="s"/>
      <c r="I220" t="s"/>
      <c r="J220" t="n">
        <v>-0.5411</v>
      </c>
      <c r="K220" t="n">
        <v>0.205</v>
      </c>
      <c r="L220" t="n">
        <v>0.707</v>
      </c>
      <c r="M220" t="n">
        <v>0.08799999999999999</v>
      </c>
    </row>
    <row r="221" spans="1:13">
      <c r="A221" s="1">
        <f>HYPERLINK("http://www.twitter.com/NathanBLawrence/status/999151713008406528", "999151713008406528")</f>
        <v/>
      </c>
      <c r="B221" s="2" t="n">
        <v>43243.20493055556</v>
      </c>
      <c r="C221" t="n">
        <v>0</v>
      </c>
      <c r="D221" t="n">
        <v>8</v>
      </c>
      <c r="E221" t="s">
        <v>227</v>
      </c>
      <c r="F221">
        <f>HYPERLINK("http://pbs.twimg.com/media/DdzXxnzVwAAFy_l.jpg", "http://pbs.twimg.com/media/DdzXxnzVwAAFy_l.jpg")</f>
        <v/>
      </c>
      <c r="G221" t="s"/>
      <c r="H221" t="s"/>
      <c r="I221" t="s"/>
      <c r="J221" t="n">
        <v>0.5994</v>
      </c>
      <c r="K221" t="n">
        <v>0</v>
      </c>
      <c r="L221" t="n">
        <v>0.8129999999999999</v>
      </c>
      <c r="M221" t="n">
        <v>0.187</v>
      </c>
    </row>
    <row r="222" spans="1:13">
      <c r="A222" s="1">
        <f>HYPERLINK("http://www.twitter.com/NathanBLawrence/status/999151669974888448", "999151669974888448")</f>
        <v/>
      </c>
      <c r="B222" s="2" t="n">
        <v>43243.20481481482</v>
      </c>
      <c r="C222" t="n">
        <v>0</v>
      </c>
      <c r="D222" t="n">
        <v>7</v>
      </c>
      <c r="E222" t="s">
        <v>228</v>
      </c>
      <c r="F222">
        <f>HYPERLINK("http://pbs.twimg.com/media/Dd2Bg-HVQAAaZ5o.jpg", "http://pbs.twimg.com/media/Dd2Bg-HVQAAaZ5o.jpg")</f>
        <v/>
      </c>
      <c r="G222" t="s"/>
      <c r="H222" t="s"/>
      <c r="I222" t="s"/>
      <c r="J222" t="n">
        <v>-0.4466</v>
      </c>
      <c r="K222" t="n">
        <v>0.128</v>
      </c>
      <c r="L222" t="n">
        <v>0.872</v>
      </c>
      <c r="M222" t="n">
        <v>0</v>
      </c>
    </row>
    <row r="223" spans="1:13">
      <c r="A223" s="1">
        <f>HYPERLINK("http://www.twitter.com/NathanBLawrence/status/999151599921614849", "999151599921614849")</f>
        <v/>
      </c>
      <c r="B223" s="2" t="n">
        <v>43243.20461805556</v>
      </c>
      <c r="C223" t="n">
        <v>0</v>
      </c>
      <c r="D223" t="n">
        <v>8</v>
      </c>
      <c r="E223" t="s">
        <v>229</v>
      </c>
      <c r="F223" t="s"/>
      <c r="G223" t="s"/>
      <c r="H223" t="s"/>
      <c r="I223" t="s"/>
      <c r="J223" t="n">
        <v>0.5667</v>
      </c>
      <c r="K223" t="n">
        <v>0</v>
      </c>
      <c r="L223" t="n">
        <v>0.845</v>
      </c>
      <c r="M223" t="n">
        <v>0.155</v>
      </c>
    </row>
    <row r="224" spans="1:13">
      <c r="A224" s="1">
        <f>HYPERLINK("http://www.twitter.com/NathanBLawrence/status/999151563552776193", "999151563552776193")</f>
        <v/>
      </c>
      <c r="B224" s="2" t="n">
        <v>43243.20451388889</v>
      </c>
      <c r="C224" t="n">
        <v>0</v>
      </c>
      <c r="D224" t="n">
        <v>10</v>
      </c>
      <c r="E224" t="s">
        <v>230</v>
      </c>
      <c r="F224" t="s"/>
      <c r="G224" t="s"/>
      <c r="H224" t="s"/>
      <c r="I224" t="s"/>
      <c r="J224" t="n">
        <v>-0.3412</v>
      </c>
      <c r="K224" t="n">
        <v>0.099</v>
      </c>
      <c r="L224" t="n">
        <v>0.901</v>
      </c>
      <c r="M224" t="n">
        <v>0</v>
      </c>
    </row>
    <row r="225" spans="1:13">
      <c r="A225" s="1">
        <f>HYPERLINK("http://www.twitter.com/NathanBLawrence/status/999151544766468096", "999151544766468096")</f>
        <v/>
      </c>
      <c r="B225" s="2" t="n">
        <v>43243.20446759259</v>
      </c>
      <c r="C225" t="n">
        <v>0</v>
      </c>
      <c r="D225" t="n">
        <v>4</v>
      </c>
      <c r="E225" t="s">
        <v>231</v>
      </c>
      <c r="F225" t="s"/>
      <c r="G225" t="s"/>
      <c r="H225" t="s"/>
      <c r="I225" t="s"/>
      <c r="J225" t="n">
        <v>0</v>
      </c>
      <c r="K225" t="n">
        <v>0</v>
      </c>
      <c r="L225" t="n">
        <v>1</v>
      </c>
      <c r="M225" t="n">
        <v>0</v>
      </c>
    </row>
    <row r="226" spans="1:13">
      <c r="A226" s="1">
        <f>HYPERLINK("http://www.twitter.com/NathanBLawrence/status/999135369554726912", "999135369554726912")</f>
        <v/>
      </c>
      <c r="B226" s="2" t="n">
        <v>43243.15982638889</v>
      </c>
      <c r="C226" t="n">
        <v>0</v>
      </c>
      <c r="D226" t="n">
        <v>3</v>
      </c>
      <c r="E226" t="s">
        <v>232</v>
      </c>
      <c r="F226">
        <f>HYPERLINK("http://pbs.twimg.com/media/Dd1gKJHUQAASuVn.jpg", "http://pbs.twimg.com/media/Dd1gKJHUQAASuVn.jpg")</f>
        <v/>
      </c>
      <c r="G226" t="s"/>
      <c r="H226" t="s"/>
      <c r="I226" t="s"/>
      <c r="J226" t="n">
        <v>-0.3818</v>
      </c>
      <c r="K226" t="n">
        <v>0.148</v>
      </c>
      <c r="L226" t="n">
        <v>0.852</v>
      </c>
      <c r="M226" t="n">
        <v>0</v>
      </c>
    </row>
    <row r="227" spans="1:13">
      <c r="A227" s="1">
        <f>HYPERLINK("http://www.twitter.com/NathanBLawrence/status/999135261169774592", "999135261169774592")</f>
        <v/>
      </c>
      <c r="B227" s="2" t="n">
        <v>43243.15952546296</v>
      </c>
      <c r="C227" t="n">
        <v>0</v>
      </c>
      <c r="D227" t="n">
        <v>4</v>
      </c>
      <c r="E227" t="s">
        <v>233</v>
      </c>
      <c r="F227" t="s"/>
      <c r="G227" t="s"/>
      <c r="H227" t="s"/>
      <c r="I227" t="s"/>
      <c r="J227" t="n">
        <v>-0.3818</v>
      </c>
      <c r="K227" t="n">
        <v>0.102</v>
      </c>
      <c r="L227" t="n">
        <v>0.898</v>
      </c>
      <c r="M227" t="n">
        <v>0</v>
      </c>
    </row>
    <row r="228" spans="1:13">
      <c r="A228" s="1">
        <f>HYPERLINK("http://www.twitter.com/NathanBLawrence/status/999135237270622209", "999135237270622209")</f>
        <v/>
      </c>
      <c r="B228" s="2" t="n">
        <v>43243.1594675926</v>
      </c>
      <c r="C228" t="n">
        <v>0</v>
      </c>
      <c r="D228" t="n">
        <v>3</v>
      </c>
      <c r="E228" t="s">
        <v>234</v>
      </c>
      <c r="F228" t="s"/>
      <c r="G228" t="s"/>
      <c r="H228" t="s"/>
      <c r="I228" t="s"/>
      <c r="J228" t="n">
        <v>0.2732</v>
      </c>
      <c r="K228" t="n">
        <v>0.107</v>
      </c>
      <c r="L228" t="n">
        <v>0.712</v>
      </c>
      <c r="M228" t="n">
        <v>0.181</v>
      </c>
    </row>
    <row r="229" spans="1:13">
      <c r="A229" s="1">
        <f>HYPERLINK("http://www.twitter.com/NathanBLawrence/status/999135213467983872", "999135213467983872")</f>
        <v/>
      </c>
      <c r="B229" s="2" t="n">
        <v>43243.15939814815</v>
      </c>
      <c r="C229" t="n">
        <v>1</v>
      </c>
      <c r="D229" t="n">
        <v>0</v>
      </c>
      <c r="E229" t="s">
        <v>235</v>
      </c>
      <c r="F229" t="s"/>
      <c r="G229" t="s"/>
      <c r="H229" t="s"/>
      <c r="I229" t="s"/>
      <c r="J229" t="n">
        <v>0.3612</v>
      </c>
      <c r="K229" t="n">
        <v>0</v>
      </c>
      <c r="L229" t="n">
        <v>0.706</v>
      </c>
      <c r="M229" t="n">
        <v>0.294</v>
      </c>
    </row>
    <row r="230" spans="1:13">
      <c r="A230" s="1">
        <f>HYPERLINK("http://www.twitter.com/NathanBLawrence/status/999135029845463040", "999135029845463040")</f>
        <v/>
      </c>
      <c r="B230" s="2" t="n">
        <v>43243.15888888889</v>
      </c>
      <c r="C230" t="n">
        <v>0</v>
      </c>
      <c r="D230" t="n">
        <v>11</v>
      </c>
      <c r="E230" t="s">
        <v>236</v>
      </c>
      <c r="F230" t="s"/>
      <c r="G230" t="s"/>
      <c r="H230" t="s"/>
      <c r="I230" t="s"/>
      <c r="J230" t="n">
        <v>0</v>
      </c>
      <c r="K230" t="n">
        <v>0</v>
      </c>
      <c r="L230" t="n">
        <v>1</v>
      </c>
      <c r="M230" t="n">
        <v>0</v>
      </c>
    </row>
    <row r="231" spans="1:13">
      <c r="A231" s="1">
        <f>HYPERLINK("http://www.twitter.com/NathanBLawrence/status/999134998933499905", "999134998933499905")</f>
        <v/>
      </c>
      <c r="B231" s="2" t="n">
        <v>43243.15880787037</v>
      </c>
      <c r="C231" t="n">
        <v>0</v>
      </c>
      <c r="D231" t="n">
        <v>3</v>
      </c>
      <c r="E231" t="s">
        <v>237</v>
      </c>
      <c r="F231" t="s"/>
      <c r="G231" t="s"/>
      <c r="H231" t="s"/>
      <c r="I231" t="s"/>
      <c r="J231" t="n">
        <v>-0.2732</v>
      </c>
      <c r="K231" t="n">
        <v>0.135</v>
      </c>
      <c r="L231" t="n">
        <v>0.772</v>
      </c>
      <c r="M231" t="n">
        <v>0.093</v>
      </c>
    </row>
    <row r="232" spans="1:13">
      <c r="A232" s="1">
        <f>HYPERLINK("http://www.twitter.com/NathanBLawrence/status/999134963177021440", "999134963177021440")</f>
        <v/>
      </c>
      <c r="B232" s="2" t="n">
        <v>43243.1587037037</v>
      </c>
      <c r="C232" t="n">
        <v>0</v>
      </c>
      <c r="D232" t="n">
        <v>6</v>
      </c>
      <c r="E232" t="s">
        <v>238</v>
      </c>
      <c r="F232" t="s"/>
      <c r="G232" t="s"/>
      <c r="H232" t="s"/>
      <c r="I232" t="s"/>
      <c r="J232" t="n">
        <v>0.1531</v>
      </c>
      <c r="K232" t="n">
        <v>0.078</v>
      </c>
      <c r="L232" t="n">
        <v>0.82</v>
      </c>
      <c r="M232" t="n">
        <v>0.102</v>
      </c>
    </row>
    <row r="233" spans="1:13">
      <c r="A233" s="1">
        <f>HYPERLINK("http://www.twitter.com/NathanBLawrence/status/999130646420361218", "999130646420361218")</f>
        <v/>
      </c>
      <c r="B233" s="2" t="n">
        <v>43243.14679398148</v>
      </c>
      <c r="C233" t="n">
        <v>3</v>
      </c>
      <c r="D233" t="n">
        <v>2</v>
      </c>
      <c r="E233" t="s">
        <v>239</v>
      </c>
      <c r="F233" t="s"/>
      <c r="G233" t="s"/>
      <c r="H233" t="s"/>
      <c r="I233" t="s"/>
      <c r="J233" t="n">
        <v>-0.3612</v>
      </c>
      <c r="K233" t="n">
        <v>0.128</v>
      </c>
      <c r="L233" t="n">
        <v>0.872</v>
      </c>
      <c r="M233" t="n">
        <v>0</v>
      </c>
    </row>
    <row r="234" spans="1:13">
      <c r="A234" s="1">
        <f>HYPERLINK("http://www.twitter.com/NathanBLawrence/status/999114079548723201", "999114079548723201")</f>
        <v/>
      </c>
      <c r="B234" s="2" t="n">
        <v>43243.10107638889</v>
      </c>
      <c r="C234" t="n">
        <v>0</v>
      </c>
      <c r="D234" t="n">
        <v>8</v>
      </c>
      <c r="E234" t="s">
        <v>240</v>
      </c>
      <c r="F234" t="s"/>
      <c r="G234" t="s"/>
      <c r="H234" t="s"/>
      <c r="I234" t="s"/>
      <c r="J234" t="n">
        <v>0</v>
      </c>
      <c r="K234" t="n">
        <v>0</v>
      </c>
      <c r="L234" t="n">
        <v>1</v>
      </c>
      <c r="M234" t="n">
        <v>0</v>
      </c>
    </row>
    <row r="235" spans="1:13">
      <c r="A235" s="1">
        <f>HYPERLINK("http://www.twitter.com/NathanBLawrence/status/999111395693211649", "999111395693211649")</f>
        <v/>
      </c>
      <c r="B235" s="2" t="n">
        <v>43243.09366898148</v>
      </c>
      <c r="C235" t="n">
        <v>0</v>
      </c>
      <c r="D235" t="n">
        <v>14</v>
      </c>
      <c r="E235" t="s">
        <v>241</v>
      </c>
      <c r="F235" t="s"/>
      <c r="G235" t="s"/>
      <c r="H235" t="s"/>
      <c r="I235" t="s"/>
      <c r="J235" t="n">
        <v>0.3818</v>
      </c>
      <c r="K235" t="n">
        <v>0</v>
      </c>
      <c r="L235" t="n">
        <v>0.894</v>
      </c>
      <c r="M235" t="n">
        <v>0.106</v>
      </c>
    </row>
    <row r="236" spans="1:13">
      <c r="A236" s="1">
        <f>HYPERLINK("http://www.twitter.com/NathanBLawrence/status/999111306321022987", "999111306321022987")</f>
        <v/>
      </c>
      <c r="B236" s="2" t="n">
        <v>43243.09342592592</v>
      </c>
      <c r="C236" t="n">
        <v>12</v>
      </c>
      <c r="D236" t="n">
        <v>8</v>
      </c>
      <c r="E236" t="s">
        <v>242</v>
      </c>
      <c r="F236" t="s"/>
      <c r="G236" t="s"/>
      <c r="H236" t="s"/>
      <c r="I236" t="s"/>
      <c r="J236" t="n">
        <v>0.7592</v>
      </c>
      <c r="K236" t="n">
        <v>0</v>
      </c>
      <c r="L236" t="n">
        <v>0.876</v>
      </c>
      <c r="M236" t="n">
        <v>0.124</v>
      </c>
    </row>
    <row r="237" spans="1:13">
      <c r="A237" s="1">
        <f>HYPERLINK("http://www.twitter.com/NathanBLawrence/status/999105235552555009", "999105235552555009")</f>
        <v/>
      </c>
      <c r="B237" s="2" t="n">
        <v>43243.07667824074</v>
      </c>
      <c r="C237" t="n">
        <v>0</v>
      </c>
      <c r="D237" t="n">
        <v>6</v>
      </c>
      <c r="E237" t="s">
        <v>243</v>
      </c>
      <c r="F237" t="s"/>
      <c r="G237" t="s"/>
      <c r="H237" t="s"/>
      <c r="I237" t="s"/>
      <c r="J237" t="n">
        <v>0.25</v>
      </c>
      <c r="K237" t="n">
        <v>0.08599999999999999</v>
      </c>
      <c r="L237" t="n">
        <v>0.789</v>
      </c>
      <c r="M237" t="n">
        <v>0.124</v>
      </c>
    </row>
    <row r="238" spans="1:13">
      <c r="A238" s="1">
        <f>HYPERLINK("http://www.twitter.com/NathanBLawrence/status/999104338709630981", "999104338709630981")</f>
        <v/>
      </c>
      <c r="B238" s="2" t="n">
        <v>43243.07420138889</v>
      </c>
      <c r="C238" t="n">
        <v>7</v>
      </c>
      <c r="D238" t="n">
        <v>6</v>
      </c>
      <c r="E238" t="s">
        <v>244</v>
      </c>
      <c r="F238" t="s"/>
      <c r="G238" t="s"/>
      <c r="H238" t="s"/>
      <c r="I238" t="s"/>
      <c r="J238" t="n">
        <v>-0.4738</v>
      </c>
      <c r="K238" t="n">
        <v>0.134</v>
      </c>
      <c r="L238" t="n">
        <v>0.797</v>
      </c>
      <c r="M238" t="n">
        <v>0.06900000000000001</v>
      </c>
    </row>
    <row r="239" spans="1:13">
      <c r="A239" s="1">
        <f>HYPERLINK("http://www.twitter.com/NathanBLawrence/status/999102879356080129", "999102879356080129")</f>
        <v/>
      </c>
      <c r="B239" s="2" t="n">
        <v>43243.07017361111</v>
      </c>
      <c r="C239" t="n">
        <v>20</v>
      </c>
      <c r="D239" t="n">
        <v>14</v>
      </c>
      <c r="E239" t="s">
        <v>245</v>
      </c>
      <c r="F239" t="s"/>
      <c r="G239" t="s"/>
      <c r="H239" t="s"/>
      <c r="I239" t="s"/>
      <c r="J239" t="n">
        <v>0.4912</v>
      </c>
      <c r="K239" t="n">
        <v>0</v>
      </c>
      <c r="L239" t="n">
        <v>0.9350000000000001</v>
      </c>
      <c r="M239" t="n">
        <v>0.065</v>
      </c>
    </row>
    <row r="240" spans="1:13">
      <c r="A240" s="1">
        <f>HYPERLINK("http://www.twitter.com/NathanBLawrence/status/999092481760354305", "999092481760354305")</f>
        <v/>
      </c>
      <c r="B240" s="2" t="n">
        <v>43243.04148148148</v>
      </c>
      <c r="C240" t="n">
        <v>0</v>
      </c>
      <c r="D240" t="n">
        <v>12</v>
      </c>
      <c r="E240" t="s">
        <v>246</v>
      </c>
      <c r="F240">
        <f>HYPERLINK("http://pbs.twimg.com/media/Dd10oH2U0AAAE8T.jpg", "http://pbs.twimg.com/media/Dd10oH2U0AAAE8T.jpg")</f>
        <v/>
      </c>
      <c r="G240" t="s"/>
      <c r="H240" t="s"/>
      <c r="I240" t="s"/>
      <c r="J240" t="n">
        <v>-0.2714</v>
      </c>
      <c r="K240" t="n">
        <v>0.172</v>
      </c>
      <c r="L240" t="n">
        <v>0.733</v>
      </c>
      <c r="M240" t="n">
        <v>0.095</v>
      </c>
    </row>
    <row r="241" spans="1:13">
      <c r="A241" s="1">
        <f>HYPERLINK("http://www.twitter.com/NathanBLawrence/status/999090925988143110", "999090925988143110")</f>
        <v/>
      </c>
      <c r="B241" s="2" t="n">
        <v>43243.0371875</v>
      </c>
      <c r="C241" t="n">
        <v>0</v>
      </c>
      <c r="D241" t="n">
        <v>0</v>
      </c>
      <c r="E241" t="s">
        <v>247</v>
      </c>
      <c r="F241" t="s"/>
      <c r="G241" t="s"/>
      <c r="H241" t="s"/>
      <c r="I241" t="s"/>
      <c r="J241" t="n">
        <v>-0.25</v>
      </c>
      <c r="K241" t="n">
        <v>0.095</v>
      </c>
      <c r="L241" t="n">
        <v>0.905</v>
      </c>
      <c r="M241" t="n">
        <v>0</v>
      </c>
    </row>
    <row r="242" spans="1:13">
      <c r="A242" s="1">
        <f>HYPERLINK("http://www.twitter.com/NathanBLawrence/status/999088713945767941", "999088713945767941")</f>
        <v/>
      </c>
      <c r="B242" s="2" t="n">
        <v>43243.03108796296</v>
      </c>
      <c r="C242" t="n">
        <v>4</v>
      </c>
      <c r="D242" t="n">
        <v>2</v>
      </c>
      <c r="E242" t="s">
        <v>248</v>
      </c>
      <c r="F242">
        <f>HYPERLINK("http://pbs.twimg.com/media/Dd153UpVQAACBqx.jpg", "http://pbs.twimg.com/media/Dd153UpVQAACBqx.jpg")</f>
        <v/>
      </c>
      <c r="G242" t="s"/>
      <c r="H242" t="s"/>
      <c r="I242" t="s"/>
      <c r="J242" t="n">
        <v>0</v>
      </c>
      <c r="K242" t="n">
        <v>0</v>
      </c>
      <c r="L242" t="n">
        <v>1</v>
      </c>
      <c r="M242" t="n">
        <v>0</v>
      </c>
    </row>
    <row r="243" spans="1:13">
      <c r="A243" s="1">
        <f>HYPERLINK("http://www.twitter.com/NathanBLawrence/status/999082934287130624", "999082934287130624")</f>
        <v/>
      </c>
      <c r="B243" s="2" t="n">
        <v>43243.01513888889</v>
      </c>
      <c r="C243" t="n">
        <v>14</v>
      </c>
      <c r="D243" t="n">
        <v>12</v>
      </c>
      <c r="E243" t="s">
        <v>249</v>
      </c>
      <c r="F243">
        <f>HYPERLINK("http://pbs.twimg.com/media/Dd10oH2U0AAAE8T.jpg", "http://pbs.twimg.com/media/Dd10oH2U0AAAE8T.jpg")</f>
        <v/>
      </c>
      <c r="G243" t="s"/>
      <c r="H243" t="s"/>
      <c r="I243" t="s"/>
      <c r="J243" t="n">
        <v>-0.2714</v>
      </c>
      <c r="K243" t="n">
        <v>0.123</v>
      </c>
      <c r="L243" t="n">
        <v>0.8100000000000001</v>
      </c>
      <c r="M243" t="n">
        <v>0.068</v>
      </c>
    </row>
    <row r="244" spans="1:13">
      <c r="A244" s="1">
        <f>HYPERLINK("http://www.twitter.com/NathanBLawrence/status/999082108491632642", "999082108491632642")</f>
        <v/>
      </c>
      <c r="B244" s="2" t="n">
        <v>43243.0128587963</v>
      </c>
      <c r="C244" t="n">
        <v>0</v>
      </c>
      <c r="D244" t="n">
        <v>5</v>
      </c>
      <c r="E244" t="s">
        <v>250</v>
      </c>
      <c r="F244" t="s"/>
      <c r="G244" t="s"/>
      <c r="H244" t="s"/>
      <c r="I244" t="s"/>
      <c r="J244" t="n">
        <v>-0.3818</v>
      </c>
      <c r="K244" t="n">
        <v>0.102</v>
      </c>
      <c r="L244" t="n">
        <v>0.898</v>
      </c>
      <c r="M244" t="n">
        <v>0</v>
      </c>
    </row>
    <row r="245" spans="1:13">
      <c r="A245" s="1">
        <f>HYPERLINK("http://www.twitter.com/NathanBLawrence/status/999077297662693376", "999077297662693376")</f>
        <v/>
      </c>
      <c r="B245" s="2" t="n">
        <v>43242.99958333333</v>
      </c>
      <c r="C245" t="n">
        <v>0</v>
      </c>
      <c r="D245" t="n">
        <v>16</v>
      </c>
      <c r="E245" t="s">
        <v>251</v>
      </c>
      <c r="F245">
        <f>HYPERLINK("http://pbs.twimg.com/media/Dd0HmMOU0AMG3qX.jpg", "http://pbs.twimg.com/media/Dd0HmMOU0AMG3qX.jpg")</f>
        <v/>
      </c>
      <c r="G245" t="s"/>
      <c r="H245" t="s"/>
      <c r="I245" t="s"/>
      <c r="J245" t="n">
        <v>0.4449</v>
      </c>
      <c r="K245" t="n">
        <v>0</v>
      </c>
      <c r="L245" t="n">
        <v>0.883</v>
      </c>
      <c r="M245" t="n">
        <v>0.117</v>
      </c>
    </row>
    <row r="246" spans="1:13">
      <c r="A246" s="1">
        <f>HYPERLINK("http://www.twitter.com/NathanBLawrence/status/999077145841455104", "999077145841455104")</f>
        <v/>
      </c>
      <c r="B246" s="2" t="n">
        <v>43242.99916666667</v>
      </c>
      <c r="C246" t="n">
        <v>0</v>
      </c>
      <c r="D246" t="n">
        <v>12</v>
      </c>
      <c r="E246" t="s">
        <v>252</v>
      </c>
      <c r="F246">
        <f>HYPERLINK("http://pbs.twimg.com/media/Dd1orGhUwAAiSve.jpg", "http://pbs.twimg.com/media/Dd1orGhUwAAiSve.jpg")</f>
        <v/>
      </c>
      <c r="G246" t="s"/>
      <c r="H246" t="s"/>
      <c r="I246" t="s"/>
      <c r="J246" t="n">
        <v>0.7568</v>
      </c>
      <c r="K246" t="n">
        <v>0.08500000000000001</v>
      </c>
      <c r="L246" t="n">
        <v>0.608</v>
      </c>
      <c r="M246" t="n">
        <v>0.307</v>
      </c>
    </row>
    <row r="247" spans="1:13">
      <c r="A247" s="1">
        <f>HYPERLINK("http://www.twitter.com/NathanBLawrence/status/999074740126941184", "999074740126941184")</f>
        <v/>
      </c>
      <c r="B247" s="2" t="n">
        <v>43242.99252314815</v>
      </c>
      <c r="C247" t="n">
        <v>2</v>
      </c>
      <c r="D247" t="n">
        <v>2</v>
      </c>
      <c r="E247" t="s">
        <v>253</v>
      </c>
      <c r="F247" t="s"/>
      <c r="G247" t="s"/>
      <c r="H247" t="s"/>
      <c r="I247" t="s"/>
      <c r="J247" t="n">
        <v>0.636</v>
      </c>
      <c r="K247" t="n">
        <v>0</v>
      </c>
      <c r="L247" t="n">
        <v>0.785</v>
      </c>
      <c r="M247" t="n">
        <v>0.215</v>
      </c>
    </row>
    <row r="248" spans="1:13">
      <c r="A248" s="1">
        <f>HYPERLINK("http://www.twitter.com/NathanBLawrence/status/999073020886085632", "999073020886085632")</f>
        <v/>
      </c>
      <c r="B248" s="2" t="n">
        <v>43242.98777777778</v>
      </c>
      <c r="C248" t="n">
        <v>0</v>
      </c>
      <c r="D248" t="n">
        <v>0</v>
      </c>
      <c r="E248" t="s">
        <v>254</v>
      </c>
      <c r="F248" t="s"/>
      <c r="G248" t="s"/>
      <c r="H248" t="s"/>
      <c r="I248" t="s"/>
      <c r="J248" t="n">
        <v>0</v>
      </c>
      <c r="K248" t="n">
        <v>0</v>
      </c>
      <c r="L248" t="n">
        <v>1</v>
      </c>
      <c r="M248" t="n">
        <v>0</v>
      </c>
    </row>
    <row r="249" spans="1:13">
      <c r="A249" s="1">
        <f>HYPERLINK("http://www.twitter.com/NathanBLawrence/status/999072679662706689", "999072679662706689")</f>
        <v/>
      </c>
      <c r="B249" s="2" t="n">
        <v>43242.98684027778</v>
      </c>
      <c r="C249" t="n">
        <v>2</v>
      </c>
      <c r="D249" t="n">
        <v>0</v>
      </c>
      <c r="E249" t="s">
        <v>255</v>
      </c>
      <c r="F249" t="s"/>
      <c r="G249" t="s"/>
      <c r="H249" t="s"/>
      <c r="I249" t="s"/>
      <c r="J249" t="n">
        <v>-0.7112000000000001</v>
      </c>
      <c r="K249" t="n">
        <v>0.202</v>
      </c>
      <c r="L249" t="n">
        <v>0.697</v>
      </c>
      <c r="M249" t="n">
        <v>0.101</v>
      </c>
    </row>
    <row r="250" spans="1:13">
      <c r="A250" s="1">
        <f>HYPERLINK("http://www.twitter.com/NathanBLawrence/status/999072000839749632", "999072000839749632")</f>
        <v/>
      </c>
      <c r="B250" s="2" t="n">
        <v>43242.98496527778</v>
      </c>
      <c r="C250" t="n">
        <v>2</v>
      </c>
      <c r="D250" t="n">
        <v>1</v>
      </c>
      <c r="E250" t="s">
        <v>256</v>
      </c>
      <c r="F250" t="s"/>
      <c r="G250" t="s"/>
      <c r="H250" t="s"/>
      <c r="I250" t="s"/>
      <c r="J250" t="n">
        <v>-0.5975</v>
      </c>
      <c r="K250" t="n">
        <v>0.131</v>
      </c>
      <c r="L250" t="n">
        <v>0.827</v>
      </c>
      <c r="M250" t="n">
        <v>0.042</v>
      </c>
    </row>
    <row r="251" spans="1:13">
      <c r="A251" s="1">
        <f>HYPERLINK("http://www.twitter.com/NathanBLawrence/status/999071682982707200", "999071682982707200")</f>
        <v/>
      </c>
      <c r="B251" s="2" t="n">
        <v>43242.98408564815</v>
      </c>
      <c r="C251" t="n">
        <v>11</v>
      </c>
      <c r="D251" t="n">
        <v>6</v>
      </c>
      <c r="E251" t="s">
        <v>257</v>
      </c>
      <c r="F251" t="s"/>
      <c r="G251" t="s"/>
      <c r="H251" t="s"/>
      <c r="I251" t="s"/>
      <c r="J251" t="n">
        <v>0.34</v>
      </c>
      <c r="K251" t="n">
        <v>0.083</v>
      </c>
      <c r="L251" t="n">
        <v>0.8080000000000001</v>
      </c>
      <c r="M251" t="n">
        <v>0.109</v>
      </c>
    </row>
    <row r="252" spans="1:13">
      <c r="A252" s="1">
        <f>HYPERLINK("http://www.twitter.com/NathanBLawrence/status/999070821103603713", "999070821103603713")</f>
        <v/>
      </c>
      <c r="B252" s="2" t="n">
        <v>43242.98171296297</v>
      </c>
      <c r="C252" t="n">
        <v>1</v>
      </c>
      <c r="D252" t="n">
        <v>1</v>
      </c>
      <c r="E252" t="s">
        <v>258</v>
      </c>
      <c r="F252" t="s"/>
      <c r="G252" t="s"/>
      <c r="H252" t="s"/>
      <c r="I252" t="s"/>
      <c r="J252" t="n">
        <v>0.6808</v>
      </c>
      <c r="K252" t="n">
        <v>0.035</v>
      </c>
      <c r="L252" t="n">
        <v>0.792</v>
      </c>
      <c r="M252" t="n">
        <v>0.173</v>
      </c>
    </row>
    <row r="253" spans="1:13">
      <c r="A253" s="1">
        <f>HYPERLINK("http://www.twitter.com/NathanBLawrence/status/999069798045769728", "999069798045769728")</f>
        <v/>
      </c>
      <c r="B253" s="2" t="n">
        <v>43242.97888888889</v>
      </c>
      <c r="C253" t="n">
        <v>15</v>
      </c>
      <c r="D253" t="n">
        <v>12</v>
      </c>
      <c r="E253" t="s">
        <v>259</v>
      </c>
      <c r="F253">
        <f>HYPERLINK("http://pbs.twimg.com/media/Dd1orGhUwAAiSve.jpg", "http://pbs.twimg.com/media/Dd1orGhUwAAiSve.jpg")</f>
        <v/>
      </c>
      <c r="G253" t="s"/>
      <c r="H253" t="s"/>
      <c r="I253" t="s"/>
      <c r="J253" t="n">
        <v>-0.6</v>
      </c>
      <c r="K253" t="n">
        <v>0.198</v>
      </c>
      <c r="L253" t="n">
        <v>0.658</v>
      </c>
      <c r="M253" t="n">
        <v>0.144</v>
      </c>
    </row>
    <row r="254" spans="1:13">
      <c r="A254" s="1">
        <f>HYPERLINK("http://www.twitter.com/NathanBLawrence/status/999066334599278593", "999066334599278593")</f>
        <v/>
      </c>
      <c r="B254" s="2" t="n">
        <v>43242.9693287037</v>
      </c>
      <c r="C254" t="n">
        <v>0</v>
      </c>
      <c r="D254" t="n">
        <v>6</v>
      </c>
      <c r="E254" t="s">
        <v>260</v>
      </c>
      <c r="F254" t="s"/>
      <c r="G254" t="s"/>
      <c r="H254" t="s"/>
      <c r="I254" t="s"/>
      <c r="J254" t="n">
        <v>0</v>
      </c>
      <c r="K254" t="n">
        <v>0</v>
      </c>
      <c r="L254" t="n">
        <v>1</v>
      </c>
      <c r="M254" t="n">
        <v>0</v>
      </c>
    </row>
    <row r="255" spans="1:13">
      <c r="A255" s="1">
        <f>HYPERLINK("http://www.twitter.com/NathanBLawrence/status/999060537429446662", "999060537429446662")</f>
        <v/>
      </c>
      <c r="B255" s="2" t="n">
        <v>43242.95333333333</v>
      </c>
      <c r="C255" t="n">
        <v>0</v>
      </c>
      <c r="D255" t="n">
        <v>5</v>
      </c>
      <c r="E255" t="s">
        <v>261</v>
      </c>
      <c r="F255" t="s"/>
      <c r="G255" t="s"/>
      <c r="H255" t="s"/>
      <c r="I255" t="s"/>
      <c r="J255" t="n">
        <v>0.6899999999999999</v>
      </c>
      <c r="K255" t="n">
        <v>0</v>
      </c>
      <c r="L255" t="n">
        <v>0.787</v>
      </c>
      <c r="M255" t="n">
        <v>0.213</v>
      </c>
    </row>
    <row r="256" spans="1:13">
      <c r="A256" s="1">
        <f>HYPERLINK("http://www.twitter.com/NathanBLawrence/status/999060427484155904", "999060427484155904")</f>
        <v/>
      </c>
      <c r="B256" s="2" t="n">
        <v>43242.95303240741</v>
      </c>
      <c r="C256" t="n">
        <v>7</v>
      </c>
      <c r="D256" t="n">
        <v>3</v>
      </c>
      <c r="E256" t="s">
        <v>262</v>
      </c>
      <c r="F256">
        <f>HYPERLINK("http://pbs.twimg.com/media/Dd1gKJHUQAASuVn.jpg", "http://pbs.twimg.com/media/Dd1gKJHUQAASuVn.jpg")</f>
        <v/>
      </c>
      <c r="G256" t="s"/>
      <c r="H256" t="s"/>
      <c r="I256" t="s"/>
      <c r="J256" t="n">
        <v>-0.3818</v>
      </c>
      <c r="K256" t="n">
        <v>0.167</v>
      </c>
      <c r="L256" t="n">
        <v>0.833</v>
      </c>
      <c r="M256" t="n">
        <v>0</v>
      </c>
    </row>
    <row r="257" spans="1:13">
      <c r="A257" s="1">
        <f>HYPERLINK("http://www.twitter.com/NathanBLawrence/status/999060151213674496", "999060151213674496")</f>
        <v/>
      </c>
      <c r="B257" s="2" t="n">
        <v>43242.95226851852</v>
      </c>
      <c r="C257" t="n">
        <v>9</v>
      </c>
      <c r="D257" t="n">
        <v>5</v>
      </c>
      <c r="E257" t="s">
        <v>263</v>
      </c>
      <c r="F257" t="s"/>
      <c r="G257" t="s"/>
      <c r="H257" t="s"/>
      <c r="I257" t="s"/>
      <c r="J257" t="n">
        <v>-0.2003</v>
      </c>
      <c r="K257" t="n">
        <v>0.132</v>
      </c>
      <c r="L257" t="n">
        <v>0.769</v>
      </c>
      <c r="M257" t="n">
        <v>0.099</v>
      </c>
    </row>
    <row r="258" spans="1:13">
      <c r="A258" s="1">
        <f>HYPERLINK("http://www.twitter.com/NathanBLawrence/status/999059573750337540", "999059573750337540")</f>
        <v/>
      </c>
      <c r="B258" s="2" t="n">
        <v>43242.9506712963</v>
      </c>
      <c r="C258" t="n">
        <v>7</v>
      </c>
      <c r="D258" t="n">
        <v>5</v>
      </c>
      <c r="E258" t="s">
        <v>264</v>
      </c>
      <c r="F258" t="s"/>
      <c r="G258" t="s"/>
      <c r="H258" t="s"/>
      <c r="I258" t="s"/>
      <c r="J258" t="n">
        <v>-0.3818</v>
      </c>
      <c r="K258" t="n">
        <v>0.08</v>
      </c>
      <c r="L258" t="n">
        <v>0.92</v>
      </c>
      <c r="M258" t="n">
        <v>0</v>
      </c>
    </row>
    <row r="259" spans="1:13">
      <c r="A259" s="1">
        <f>HYPERLINK("http://www.twitter.com/NathanBLawrence/status/999059235337134081", "999059235337134081")</f>
        <v/>
      </c>
      <c r="B259" s="2" t="n">
        <v>43242.9497337963</v>
      </c>
      <c r="C259" t="n">
        <v>0</v>
      </c>
      <c r="D259" t="n">
        <v>10</v>
      </c>
      <c r="E259" t="s">
        <v>265</v>
      </c>
      <c r="F259">
        <f>HYPERLINK("https://video.twimg.com/ext_tw_video/999058139382145024/pu/vid/1280x720/pvIe0nLW1vfp9Twj.mp4?tag=3", "https://video.twimg.com/ext_tw_video/999058139382145024/pu/vid/1280x720/pvIe0nLW1vfp9Twj.mp4?tag=3")</f>
        <v/>
      </c>
      <c r="G259" t="s"/>
      <c r="H259" t="s"/>
      <c r="I259" t="s"/>
      <c r="J259" t="n">
        <v>0</v>
      </c>
      <c r="K259" t="n">
        <v>0</v>
      </c>
      <c r="L259" t="n">
        <v>1</v>
      </c>
      <c r="M259" t="n">
        <v>0</v>
      </c>
    </row>
    <row r="260" spans="1:13">
      <c r="A260" s="1">
        <f>HYPERLINK("http://www.twitter.com/NathanBLawrence/status/999059093468958721", "999059093468958721")</f>
        <v/>
      </c>
      <c r="B260" s="2" t="n">
        <v>43242.94935185185</v>
      </c>
      <c r="C260" t="n">
        <v>0</v>
      </c>
      <c r="D260" t="n">
        <v>13</v>
      </c>
      <c r="E260" t="s">
        <v>266</v>
      </c>
      <c r="F260" t="s"/>
      <c r="G260" t="s"/>
      <c r="H260" t="s"/>
      <c r="I260" t="s"/>
      <c r="J260" t="n">
        <v>-0.4404</v>
      </c>
      <c r="K260" t="n">
        <v>0.127</v>
      </c>
      <c r="L260" t="n">
        <v>0.873</v>
      </c>
      <c r="M260" t="n">
        <v>0</v>
      </c>
    </row>
    <row r="261" spans="1:13">
      <c r="A261" s="1">
        <f>HYPERLINK("http://www.twitter.com/NathanBLawrence/status/999059038959792134", "999059038959792134")</f>
        <v/>
      </c>
      <c r="B261" s="2" t="n">
        <v>43242.94920138889</v>
      </c>
      <c r="C261" t="n">
        <v>0</v>
      </c>
      <c r="D261" t="n">
        <v>7</v>
      </c>
      <c r="E261" t="s">
        <v>267</v>
      </c>
      <c r="F261" t="s"/>
      <c r="G261" t="s"/>
      <c r="H261" t="s"/>
      <c r="I261" t="s"/>
      <c r="J261" t="n">
        <v>-0.7351</v>
      </c>
      <c r="K261" t="n">
        <v>0.266</v>
      </c>
      <c r="L261" t="n">
        <v>0.6929999999999999</v>
      </c>
      <c r="M261" t="n">
        <v>0.04</v>
      </c>
    </row>
    <row r="262" spans="1:13">
      <c r="A262" s="1">
        <f>HYPERLINK("http://www.twitter.com/NathanBLawrence/status/999058951613435904", "999058951613435904")</f>
        <v/>
      </c>
      <c r="B262" s="2" t="n">
        <v>43242.94895833333</v>
      </c>
      <c r="C262" t="n">
        <v>0</v>
      </c>
      <c r="D262" t="n">
        <v>2971</v>
      </c>
      <c r="E262" t="s">
        <v>268</v>
      </c>
      <c r="F262" t="s"/>
      <c r="G262" t="s"/>
      <c r="H262" t="s"/>
      <c r="I262" t="s"/>
      <c r="J262" t="n">
        <v>-0.8316</v>
      </c>
      <c r="K262" t="n">
        <v>0.339</v>
      </c>
      <c r="L262" t="n">
        <v>0.591</v>
      </c>
      <c r="M262" t="n">
        <v>0.07099999999999999</v>
      </c>
    </row>
    <row r="263" spans="1:13">
      <c r="A263" s="1">
        <f>HYPERLINK("http://www.twitter.com/NathanBLawrence/status/999058686676029440", "999058686676029440")</f>
        <v/>
      </c>
      <c r="B263" s="2" t="n">
        <v>43242.94822916666</v>
      </c>
      <c r="C263" t="n">
        <v>12</v>
      </c>
      <c r="D263" t="n">
        <v>10</v>
      </c>
      <c r="E263" t="s">
        <v>269</v>
      </c>
      <c r="F263">
        <f>HYPERLINK("https://video.twimg.com/ext_tw_video/999058139382145024/pu/vid/1280x720/pvIe0nLW1vfp9Twj.mp4?tag=3", "https://video.twimg.com/ext_tw_video/999058139382145024/pu/vid/1280x720/pvIe0nLW1vfp9Twj.mp4?tag=3")</f>
        <v/>
      </c>
      <c r="G263" t="s"/>
      <c r="H263" t="s"/>
      <c r="I263" t="s"/>
      <c r="J263" t="n">
        <v>0</v>
      </c>
      <c r="K263" t="n">
        <v>0</v>
      </c>
      <c r="L263" t="n">
        <v>1</v>
      </c>
      <c r="M263" t="n">
        <v>0</v>
      </c>
    </row>
    <row r="264" spans="1:13">
      <c r="A264" s="1">
        <f>HYPERLINK("http://www.twitter.com/NathanBLawrence/status/999053032926085120", "999053032926085120")</f>
        <v/>
      </c>
      <c r="B264" s="2" t="n">
        <v>43242.93262731482</v>
      </c>
      <c r="C264" t="n">
        <v>3</v>
      </c>
      <c r="D264" t="n">
        <v>2</v>
      </c>
      <c r="E264" t="s">
        <v>270</v>
      </c>
      <c r="F264" t="s"/>
      <c r="G264" t="s"/>
      <c r="H264" t="s"/>
      <c r="I264" t="s"/>
      <c r="J264" t="n">
        <v>0</v>
      </c>
      <c r="K264" t="n">
        <v>0</v>
      </c>
      <c r="L264" t="n">
        <v>1</v>
      </c>
      <c r="M264" t="n">
        <v>0</v>
      </c>
    </row>
    <row r="265" spans="1:13">
      <c r="A265" s="1">
        <f>HYPERLINK("http://www.twitter.com/NathanBLawrence/status/999051286720008192", "999051286720008192")</f>
        <v/>
      </c>
      <c r="B265" s="2" t="n">
        <v>43242.92780092593</v>
      </c>
      <c r="C265" t="n">
        <v>0</v>
      </c>
      <c r="D265" t="n">
        <v>5</v>
      </c>
      <c r="E265" t="s">
        <v>271</v>
      </c>
      <c r="F265" t="s"/>
      <c r="G265" t="s"/>
      <c r="H265" t="s"/>
      <c r="I265" t="s"/>
      <c r="J265" t="n">
        <v>-0.3818</v>
      </c>
      <c r="K265" t="n">
        <v>0.11</v>
      </c>
      <c r="L265" t="n">
        <v>0.89</v>
      </c>
      <c r="M265" t="n">
        <v>0</v>
      </c>
    </row>
    <row r="266" spans="1:13">
      <c r="A266" s="1">
        <f>HYPERLINK("http://www.twitter.com/NathanBLawrence/status/999051270001487872", "999051270001487872")</f>
        <v/>
      </c>
      <c r="B266" s="2" t="n">
        <v>43242.92775462963</v>
      </c>
      <c r="C266" t="n">
        <v>0</v>
      </c>
      <c r="D266" t="n">
        <v>1</v>
      </c>
      <c r="E266" t="s">
        <v>272</v>
      </c>
      <c r="F266" t="s"/>
      <c r="G266" t="s"/>
      <c r="H266" t="s"/>
      <c r="I266" t="s"/>
      <c r="J266" t="n">
        <v>0.4767</v>
      </c>
      <c r="K266" t="n">
        <v>0</v>
      </c>
      <c r="L266" t="n">
        <v>0.744</v>
      </c>
      <c r="M266" t="n">
        <v>0.256</v>
      </c>
    </row>
    <row r="267" spans="1:13">
      <c r="A267" s="1">
        <f>HYPERLINK("http://www.twitter.com/NathanBLawrence/status/999051134512893953", "999051134512893953")</f>
        <v/>
      </c>
      <c r="B267" s="2" t="n">
        <v>43242.92738425926</v>
      </c>
      <c r="C267" t="n">
        <v>0</v>
      </c>
      <c r="D267" t="n">
        <v>5</v>
      </c>
      <c r="E267" t="s">
        <v>273</v>
      </c>
      <c r="F267" t="s"/>
      <c r="G267" t="s"/>
      <c r="H267" t="s"/>
      <c r="I267" t="s"/>
      <c r="J267" t="n">
        <v>0</v>
      </c>
      <c r="K267" t="n">
        <v>0</v>
      </c>
      <c r="L267" t="n">
        <v>1</v>
      </c>
      <c r="M267" t="n">
        <v>0</v>
      </c>
    </row>
    <row r="268" spans="1:13">
      <c r="A268" s="1">
        <f>HYPERLINK("http://www.twitter.com/NathanBLawrence/status/999050563412221952", "999050563412221952")</f>
        <v/>
      </c>
      <c r="B268" s="2" t="n">
        <v>43242.92581018519</v>
      </c>
      <c r="C268" t="n">
        <v>11</v>
      </c>
      <c r="D268" t="n">
        <v>5</v>
      </c>
      <c r="E268" t="s">
        <v>274</v>
      </c>
      <c r="F268" t="s"/>
      <c r="G268" t="s"/>
      <c r="H268" t="s"/>
      <c r="I268" t="s"/>
      <c r="J268" t="n">
        <v>0</v>
      </c>
      <c r="K268" t="n">
        <v>0</v>
      </c>
      <c r="L268" t="n">
        <v>1</v>
      </c>
      <c r="M268" t="n">
        <v>0</v>
      </c>
    </row>
    <row r="269" spans="1:13">
      <c r="A269" s="1">
        <f>HYPERLINK("http://www.twitter.com/NathanBLawrence/status/999050202404225030", "999050202404225030")</f>
        <v/>
      </c>
      <c r="B269" s="2" t="n">
        <v>43242.92481481482</v>
      </c>
      <c r="C269" t="n">
        <v>1</v>
      </c>
      <c r="D269" t="n">
        <v>0</v>
      </c>
      <c r="E269" t="s">
        <v>275</v>
      </c>
      <c r="F269" t="s"/>
      <c r="G269" t="s"/>
      <c r="H269" t="s"/>
      <c r="I269" t="s"/>
      <c r="J269" t="n">
        <v>0</v>
      </c>
      <c r="K269" t="n">
        <v>0</v>
      </c>
      <c r="L269" t="n">
        <v>1</v>
      </c>
      <c r="M269" t="n">
        <v>0</v>
      </c>
    </row>
    <row r="270" spans="1:13">
      <c r="A270" s="1">
        <f>HYPERLINK("http://www.twitter.com/NathanBLawrence/status/999050085194518528", "999050085194518528")</f>
        <v/>
      </c>
      <c r="B270" s="2" t="n">
        <v>43242.92449074074</v>
      </c>
      <c r="C270" t="n">
        <v>10</v>
      </c>
      <c r="D270" t="n">
        <v>5</v>
      </c>
      <c r="E270" t="s">
        <v>276</v>
      </c>
      <c r="F270" t="s"/>
      <c r="G270" t="s"/>
      <c r="H270" t="s"/>
      <c r="I270" t="s"/>
      <c r="J270" t="n">
        <v>-0.3818</v>
      </c>
      <c r="K270" t="n">
        <v>0.11</v>
      </c>
      <c r="L270" t="n">
        <v>0.89</v>
      </c>
      <c r="M270" t="n">
        <v>0</v>
      </c>
    </row>
    <row r="271" spans="1:13">
      <c r="A271" s="1">
        <f>HYPERLINK("http://www.twitter.com/NathanBLawrence/status/999037300154789888", "999037300154789888")</f>
        <v/>
      </c>
      <c r="B271" s="2" t="n">
        <v>43242.88921296296</v>
      </c>
      <c r="C271" t="n">
        <v>0</v>
      </c>
      <c r="D271" t="n">
        <v>2</v>
      </c>
      <c r="E271" t="s">
        <v>277</v>
      </c>
      <c r="F271" t="s"/>
      <c r="G271" t="s"/>
      <c r="H271" t="s"/>
      <c r="I271" t="s"/>
      <c r="J271" t="n">
        <v>0.4939</v>
      </c>
      <c r="K271" t="n">
        <v>0</v>
      </c>
      <c r="L271" t="n">
        <v>0.882</v>
      </c>
      <c r="M271" t="n">
        <v>0.118</v>
      </c>
    </row>
    <row r="272" spans="1:13">
      <c r="A272" s="1">
        <f>HYPERLINK("http://www.twitter.com/NathanBLawrence/status/999037174988328966", "999037174988328966")</f>
        <v/>
      </c>
      <c r="B272" s="2" t="n">
        <v>43242.88886574074</v>
      </c>
      <c r="C272" t="n">
        <v>0</v>
      </c>
      <c r="D272" t="n">
        <v>9</v>
      </c>
      <c r="E272" t="s">
        <v>278</v>
      </c>
      <c r="F272" t="s"/>
      <c r="G272" t="s"/>
      <c r="H272" t="s"/>
      <c r="I272" t="s"/>
      <c r="J272" t="n">
        <v>-0.5266999999999999</v>
      </c>
      <c r="K272" t="n">
        <v>0.221</v>
      </c>
      <c r="L272" t="n">
        <v>0.679</v>
      </c>
      <c r="M272" t="n">
        <v>0.1</v>
      </c>
    </row>
    <row r="273" spans="1:13">
      <c r="A273" s="1">
        <f>HYPERLINK("http://www.twitter.com/NathanBLawrence/status/999037155992395777", "999037155992395777")</f>
        <v/>
      </c>
      <c r="B273" s="2" t="n">
        <v>43242.88880787037</v>
      </c>
      <c r="C273" t="n">
        <v>0</v>
      </c>
      <c r="D273" t="n">
        <v>6</v>
      </c>
      <c r="E273" t="s">
        <v>279</v>
      </c>
      <c r="F273" t="s"/>
      <c r="G273" t="s"/>
      <c r="H273" t="s"/>
      <c r="I273" t="s"/>
      <c r="J273" t="n">
        <v>0.25</v>
      </c>
      <c r="K273" t="n">
        <v>0</v>
      </c>
      <c r="L273" t="n">
        <v>0.913</v>
      </c>
      <c r="M273" t="n">
        <v>0.08699999999999999</v>
      </c>
    </row>
    <row r="274" spans="1:13">
      <c r="A274" s="1">
        <f>HYPERLINK("http://www.twitter.com/NathanBLawrence/status/999037143463944193", "999037143463944193")</f>
        <v/>
      </c>
      <c r="B274" s="2" t="n">
        <v>43242.88877314814</v>
      </c>
      <c r="C274" t="n">
        <v>0</v>
      </c>
      <c r="D274" t="n">
        <v>5</v>
      </c>
      <c r="E274" t="s">
        <v>280</v>
      </c>
      <c r="F274" t="s"/>
      <c r="G274" t="s"/>
      <c r="H274" t="s"/>
      <c r="I274" t="s"/>
      <c r="J274" t="n">
        <v>0</v>
      </c>
      <c r="K274" t="n">
        <v>0</v>
      </c>
      <c r="L274" t="n">
        <v>1</v>
      </c>
      <c r="M274" t="n">
        <v>0</v>
      </c>
    </row>
    <row r="275" spans="1:13">
      <c r="A275" s="1">
        <f>HYPERLINK("http://www.twitter.com/NathanBLawrence/status/999037132286124037", "999037132286124037")</f>
        <v/>
      </c>
      <c r="B275" s="2" t="n">
        <v>43242.88875</v>
      </c>
      <c r="C275" t="n">
        <v>0</v>
      </c>
      <c r="D275" t="n">
        <v>12</v>
      </c>
      <c r="E275" t="s">
        <v>281</v>
      </c>
      <c r="F275" t="s"/>
      <c r="G275" t="s"/>
      <c r="H275" t="s"/>
      <c r="I275" t="s"/>
      <c r="J275" t="n">
        <v>-0.4404</v>
      </c>
      <c r="K275" t="n">
        <v>0.116</v>
      </c>
      <c r="L275" t="n">
        <v>0.884</v>
      </c>
      <c r="M275" t="n">
        <v>0</v>
      </c>
    </row>
    <row r="276" spans="1:13">
      <c r="A276" s="1">
        <f>HYPERLINK("http://www.twitter.com/NathanBLawrence/status/999037085783863297", "999037085783863297")</f>
        <v/>
      </c>
      <c r="B276" s="2" t="n">
        <v>43242.88862268518</v>
      </c>
      <c r="C276" t="n">
        <v>0</v>
      </c>
      <c r="D276" t="n">
        <v>7</v>
      </c>
      <c r="E276" t="s">
        <v>282</v>
      </c>
      <c r="F276" t="s"/>
      <c r="G276" t="s"/>
      <c r="H276" t="s"/>
      <c r="I276" t="s"/>
      <c r="J276" t="n">
        <v>-0.6616</v>
      </c>
      <c r="K276" t="n">
        <v>0.21</v>
      </c>
      <c r="L276" t="n">
        <v>0.718</v>
      </c>
      <c r="M276" t="n">
        <v>0.07199999999999999</v>
      </c>
    </row>
    <row r="277" spans="1:13">
      <c r="A277" s="1">
        <f>HYPERLINK("http://www.twitter.com/NathanBLawrence/status/999037072089501696", "999037072089501696")</f>
        <v/>
      </c>
      <c r="B277" s="2" t="n">
        <v>43242.88857638889</v>
      </c>
      <c r="C277" t="n">
        <v>0</v>
      </c>
      <c r="D277" t="n">
        <v>4</v>
      </c>
      <c r="E277" t="s">
        <v>283</v>
      </c>
      <c r="F277" t="s"/>
      <c r="G277" t="s"/>
      <c r="H277" t="s"/>
      <c r="I277" t="s"/>
      <c r="J277" t="n">
        <v>0</v>
      </c>
      <c r="K277" t="n">
        <v>0</v>
      </c>
      <c r="L277" t="n">
        <v>1</v>
      </c>
      <c r="M277" t="n">
        <v>0</v>
      </c>
    </row>
    <row r="278" spans="1:13">
      <c r="A278" s="1">
        <f>HYPERLINK("http://www.twitter.com/NathanBLawrence/status/999037006893154305", "999037006893154305")</f>
        <v/>
      </c>
      <c r="B278" s="2" t="n">
        <v>43242.88840277777</v>
      </c>
      <c r="C278" t="n">
        <v>0</v>
      </c>
      <c r="D278" t="n">
        <v>8</v>
      </c>
      <c r="E278" t="s">
        <v>284</v>
      </c>
      <c r="F278">
        <f>HYPERLINK("http://pbs.twimg.com/media/Dd1JyFJVQAATBIq.jpg", "http://pbs.twimg.com/media/Dd1JyFJVQAATBIq.jpg")</f>
        <v/>
      </c>
      <c r="G278" t="s"/>
      <c r="H278" t="s"/>
      <c r="I278" t="s"/>
      <c r="J278" t="n">
        <v>-0.8268</v>
      </c>
      <c r="K278" t="n">
        <v>0.393</v>
      </c>
      <c r="L278" t="n">
        <v>0.607</v>
      </c>
      <c r="M278" t="n">
        <v>0</v>
      </c>
    </row>
    <row r="279" spans="1:13">
      <c r="A279" s="1">
        <f>HYPERLINK("http://www.twitter.com/NathanBLawrence/status/999035781648961537", "999035781648961537")</f>
        <v/>
      </c>
      <c r="B279" s="2" t="n">
        <v>43242.88502314815</v>
      </c>
      <c r="C279" t="n">
        <v>0</v>
      </c>
      <c r="D279" t="n">
        <v>17</v>
      </c>
      <c r="E279" t="s">
        <v>285</v>
      </c>
      <c r="F279">
        <f>HYPERLINK("http://pbs.twimg.com/media/Dd004dfUwAA9Omw.jpg", "http://pbs.twimg.com/media/Dd004dfUwAA9Omw.jpg")</f>
        <v/>
      </c>
      <c r="G279" t="s"/>
      <c r="H279" t="s"/>
      <c r="I279" t="s"/>
      <c r="J279" t="n">
        <v>-0.1759</v>
      </c>
      <c r="K279" t="n">
        <v>0.123</v>
      </c>
      <c r="L279" t="n">
        <v>0.722</v>
      </c>
      <c r="M279" t="n">
        <v>0.155</v>
      </c>
    </row>
    <row r="280" spans="1:13">
      <c r="A280" s="1">
        <f>HYPERLINK("http://www.twitter.com/NathanBLawrence/status/999035650149179395", "999035650149179395")</f>
        <v/>
      </c>
      <c r="B280" s="2" t="n">
        <v>43242.88465277778</v>
      </c>
      <c r="C280" t="n">
        <v>0</v>
      </c>
      <c r="D280" t="n">
        <v>19</v>
      </c>
      <c r="E280" t="s">
        <v>286</v>
      </c>
      <c r="F280">
        <f>HYPERLINK("http://pbs.twimg.com/media/Dd1JhSnVQAI3O5a.jpg", "http://pbs.twimg.com/media/Dd1JhSnVQAI3O5a.jpg")</f>
        <v/>
      </c>
      <c r="G280" t="s"/>
      <c r="H280" t="s"/>
      <c r="I280" t="s"/>
      <c r="J280" t="n">
        <v>-0.7243000000000001</v>
      </c>
      <c r="K280" t="n">
        <v>0.273</v>
      </c>
      <c r="L280" t="n">
        <v>0.647</v>
      </c>
      <c r="M280" t="n">
        <v>0.08</v>
      </c>
    </row>
    <row r="281" spans="1:13">
      <c r="A281" s="1">
        <f>HYPERLINK("http://www.twitter.com/NathanBLawrence/status/999035538383482886", "999035538383482886")</f>
        <v/>
      </c>
      <c r="B281" s="2" t="n">
        <v>43242.88435185186</v>
      </c>
      <c r="C281" t="n">
        <v>23</v>
      </c>
      <c r="D281" t="n">
        <v>19</v>
      </c>
      <c r="E281" t="s">
        <v>287</v>
      </c>
      <c r="F281">
        <f>HYPERLINK("http://pbs.twimg.com/media/Dd1JhSnVQAI3O5a.jpg", "http://pbs.twimg.com/media/Dd1JhSnVQAI3O5a.jpg")</f>
        <v/>
      </c>
      <c r="G281" t="s"/>
      <c r="H281" t="s"/>
      <c r="I281" t="s"/>
      <c r="J281" t="n">
        <v>-0.7243000000000001</v>
      </c>
      <c r="K281" t="n">
        <v>0.192</v>
      </c>
      <c r="L281" t="n">
        <v>0.751</v>
      </c>
      <c r="M281" t="n">
        <v>0.056</v>
      </c>
    </row>
    <row r="282" spans="1:13">
      <c r="A282" s="1">
        <f>HYPERLINK("http://www.twitter.com/NathanBLawrence/status/999029112114176001", "999029112114176001")</f>
        <v/>
      </c>
      <c r="B282" s="2" t="n">
        <v>43242.86662037037</v>
      </c>
      <c r="C282" t="n">
        <v>0</v>
      </c>
      <c r="D282" t="n">
        <v>13</v>
      </c>
      <c r="E282" t="s">
        <v>288</v>
      </c>
      <c r="F282">
        <f>HYPERLINK("http://pbs.twimg.com/media/Dd08w5NVQAA-6s4.jpg", "http://pbs.twimg.com/media/Dd08w5NVQAA-6s4.jpg")</f>
        <v/>
      </c>
      <c r="G282" t="s"/>
      <c r="H282" t="s"/>
      <c r="I282" t="s"/>
      <c r="J282" t="n">
        <v>-0.1703</v>
      </c>
      <c r="K282" t="n">
        <v>0.114</v>
      </c>
      <c r="L282" t="n">
        <v>0.72</v>
      </c>
      <c r="M282" t="n">
        <v>0.166</v>
      </c>
    </row>
    <row r="283" spans="1:13">
      <c r="A283" s="1">
        <f>HYPERLINK("http://www.twitter.com/NathanBLawrence/status/999021511108431872", "999021511108431872")</f>
        <v/>
      </c>
      <c r="B283" s="2" t="n">
        <v>43242.84563657407</v>
      </c>
      <c r="C283" t="n">
        <v>15</v>
      </c>
      <c r="D283" t="n">
        <v>13</v>
      </c>
      <c r="E283" t="s">
        <v>289</v>
      </c>
      <c r="F283">
        <f>HYPERLINK("http://pbs.twimg.com/media/Dd08w5NVQAA-6s4.jpg", "http://pbs.twimg.com/media/Dd08w5NVQAA-6s4.jpg")</f>
        <v/>
      </c>
      <c r="G283" t="s"/>
      <c r="H283" t="s"/>
      <c r="I283" t="s"/>
      <c r="J283" t="n">
        <v>-0.5364</v>
      </c>
      <c r="K283" t="n">
        <v>0.127</v>
      </c>
      <c r="L283" t="n">
        <v>0.793</v>
      </c>
      <c r="M283" t="n">
        <v>0.08</v>
      </c>
    </row>
    <row r="284" spans="1:13">
      <c r="A284" s="1">
        <f>HYPERLINK("http://www.twitter.com/NathanBLawrence/status/999012842568380416", "999012842568380416")</f>
        <v/>
      </c>
      <c r="B284" s="2" t="n">
        <v>43242.82172453704</v>
      </c>
      <c r="C284" t="n">
        <v>15</v>
      </c>
      <c r="D284" t="n">
        <v>17</v>
      </c>
      <c r="E284" t="s">
        <v>290</v>
      </c>
      <c r="F284">
        <f>HYPERLINK("http://pbs.twimg.com/media/Dd004dfUwAA9Omw.jpg", "http://pbs.twimg.com/media/Dd004dfUwAA9Omw.jpg")</f>
        <v/>
      </c>
      <c r="G284" t="s"/>
      <c r="H284" t="s"/>
      <c r="I284" t="s"/>
      <c r="J284" t="n">
        <v>-0.1759</v>
      </c>
      <c r="K284" t="n">
        <v>0.118</v>
      </c>
      <c r="L284" t="n">
        <v>0.732</v>
      </c>
      <c r="M284" t="n">
        <v>0.15</v>
      </c>
    </row>
    <row r="285" spans="1:13">
      <c r="A285" s="1">
        <f>HYPERLINK("http://www.twitter.com/NathanBLawrence/status/999012306217570305", "999012306217570305")</f>
        <v/>
      </c>
      <c r="B285" s="2" t="n">
        <v>43242.82024305555</v>
      </c>
      <c r="C285" t="n">
        <v>0</v>
      </c>
      <c r="D285" t="n">
        <v>17</v>
      </c>
      <c r="E285" t="s">
        <v>265</v>
      </c>
      <c r="F285">
        <f>HYPERLINK("https://video.twimg.com/ext_tw_video/999006284857851904/pu/vid/1280x720/SCVIe9LuSmC1CvyR.mp4?tag=3", "https://video.twimg.com/ext_tw_video/999006284857851904/pu/vid/1280x720/SCVIe9LuSmC1CvyR.mp4?tag=3")</f>
        <v/>
      </c>
      <c r="G285" t="s"/>
      <c r="H285" t="s"/>
      <c r="I285" t="s"/>
      <c r="J285" t="n">
        <v>0</v>
      </c>
      <c r="K285" t="n">
        <v>0</v>
      </c>
      <c r="L285" t="n">
        <v>1</v>
      </c>
      <c r="M285" t="n">
        <v>0</v>
      </c>
    </row>
    <row r="286" spans="1:13">
      <c r="A286" s="1">
        <f>HYPERLINK("http://www.twitter.com/NathanBLawrence/status/999007767989051392", "999007767989051392")</f>
        <v/>
      </c>
      <c r="B286" s="2" t="n">
        <v>43242.80771990741</v>
      </c>
      <c r="C286" t="n">
        <v>0</v>
      </c>
      <c r="D286" t="n">
        <v>3</v>
      </c>
      <c r="E286" t="s">
        <v>291</v>
      </c>
      <c r="F286" t="s"/>
      <c r="G286" t="s"/>
      <c r="H286" t="s"/>
      <c r="I286" t="s"/>
      <c r="J286" t="n">
        <v>0.3612</v>
      </c>
      <c r="K286" t="n">
        <v>0</v>
      </c>
      <c r="L286" t="n">
        <v>0.902</v>
      </c>
      <c r="M286" t="n">
        <v>0.098</v>
      </c>
    </row>
    <row r="287" spans="1:13">
      <c r="A287" s="1">
        <f>HYPERLINK("http://www.twitter.com/NathanBLawrence/status/999007755364192256", "999007755364192256")</f>
        <v/>
      </c>
      <c r="B287" s="2" t="n">
        <v>43242.80768518519</v>
      </c>
      <c r="C287" t="n">
        <v>3</v>
      </c>
      <c r="D287" t="n">
        <v>2</v>
      </c>
      <c r="E287" t="s">
        <v>292</v>
      </c>
      <c r="F287" t="s"/>
      <c r="G287" t="s"/>
      <c r="H287" t="s"/>
      <c r="I287" t="s"/>
      <c r="J287" t="n">
        <v>0.4939</v>
      </c>
      <c r="K287" t="n">
        <v>0</v>
      </c>
      <c r="L287" t="n">
        <v>0.878</v>
      </c>
      <c r="M287" t="n">
        <v>0.122</v>
      </c>
    </row>
    <row r="288" spans="1:13">
      <c r="A288" s="1">
        <f>HYPERLINK("http://www.twitter.com/NathanBLawrence/status/999007617828696064", "999007617828696064")</f>
        <v/>
      </c>
      <c r="B288" s="2" t="n">
        <v>43242.80730324074</v>
      </c>
      <c r="C288" t="n">
        <v>0</v>
      </c>
      <c r="D288" t="n">
        <v>2</v>
      </c>
      <c r="E288" t="s">
        <v>293</v>
      </c>
      <c r="F288">
        <f>HYPERLINK("http://pbs.twimg.com/media/Dd0i2A-VwAA2cNP.png", "http://pbs.twimg.com/media/Dd0i2A-VwAA2cNP.png")</f>
        <v/>
      </c>
      <c r="G288" t="s"/>
      <c r="H288" t="s"/>
      <c r="I288" t="s"/>
      <c r="J288" t="n">
        <v>0.0258</v>
      </c>
      <c r="K288" t="n">
        <v>0.08599999999999999</v>
      </c>
      <c r="L288" t="n">
        <v>0.823</v>
      </c>
      <c r="M288" t="n">
        <v>0.091</v>
      </c>
    </row>
    <row r="289" spans="1:13">
      <c r="A289" s="1">
        <f>HYPERLINK("http://www.twitter.com/NathanBLawrence/status/999007551969726464", "999007551969726464")</f>
        <v/>
      </c>
      <c r="B289" s="2" t="n">
        <v>43242.80711805556</v>
      </c>
      <c r="C289" t="n">
        <v>1</v>
      </c>
      <c r="D289" t="n">
        <v>0</v>
      </c>
      <c r="E289" t="s">
        <v>294</v>
      </c>
      <c r="F289" t="s"/>
      <c r="G289" t="s"/>
      <c r="H289" t="s"/>
      <c r="I289" t="s"/>
      <c r="J289" t="n">
        <v>0.25</v>
      </c>
      <c r="K289" t="n">
        <v>0.125</v>
      </c>
      <c r="L289" t="n">
        <v>0.667</v>
      </c>
      <c r="M289" t="n">
        <v>0.208</v>
      </c>
    </row>
    <row r="290" spans="1:13">
      <c r="A290" s="1">
        <f>HYPERLINK("http://www.twitter.com/NathanBLawrence/status/999007458629771265", "999007458629771265")</f>
        <v/>
      </c>
      <c r="B290" s="2" t="n">
        <v>43242.80686342593</v>
      </c>
      <c r="C290" t="n">
        <v>0</v>
      </c>
      <c r="D290" t="n">
        <v>5</v>
      </c>
      <c r="E290" t="s">
        <v>295</v>
      </c>
      <c r="F290" t="s"/>
      <c r="G290" t="s"/>
      <c r="H290" t="s"/>
      <c r="I290" t="s"/>
      <c r="J290" t="n">
        <v>-0.128</v>
      </c>
      <c r="K290" t="n">
        <v>0.214</v>
      </c>
      <c r="L290" t="n">
        <v>0.5570000000000001</v>
      </c>
      <c r="M290" t="n">
        <v>0.228</v>
      </c>
    </row>
    <row r="291" spans="1:13">
      <c r="A291" s="1">
        <f>HYPERLINK("http://www.twitter.com/NathanBLawrence/status/999007348097200128", "999007348097200128")</f>
        <v/>
      </c>
      <c r="B291" s="2" t="n">
        <v>43242.8065625</v>
      </c>
      <c r="C291" t="n">
        <v>2</v>
      </c>
      <c r="D291" t="n">
        <v>1</v>
      </c>
      <c r="E291" t="s">
        <v>296</v>
      </c>
      <c r="F291" t="s"/>
      <c r="G291" t="s"/>
      <c r="H291" t="s"/>
      <c r="I291" t="s"/>
      <c r="J291" t="n">
        <v>0.2732</v>
      </c>
      <c r="K291" t="n">
        <v>0.142</v>
      </c>
      <c r="L291" t="n">
        <v>0.628</v>
      </c>
      <c r="M291" t="n">
        <v>0.23</v>
      </c>
    </row>
    <row r="292" spans="1:13">
      <c r="A292" s="1">
        <f>HYPERLINK("http://www.twitter.com/NathanBLawrence/status/999007208531734528", "999007208531734528")</f>
        <v/>
      </c>
      <c r="B292" s="2" t="n">
        <v>43242.80616898148</v>
      </c>
      <c r="C292" t="n">
        <v>0</v>
      </c>
      <c r="D292" t="n">
        <v>6</v>
      </c>
      <c r="E292" t="s">
        <v>297</v>
      </c>
      <c r="F292" t="s"/>
      <c r="G292" t="s"/>
      <c r="H292" t="s"/>
      <c r="I292" t="s"/>
      <c r="J292" t="n">
        <v>0.3802</v>
      </c>
      <c r="K292" t="n">
        <v>0.08799999999999999</v>
      </c>
      <c r="L292" t="n">
        <v>0.72</v>
      </c>
      <c r="M292" t="n">
        <v>0.192</v>
      </c>
    </row>
    <row r="293" spans="1:13">
      <c r="A293" s="1">
        <f>HYPERLINK("http://www.twitter.com/NathanBLawrence/status/999006778795929601", "999006778795929601")</f>
        <v/>
      </c>
      <c r="B293" s="2" t="n">
        <v>43242.80498842592</v>
      </c>
      <c r="C293" t="n">
        <v>20</v>
      </c>
      <c r="D293" t="n">
        <v>17</v>
      </c>
      <c r="E293" t="s">
        <v>298</v>
      </c>
      <c r="F293">
        <f>HYPERLINK("https://video.twimg.com/ext_tw_video/999006284857851904/pu/vid/1280x720/SCVIe9LuSmC1CvyR.mp4?tag=3", "https://video.twimg.com/ext_tw_video/999006284857851904/pu/vid/1280x720/SCVIe9LuSmC1CvyR.mp4?tag=3")</f>
        <v/>
      </c>
      <c r="G293" t="s"/>
      <c r="H293" t="s"/>
      <c r="I293" t="s"/>
      <c r="J293" t="n">
        <v>0</v>
      </c>
      <c r="K293" t="n">
        <v>0</v>
      </c>
      <c r="L293" t="n">
        <v>1</v>
      </c>
      <c r="M293" t="n">
        <v>0</v>
      </c>
    </row>
    <row r="294" spans="1:13">
      <c r="A294" s="1">
        <f>HYPERLINK("http://www.twitter.com/NathanBLawrence/status/999006684566773762", "999006684566773762")</f>
        <v/>
      </c>
      <c r="B294" s="2" t="n">
        <v>43242.80472222222</v>
      </c>
      <c r="C294" t="n">
        <v>0</v>
      </c>
      <c r="D294" t="n">
        <v>10</v>
      </c>
      <c r="E294" t="s">
        <v>299</v>
      </c>
      <c r="F294">
        <f>HYPERLINK("https://video.twimg.com/ext_tw_video/999000459573522432/pu/vid/1280x720/dbYbc81pS_uQ37uD.mp4?tag=3", "https://video.twimg.com/ext_tw_video/999000459573522432/pu/vid/1280x720/dbYbc81pS_uQ37uD.mp4?tag=3")</f>
        <v/>
      </c>
      <c r="G294" t="s"/>
      <c r="H294" t="s"/>
      <c r="I294" t="s"/>
      <c r="J294" t="n">
        <v>-0.6114000000000001</v>
      </c>
      <c r="K294" t="n">
        <v>0.444</v>
      </c>
      <c r="L294" t="n">
        <v>0.556</v>
      </c>
      <c r="M294" t="n">
        <v>0</v>
      </c>
    </row>
    <row r="295" spans="1:13">
      <c r="A295" s="1">
        <f>HYPERLINK("http://www.twitter.com/NathanBLawrence/status/999004666359898112", "999004666359898112")</f>
        <v/>
      </c>
      <c r="B295" s="2" t="n">
        <v>43242.79915509259</v>
      </c>
      <c r="C295" t="n">
        <v>0</v>
      </c>
      <c r="D295" t="n">
        <v>4</v>
      </c>
      <c r="E295" t="s">
        <v>300</v>
      </c>
      <c r="F295">
        <f>HYPERLINK("http://pbs.twimg.com/media/DdztS9uVQAIczVM.jpg", "http://pbs.twimg.com/media/DdztS9uVQAIczVM.jpg")</f>
        <v/>
      </c>
      <c r="G295" t="s"/>
      <c r="H295" t="s"/>
      <c r="I295" t="s"/>
      <c r="J295" t="n">
        <v>0</v>
      </c>
      <c r="K295" t="n">
        <v>0</v>
      </c>
      <c r="L295" t="n">
        <v>1</v>
      </c>
      <c r="M295" t="n">
        <v>0</v>
      </c>
    </row>
    <row r="296" spans="1:13">
      <c r="A296" s="1">
        <f>HYPERLINK("http://www.twitter.com/NathanBLawrence/status/999000979323392002", "999000979323392002")</f>
        <v/>
      </c>
      <c r="B296" s="2" t="n">
        <v>43242.78898148148</v>
      </c>
      <c r="C296" t="n">
        <v>11</v>
      </c>
      <c r="D296" t="n">
        <v>10</v>
      </c>
      <c r="E296" t="s">
        <v>301</v>
      </c>
      <c r="F296">
        <f>HYPERLINK("https://video.twimg.com/ext_tw_video/999000459573522432/pu/vid/1280x720/dbYbc81pS_uQ37uD.mp4?tag=3", "https://video.twimg.com/ext_tw_video/999000459573522432/pu/vid/1280x720/dbYbc81pS_uQ37uD.mp4?tag=3")</f>
        <v/>
      </c>
      <c r="G296" t="s"/>
      <c r="H296" t="s"/>
      <c r="I296" t="s"/>
      <c r="J296" t="n">
        <v>-0.6114000000000001</v>
      </c>
      <c r="K296" t="n">
        <v>0.571</v>
      </c>
      <c r="L296" t="n">
        <v>0.429</v>
      </c>
      <c r="M296" t="n">
        <v>0</v>
      </c>
    </row>
    <row r="297" spans="1:13">
      <c r="A297" s="1">
        <f>HYPERLINK("http://www.twitter.com/NathanBLawrence/status/998987847221825538", "998987847221825538")</f>
        <v/>
      </c>
      <c r="B297" s="2" t="n">
        <v>43242.75274305556</v>
      </c>
      <c r="C297" t="n">
        <v>0</v>
      </c>
      <c r="D297" t="n">
        <v>2</v>
      </c>
      <c r="E297" t="s">
        <v>302</v>
      </c>
      <c r="F297">
        <f>HYPERLINK("http://pbs.twimg.com/media/Dd0ds7DVAAAV6Uf.jpg", "http://pbs.twimg.com/media/Dd0ds7DVAAAV6Uf.jpg")</f>
        <v/>
      </c>
      <c r="G297" t="s"/>
      <c r="H297" t="s"/>
      <c r="I297" t="s"/>
      <c r="J297" t="n">
        <v>0.8126</v>
      </c>
      <c r="K297" t="n">
        <v>0</v>
      </c>
      <c r="L297" t="n">
        <v>0.669</v>
      </c>
      <c r="M297" t="n">
        <v>0.331</v>
      </c>
    </row>
    <row r="298" spans="1:13">
      <c r="A298" s="1">
        <f>HYPERLINK("http://www.twitter.com/NathanBLawrence/status/998982771849777152", "998982771849777152")</f>
        <v/>
      </c>
      <c r="B298" s="2" t="n">
        <v>43242.73873842593</v>
      </c>
      <c r="C298" t="n">
        <v>0</v>
      </c>
      <c r="D298" t="n">
        <v>12</v>
      </c>
      <c r="E298" t="s">
        <v>303</v>
      </c>
      <c r="F298">
        <f>HYPERLINK("http://pbs.twimg.com/media/Dd0UP-mUwAAeZbh.jpg", "http://pbs.twimg.com/media/Dd0UP-mUwAAeZbh.jpg")</f>
        <v/>
      </c>
      <c r="G298" t="s"/>
      <c r="H298" t="s"/>
      <c r="I298" t="s"/>
      <c r="J298" t="n">
        <v>-0.0258</v>
      </c>
      <c r="K298" t="n">
        <v>0.08400000000000001</v>
      </c>
      <c r="L298" t="n">
        <v>0.837</v>
      </c>
      <c r="M298" t="n">
        <v>0.08</v>
      </c>
    </row>
    <row r="299" spans="1:13">
      <c r="A299" s="1">
        <f>HYPERLINK("http://www.twitter.com/NathanBLawrence/status/998977130691289094", "998977130691289094")</f>
        <v/>
      </c>
      <c r="B299" s="2" t="n">
        <v>43242.7231712963</v>
      </c>
      <c r="C299" t="n">
        <v>0</v>
      </c>
      <c r="D299" t="n">
        <v>10</v>
      </c>
      <c r="E299" t="s">
        <v>304</v>
      </c>
      <c r="F299" t="s"/>
      <c r="G299" t="s"/>
      <c r="H299" t="s"/>
      <c r="I299" t="s"/>
      <c r="J299" t="n">
        <v>0.1779</v>
      </c>
      <c r="K299" t="n">
        <v>0.144</v>
      </c>
      <c r="L299" t="n">
        <v>0.6899999999999999</v>
      </c>
      <c r="M299" t="n">
        <v>0.166</v>
      </c>
    </row>
    <row r="300" spans="1:13">
      <c r="A300" s="1">
        <f>HYPERLINK("http://www.twitter.com/NathanBLawrence/status/998976970997288960", "998976970997288960")</f>
        <v/>
      </c>
      <c r="B300" s="2" t="n">
        <v>43242.72273148148</v>
      </c>
      <c r="C300" t="n">
        <v>14</v>
      </c>
      <c r="D300" t="n">
        <v>12</v>
      </c>
      <c r="E300" t="s">
        <v>305</v>
      </c>
      <c r="F300">
        <f>HYPERLINK("http://pbs.twimg.com/media/Dd0UP-mUwAAeZbh.jpg", "http://pbs.twimg.com/media/Dd0UP-mUwAAeZbh.jpg")</f>
        <v/>
      </c>
      <c r="G300" t="s"/>
      <c r="H300" t="s"/>
      <c r="I300" t="s"/>
      <c r="J300" t="n">
        <v>0.7622</v>
      </c>
      <c r="K300" t="n">
        <v>0.042</v>
      </c>
      <c r="L300" t="n">
        <v>0.774</v>
      </c>
      <c r="M300" t="n">
        <v>0.184</v>
      </c>
    </row>
    <row r="301" spans="1:13">
      <c r="A301" s="1">
        <f>HYPERLINK("http://www.twitter.com/NathanBLawrence/status/998970848433332224", "998970848433332224")</f>
        <v/>
      </c>
      <c r="B301" s="2" t="n">
        <v>43242.70583333333</v>
      </c>
      <c r="C301" t="n">
        <v>5</v>
      </c>
      <c r="D301" t="n">
        <v>3</v>
      </c>
      <c r="E301" t="s">
        <v>306</v>
      </c>
      <c r="F301" t="s"/>
      <c r="G301" t="s"/>
      <c r="H301" t="s"/>
      <c r="I301" t="s"/>
      <c r="J301" t="n">
        <v>0</v>
      </c>
      <c r="K301" t="n">
        <v>0</v>
      </c>
      <c r="L301" t="n">
        <v>1</v>
      </c>
      <c r="M301" t="n">
        <v>0</v>
      </c>
    </row>
    <row r="302" spans="1:13">
      <c r="A302" s="1">
        <f>HYPERLINK("http://www.twitter.com/NathanBLawrence/status/998969484378505216", "998969484378505216")</f>
        <v/>
      </c>
      <c r="B302" s="2" t="n">
        <v>43242.70207175926</v>
      </c>
      <c r="C302" t="n">
        <v>0</v>
      </c>
      <c r="D302" t="n">
        <v>1</v>
      </c>
      <c r="E302" t="s">
        <v>307</v>
      </c>
      <c r="F302" t="s"/>
      <c r="G302" t="s"/>
      <c r="H302" t="s"/>
      <c r="I302" t="s"/>
      <c r="J302" t="n">
        <v>-0.5256</v>
      </c>
      <c r="K302" t="n">
        <v>0.195</v>
      </c>
      <c r="L302" t="n">
        <v>0.805</v>
      </c>
      <c r="M302" t="n">
        <v>0</v>
      </c>
    </row>
    <row r="303" spans="1:13">
      <c r="A303" s="1">
        <f>HYPERLINK("http://www.twitter.com/NathanBLawrence/status/998969347023482881", "998969347023482881")</f>
        <v/>
      </c>
      <c r="B303" s="2" t="n">
        <v>43242.70168981481</v>
      </c>
      <c r="C303" t="n">
        <v>6</v>
      </c>
      <c r="D303" t="n">
        <v>4</v>
      </c>
      <c r="E303" t="s">
        <v>308</v>
      </c>
      <c r="F303" t="s"/>
      <c r="G303" t="s"/>
      <c r="H303" t="s"/>
      <c r="I303" t="s"/>
      <c r="J303" t="n">
        <v>0</v>
      </c>
      <c r="K303" t="n">
        <v>0</v>
      </c>
      <c r="L303" t="n">
        <v>1</v>
      </c>
      <c r="M303" t="n">
        <v>0</v>
      </c>
    </row>
    <row r="304" spans="1:13">
      <c r="A304" s="1">
        <f>HYPERLINK("http://www.twitter.com/NathanBLawrence/status/998968269284499456", "998968269284499456")</f>
        <v/>
      </c>
      <c r="B304" s="2" t="n">
        <v>43242.69871527778</v>
      </c>
      <c r="C304" t="n">
        <v>6</v>
      </c>
      <c r="D304" t="n">
        <v>4</v>
      </c>
      <c r="E304" t="s">
        <v>309</v>
      </c>
      <c r="F304" t="s"/>
      <c r="G304" t="s"/>
      <c r="H304" t="s"/>
      <c r="I304" t="s"/>
      <c r="J304" t="n">
        <v>0</v>
      </c>
      <c r="K304" t="n">
        <v>0</v>
      </c>
      <c r="L304" t="n">
        <v>1</v>
      </c>
      <c r="M304" t="n">
        <v>0</v>
      </c>
    </row>
    <row r="305" spans="1:13">
      <c r="A305" s="1">
        <f>HYPERLINK("http://www.twitter.com/NathanBLawrence/status/998968068691976192", "998968068691976192")</f>
        <v/>
      </c>
      <c r="B305" s="2" t="n">
        <v>43242.6981712963</v>
      </c>
      <c r="C305" t="n">
        <v>5</v>
      </c>
      <c r="D305" t="n">
        <v>3</v>
      </c>
      <c r="E305" t="s">
        <v>310</v>
      </c>
      <c r="F305" t="s"/>
      <c r="G305" t="s"/>
      <c r="H305" t="s"/>
      <c r="I305" t="s"/>
      <c r="J305" t="n">
        <v>0</v>
      </c>
      <c r="K305" t="n">
        <v>0</v>
      </c>
      <c r="L305" t="n">
        <v>1</v>
      </c>
      <c r="M305" t="n">
        <v>0</v>
      </c>
    </row>
    <row r="306" spans="1:13">
      <c r="A306" s="1">
        <f>HYPERLINK("http://www.twitter.com/NathanBLawrence/status/998967837271224326", "998967837271224326")</f>
        <v/>
      </c>
      <c r="B306" s="2" t="n">
        <v>43242.69752314815</v>
      </c>
      <c r="C306" t="n">
        <v>5</v>
      </c>
      <c r="D306" t="n">
        <v>4</v>
      </c>
      <c r="E306" t="s">
        <v>311</v>
      </c>
      <c r="F306" t="s"/>
      <c r="G306" t="s"/>
      <c r="H306" t="s"/>
      <c r="I306" t="s"/>
      <c r="J306" t="n">
        <v>0</v>
      </c>
      <c r="K306" t="n">
        <v>0</v>
      </c>
      <c r="L306" t="n">
        <v>1</v>
      </c>
      <c r="M306" t="n">
        <v>0</v>
      </c>
    </row>
    <row r="307" spans="1:13">
      <c r="A307" s="1">
        <f>HYPERLINK("http://www.twitter.com/NathanBLawrence/status/998967483011878914", "998967483011878914")</f>
        <v/>
      </c>
      <c r="B307" s="2" t="n">
        <v>43242.69655092592</v>
      </c>
      <c r="C307" t="n">
        <v>0</v>
      </c>
      <c r="D307" t="n">
        <v>1</v>
      </c>
      <c r="E307" t="s">
        <v>312</v>
      </c>
      <c r="F307" t="s"/>
      <c r="G307" t="s"/>
      <c r="H307" t="s"/>
      <c r="I307" t="s"/>
      <c r="J307" t="n">
        <v>-0.3182</v>
      </c>
      <c r="K307" t="n">
        <v>0.149</v>
      </c>
      <c r="L307" t="n">
        <v>0.744</v>
      </c>
      <c r="M307" t="n">
        <v>0.107</v>
      </c>
    </row>
    <row r="308" spans="1:13">
      <c r="A308" s="1">
        <f>HYPERLINK("http://www.twitter.com/NathanBLawrence/status/998967417899552768", "998967417899552768")</f>
        <v/>
      </c>
      <c r="B308" s="2" t="n">
        <v>43242.69637731482</v>
      </c>
      <c r="C308" t="n">
        <v>3</v>
      </c>
      <c r="D308" t="n">
        <v>3</v>
      </c>
      <c r="E308" t="s">
        <v>313</v>
      </c>
      <c r="F308" t="s"/>
      <c r="G308" t="s"/>
      <c r="H308" t="s"/>
      <c r="I308" t="s"/>
      <c r="J308" t="n">
        <v>0</v>
      </c>
      <c r="K308" t="n">
        <v>0</v>
      </c>
      <c r="L308" t="n">
        <v>1</v>
      </c>
      <c r="M308" t="n">
        <v>0</v>
      </c>
    </row>
    <row r="309" spans="1:13">
      <c r="A309" s="1">
        <f>HYPERLINK("http://www.twitter.com/NathanBLawrence/status/998967007814078464", "998967007814078464")</f>
        <v/>
      </c>
      <c r="B309" s="2" t="n">
        <v>43242.69524305555</v>
      </c>
      <c r="C309" t="n">
        <v>0</v>
      </c>
      <c r="D309" t="n">
        <v>14</v>
      </c>
      <c r="E309" t="s">
        <v>314</v>
      </c>
      <c r="F309">
        <f>HYPERLINK("http://pbs.twimg.com/media/Dd0G50cU0AA5bG0.jpg", "http://pbs.twimg.com/media/Dd0G50cU0AA5bG0.jpg")</f>
        <v/>
      </c>
      <c r="G309" t="s"/>
      <c r="H309" t="s"/>
      <c r="I309" t="s"/>
      <c r="J309" t="n">
        <v>0.381</v>
      </c>
      <c r="K309" t="n">
        <v>0</v>
      </c>
      <c r="L309" t="n">
        <v>0.854</v>
      </c>
      <c r="M309" t="n">
        <v>0.146</v>
      </c>
    </row>
    <row r="310" spans="1:13">
      <c r="A310" s="1">
        <f>HYPERLINK("http://www.twitter.com/NathanBLawrence/status/998963145644367873", "998963145644367873")</f>
        <v/>
      </c>
      <c r="B310" s="2" t="n">
        <v>43242.68458333334</v>
      </c>
      <c r="C310" t="n">
        <v>0</v>
      </c>
      <c r="D310" t="n">
        <v>9</v>
      </c>
      <c r="E310" t="s">
        <v>315</v>
      </c>
      <c r="F310">
        <f>HYPERLINK("https://video.twimg.com/ext_tw_video/998960364199886848/pu/vid/1280x720/1j1HXISsNb9f18un.mp4?tag=3", "https://video.twimg.com/ext_tw_video/998960364199886848/pu/vid/1280x720/1j1HXISsNb9f18un.mp4?tag=3")</f>
        <v/>
      </c>
      <c r="G310" t="s"/>
      <c r="H310" t="s"/>
      <c r="I310" t="s"/>
      <c r="J310" t="n">
        <v>-0.4023</v>
      </c>
      <c r="K310" t="n">
        <v>0.125</v>
      </c>
      <c r="L310" t="n">
        <v>0.875</v>
      </c>
      <c r="M310" t="n">
        <v>0</v>
      </c>
    </row>
    <row r="311" spans="1:13">
      <c r="A311" s="1">
        <f>HYPERLINK("http://www.twitter.com/NathanBLawrence/status/998963052891574274", "998963052891574274")</f>
        <v/>
      </c>
      <c r="B311" s="2" t="n">
        <v>43242.6843287037</v>
      </c>
      <c r="C311" t="n">
        <v>19</v>
      </c>
      <c r="D311" t="n">
        <v>16</v>
      </c>
      <c r="E311" t="s">
        <v>316</v>
      </c>
      <c r="F311">
        <f>HYPERLINK("http://pbs.twimg.com/media/Dd0HmMOU0AMG3qX.jpg", "http://pbs.twimg.com/media/Dd0HmMOU0AMG3qX.jpg")</f>
        <v/>
      </c>
      <c r="G311" t="s"/>
      <c r="H311" t="s"/>
      <c r="I311" t="s"/>
      <c r="J311" t="n">
        <v>-0.1965</v>
      </c>
      <c r="K311" t="n">
        <v>0.105</v>
      </c>
      <c r="L311" t="n">
        <v>0.804</v>
      </c>
      <c r="M311" t="n">
        <v>0.091</v>
      </c>
    </row>
    <row r="312" spans="1:13">
      <c r="A312" s="1">
        <f>HYPERLINK("http://www.twitter.com/NathanBLawrence/status/998962292669734913", "998962292669734913")</f>
        <v/>
      </c>
      <c r="B312" s="2" t="n">
        <v>43242.68223379629</v>
      </c>
      <c r="C312" t="n">
        <v>18</v>
      </c>
      <c r="D312" t="n">
        <v>14</v>
      </c>
      <c r="E312" t="s">
        <v>317</v>
      </c>
      <c r="F312">
        <f>HYPERLINK("http://pbs.twimg.com/media/Dd0G50cU0AA5bG0.jpg", "http://pbs.twimg.com/media/Dd0G50cU0AA5bG0.jpg")</f>
        <v/>
      </c>
      <c r="G312" t="s"/>
      <c r="H312" t="s"/>
      <c r="I312" t="s"/>
      <c r="J312" t="n">
        <v>0.127</v>
      </c>
      <c r="K312" t="n">
        <v>0.044</v>
      </c>
      <c r="L312" t="n">
        <v>0.881</v>
      </c>
      <c r="M312" t="n">
        <v>0.075</v>
      </c>
    </row>
    <row r="313" spans="1:13">
      <c r="A313" s="1">
        <f>HYPERLINK("http://www.twitter.com/NathanBLawrence/status/998960987402391552", "998960987402391552")</f>
        <v/>
      </c>
      <c r="B313" s="2" t="n">
        <v>43242.67862268518</v>
      </c>
      <c r="C313" t="n">
        <v>3</v>
      </c>
      <c r="D313" t="n">
        <v>2</v>
      </c>
      <c r="E313" t="s">
        <v>318</v>
      </c>
      <c r="F313" t="s"/>
      <c r="G313" t="s"/>
      <c r="H313" t="s"/>
      <c r="I313" t="s"/>
      <c r="J313" t="n">
        <v>-0.128</v>
      </c>
      <c r="K313" t="n">
        <v>0.073</v>
      </c>
      <c r="L313" t="n">
        <v>0.867</v>
      </c>
      <c r="M313" t="n">
        <v>0.061</v>
      </c>
    </row>
    <row r="314" spans="1:13">
      <c r="A314" s="1">
        <f>HYPERLINK("http://www.twitter.com/NathanBLawrence/status/998960653825167360", "998960653825167360")</f>
        <v/>
      </c>
      <c r="B314" s="2" t="n">
        <v>43242.67770833334</v>
      </c>
      <c r="C314" t="n">
        <v>0</v>
      </c>
      <c r="D314" t="n">
        <v>0</v>
      </c>
      <c r="E314" t="s">
        <v>319</v>
      </c>
      <c r="F314" t="s"/>
      <c r="G314" t="s"/>
      <c r="H314" t="s"/>
      <c r="I314" t="s"/>
      <c r="J314" t="n">
        <v>0</v>
      </c>
      <c r="K314" t="n">
        <v>0</v>
      </c>
      <c r="L314" t="n">
        <v>1</v>
      </c>
      <c r="M314" t="n">
        <v>0</v>
      </c>
    </row>
    <row r="315" spans="1:13">
      <c r="A315" s="1">
        <f>HYPERLINK("http://www.twitter.com/NathanBLawrence/status/998960416209473536", "998960416209473536")</f>
        <v/>
      </c>
      <c r="B315" s="2" t="n">
        <v>43242.67704861111</v>
      </c>
      <c r="C315" t="n">
        <v>15</v>
      </c>
      <c r="D315" t="n">
        <v>9</v>
      </c>
      <c r="E315" t="s">
        <v>320</v>
      </c>
      <c r="F315">
        <f>HYPERLINK("https://video.twimg.com/ext_tw_video/998960364199886848/pu/vid/1280x720/1j1HXISsNb9f18un.mp4?tag=3", "https://video.twimg.com/ext_tw_video/998960364199886848/pu/vid/1280x720/1j1HXISsNb9f18un.mp4?tag=3")</f>
        <v/>
      </c>
      <c r="G315" t="s"/>
      <c r="H315" t="s"/>
      <c r="I315" t="s"/>
      <c r="J315" t="n">
        <v>-0.7517</v>
      </c>
      <c r="K315" t="n">
        <v>0.18</v>
      </c>
      <c r="L315" t="n">
        <v>0.77</v>
      </c>
      <c r="M315" t="n">
        <v>0.05</v>
      </c>
    </row>
    <row r="316" spans="1:13">
      <c r="A316" s="1">
        <f>HYPERLINK("http://www.twitter.com/NathanBLawrence/status/998958162119155712", "998958162119155712")</f>
        <v/>
      </c>
      <c r="B316" s="2" t="n">
        <v>43242.67083333333</v>
      </c>
      <c r="C316" t="n">
        <v>0</v>
      </c>
      <c r="D316" t="n">
        <v>20</v>
      </c>
      <c r="E316" t="s">
        <v>321</v>
      </c>
      <c r="F316" t="s"/>
      <c r="G316" t="s"/>
      <c r="H316" t="s"/>
      <c r="I316" t="s"/>
      <c r="J316" t="n">
        <v>0</v>
      </c>
      <c r="K316" t="n">
        <v>0</v>
      </c>
      <c r="L316" t="n">
        <v>1</v>
      </c>
      <c r="M316" t="n">
        <v>0</v>
      </c>
    </row>
    <row r="317" spans="1:13">
      <c r="A317" s="1">
        <f>HYPERLINK("http://www.twitter.com/NathanBLawrence/status/998958077192867841", "998958077192867841")</f>
        <v/>
      </c>
      <c r="B317" s="2" t="n">
        <v>43242.67060185185</v>
      </c>
      <c r="C317" t="n">
        <v>0</v>
      </c>
      <c r="D317" t="n">
        <v>7808</v>
      </c>
      <c r="E317" t="s">
        <v>322</v>
      </c>
      <c r="F317" t="s"/>
      <c r="G317" t="s"/>
      <c r="H317" t="s"/>
      <c r="I317" t="s"/>
      <c r="J317" t="n">
        <v>-0.533</v>
      </c>
      <c r="K317" t="n">
        <v>0.141</v>
      </c>
      <c r="L317" t="n">
        <v>0.859</v>
      </c>
      <c r="M317" t="n">
        <v>0</v>
      </c>
    </row>
    <row r="318" spans="1:13">
      <c r="A318" s="1">
        <f>HYPERLINK("http://www.twitter.com/NathanBLawrence/status/998958052584886274", "998958052584886274")</f>
        <v/>
      </c>
      <c r="B318" s="2" t="n">
        <v>43242.67053240741</v>
      </c>
      <c r="C318" t="n">
        <v>0</v>
      </c>
      <c r="D318" t="n">
        <v>861</v>
      </c>
      <c r="E318" t="s">
        <v>323</v>
      </c>
      <c r="F318" t="s"/>
      <c r="G318" t="s"/>
      <c r="H318" t="s"/>
      <c r="I318" t="s"/>
      <c r="J318" t="n">
        <v>0</v>
      </c>
      <c r="K318" t="n">
        <v>0</v>
      </c>
      <c r="L318" t="n">
        <v>1</v>
      </c>
      <c r="M318" t="n">
        <v>0</v>
      </c>
    </row>
    <row r="319" spans="1:13">
      <c r="A319" s="1">
        <f>HYPERLINK("http://www.twitter.com/NathanBLawrence/status/998957349728587777", "998957349728587777")</f>
        <v/>
      </c>
      <c r="B319" s="2" t="n">
        <v>43242.66858796297</v>
      </c>
      <c r="C319" t="n">
        <v>15</v>
      </c>
      <c r="D319" t="n">
        <v>10</v>
      </c>
      <c r="E319" t="s">
        <v>324</v>
      </c>
      <c r="F319" t="s"/>
      <c r="G319" t="s"/>
      <c r="H319" t="s"/>
      <c r="I319" t="s"/>
      <c r="J319" t="n">
        <v>-0.6239</v>
      </c>
      <c r="K319" t="n">
        <v>0.177</v>
      </c>
      <c r="L319" t="n">
        <v>0.733</v>
      </c>
      <c r="M319" t="n">
        <v>0.09</v>
      </c>
    </row>
    <row r="320" spans="1:13">
      <c r="A320" s="1">
        <f>HYPERLINK("http://www.twitter.com/NathanBLawrence/status/998955714486861824", "998955714486861824")</f>
        <v/>
      </c>
      <c r="B320" s="2" t="n">
        <v>43242.66407407408</v>
      </c>
      <c r="C320" t="n">
        <v>0</v>
      </c>
      <c r="D320" t="n">
        <v>4</v>
      </c>
      <c r="E320" t="s">
        <v>325</v>
      </c>
      <c r="F320" t="s"/>
      <c r="G320" t="s"/>
      <c r="H320" t="s"/>
      <c r="I320" t="s"/>
      <c r="J320" t="n">
        <v>0.6249</v>
      </c>
      <c r="K320" t="n">
        <v>0</v>
      </c>
      <c r="L320" t="n">
        <v>0.661</v>
      </c>
      <c r="M320" t="n">
        <v>0.339</v>
      </c>
    </row>
    <row r="321" spans="1:13">
      <c r="A321" s="1">
        <f>HYPERLINK("http://www.twitter.com/NathanBLawrence/status/998955002491260929", "998955002491260929")</f>
        <v/>
      </c>
      <c r="B321" s="2" t="n">
        <v>43242.66210648148</v>
      </c>
      <c r="C321" t="n">
        <v>3</v>
      </c>
      <c r="D321" t="n">
        <v>2</v>
      </c>
      <c r="E321" t="s">
        <v>326</v>
      </c>
      <c r="F321">
        <f>HYPERLINK("http://pbs.twimg.com/media/Dd0ARdUUQAA-gqq.jpg", "http://pbs.twimg.com/media/Dd0ARdUUQAA-gqq.jpg")</f>
        <v/>
      </c>
      <c r="G321" t="s"/>
      <c r="H321" t="s"/>
      <c r="I321" t="s"/>
      <c r="J321" t="n">
        <v>0</v>
      </c>
      <c r="K321" t="n">
        <v>0</v>
      </c>
      <c r="L321" t="n">
        <v>1</v>
      </c>
      <c r="M321" t="n">
        <v>0</v>
      </c>
    </row>
    <row r="322" spans="1:13">
      <c r="A322" s="1">
        <f>HYPERLINK("http://www.twitter.com/NathanBLawrence/status/998954480061296640", "998954480061296640")</f>
        <v/>
      </c>
      <c r="B322" s="2" t="n">
        <v>43242.6606712963</v>
      </c>
      <c r="C322" t="n">
        <v>1</v>
      </c>
      <c r="D322" t="n">
        <v>0</v>
      </c>
      <c r="E322" t="s">
        <v>327</v>
      </c>
      <c r="F322">
        <f>HYPERLINK("http://pbs.twimg.com/media/Ddz_zV0UQAgi1ch.jpg", "http://pbs.twimg.com/media/Ddz_zV0UQAgi1ch.jpg")</f>
        <v/>
      </c>
      <c r="G322" t="s"/>
      <c r="H322" t="s"/>
      <c r="I322" t="s"/>
      <c r="J322" t="n">
        <v>0</v>
      </c>
      <c r="K322" t="n">
        <v>0</v>
      </c>
      <c r="L322" t="n">
        <v>1</v>
      </c>
      <c r="M322" t="n">
        <v>0</v>
      </c>
    </row>
    <row r="323" spans="1:13">
      <c r="A323" s="1">
        <f>HYPERLINK("http://www.twitter.com/NathanBLawrence/status/998954247357108225", "998954247357108225")</f>
        <v/>
      </c>
      <c r="B323" s="2" t="n">
        <v>43242.66002314815</v>
      </c>
      <c r="C323" t="n">
        <v>0</v>
      </c>
      <c r="D323" t="n">
        <v>15</v>
      </c>
      <c r="E323" t="s">
        <v>328</v>
      </c>
      <c r="F323" t="s"/>
      <c r="G323" t="s"/>
      <c r="H323" t="s"/>
      <c r="I323" t="s"/>
      <c r="J323" t="n">
        <v>-0.5994</v>
      </c>
      <c r="K323" t="n">
        <v>0.255</v>
      </c>
      <c r="L323" t="n">
        <v>0.608</v>
      </c>
      <c r="M323" t="n">
        <v>0.137</v>
      </c>
    </row>
    <row r="324" spans="1:13">
      <c r="A324" s="1">
        <f>HYPERLINK("http://www.twitter.com/NathanBLawrence/status/998954056927383552", "998954056927383552")</f>
        <v/>
      </c>
      <c r="B324" s="2" t="n">
        <v>43242.65950231482</v>
      </c>
      <c r="C324" t="n">
        <v>1</v>
      </c>
      <c r="D324" t="n">
        <v>0</v>
      </c>
      <c r="E324" t="s">
        <v>329</v>
      </c>
      <c r="F324" t="s"/>
      <c r="G324" t="s"/>
      <c r="H324" t="s"/>
      <c r="I324" t="s"/>
      <c r="J324" t="n">
        <v>0.296</v>
      </c>
      <c r="K324" t="n">
        <v>0.192</v>
      </c>
      <c r="L324" t="n">
        <v>0.61</v>
      </c>
      <c r="M324" t="n">
        <v>0.198</v>
      </c>
    </row>
    <row r="325" spans="1:13">
      <c r="A325" s="1">
        <f>HYPERLINK("http://www.twitter.com/NathanBLawrence/status/998953766526308353", "998953766526308353")</f>
        <v/>
      </c>
      <c r="B325" s="2" t="n">
        <v>43242.6587037037</v>
      </c>
      <c r="C325" t="n">
        <v>1</v>
      </c>
      <c r="D325" t="n">
        <v>0</v>
      </c>
      <c r="E325" t="s">
        <v>330</v>
      </c>
      <c r="F325" t="s"/>
      <c r="G325" t="s"/>
      <c r="H325" t="s"/>
      <c r="I325" t="s"/>
      <c r="J325" t="n">
        <v>0.7322</v>
      </c>
      <c r="K325" t="n">
        <v>0.07000000000000001</v>
      </c>
      <c r="L325" t="n">
        <v>0.551</v>
      </c>
      <c r="M325" t="n">
        <v>0.379</v>
      </c>
    </row>
    <row r="326" spans="1:13">
      <c r="A326" s="1">
        <f>HYPERLINK("http://www.twitter.com/NathanBLawrence/status/998953640575500288", "998953640575500288")</f>
        <v/>
      </c>
      <c r="B326" s="2" t="n">
        <v>43242.65835648148</v>
      </c>
      <c r="C326" t="n">
        <v>2</v>
      </c>
      <c r="D326" t="n">
        <v>1</v>
      </c>
      <c r="E326" t="s">
        <v>331</v>
      </c>
      <c r="F326" t="s"/>
      <c r="G326" t="s"/>
      <c r="H326" t="s"/>
      <c r="I326" t="s"/>
      <c r="J326" t="n">
        <v>0.9413</v>
      </c>
      <c r="K326" t="n">
        <v>0</v>
      </c>
      <c r="L326" t="n">
        <v>0.721</v>
      </c>
      <c r="M326" t="n">
        <v>0.279</v>
      </c>
    </row>
    <row r="327" spans="1:13">
      <c r="A327" s="1">
        <f>HYPERLINK("http://www.twitter.com/NathanBLawrence/status/998952853468319744", "998952853468319744")</f>
        <v/>
      </c>
      <c r="B327" s="2" t="n">
        <v>43242.65618055555</v>
      </c>
      <c r="C327" t="n">
        <v>3</v>
      </c>
      <c r="D327" t="n">
        <v>1</v>
      </c>
      <c r="E327" t="s">
        <v>332</v>
      </c>
      <c r="F327">
        <f>HYPERLINK("http://pbs.twimg.com/media/Ddz-UhXV0AAXEOL.jpg", "http://pbs.twimg.com/media/Ddz-UhXV0AAXEOL.jpg")</f>
        <v/>
      </c>
      <c r="G327" t="s"/>
      <c r="H327" t="s"/>
      <c r="I327" t="s"/>
      <c r="J327" t="n">
        <v>0</v>
      </c>
      <c r="K327" t="n">
        <v>0</v>
      </c>
      <c r="L327" t="n">
        <v>1</v>
      </c>
      <c r="M327" t="n">
        <v>0</v>
      </c>
    </row>
    <row r="328" spans="1:13">
      <c r="A328" s="1">
        <f>HYPERLINK("http://www.twitter.com/NathanBLawrence/status/998952323610267648", "998952323610267648")</f>
        <v/>
      </c>
      <c r="B328" s="2" t="n">
        <v>43242.65472222222</v>
      </c>
      <c r="C328" t="n">
        <v>1</v>
      </c>
      <c r="D328" t="n">
        <v>0</v>
      </c>
      <c r="E328" t="s">
        <v>333</v>
      </c>
      <c r="F328" t="s"/>
      <c r="G328" t="s"/>
      <c r="H328" t="s"/>
      <c r="I328" t="s"/>
      <c r="J328" t="n">
        <v>0</v>
      </c>
      <c r="K328" t="n">
        <v>0</v>
      </c>
      <c r="L328" t="n">
        <v>1</v>
      </c>
      <c r="M328" t="n">
        <v>0</v>
      </c>
    </row>
    <row r="329" spans="1:13">
      <c r="A329" s="1">
        <f>HYPERLINK("http://www.twitter.com/NathanBLawrence/status/998951470769860608", "998951470769860608")</f>
        <v/>
      </c>
      <c r="B329" s="2" t="n">
        <v>43242.65236111111</v>
      </c>
      <c r="C329" t="n">
        <v>0</v>
      </c>
      <c r="D329" t="n">
        <v>6</v>
      </c>
      <c r="E329" t="s">
        <v>334</v>
      </c>
      <c r="F329" t="s"/>
      <c r="G329" t="s"/>
      <c r="H329" t="s"/>
      <c r="I329" t="s"/>
      <c r="J329" t="n">
        <v>-0.296</v>
      </c>
      <c r="K329" t="n">
        <v>0.095</v>
      </c>
      <c r="L329" t="n">
        <v>0.905</v>
      </c>
      <c r="M329" t="n">
        <v>0</v>
      </c>
    </row>
    <row r="330" spans="1:13">
      <c r="A330" s="1">
        <f>HYPERLINK("http://www.twitter.com/NathanBLawrence/status/998951390692200450", "998951390692200450")</f>
        <v/>
      </c>
      <c r="B330" s="2" t="n">
        <v>43242.6521412037</v>
      </c>
      <c r="C330" t="n">
        <v>0</v>
      </c>
      <c r="D330" t="n">
        <v>11</v>
      </c>
      <c r="E330" t="s">
        <v>335</v>
      </c>
      <c r="F330">
        <f>HYPERLINK("http://pbs.twimg.com/media/Ddv-G9gU8AAqMXV.jpg", "http://pbs.twimg.com/media/Ddv-G9gU8AAqMXV.jpg")</f>
        <v/>
      </c>
      <c r="G330" t="s"/>
      <c r="H330" t="s"/>
      <c r="I330" t="s"/>
      <c r="J330" t="n">
        <v>0.34</v>
      </c>
      <c r="K330" t="n">
        <v>0</v>
      </c>
      <c r="L330" t="n">
        <v>0.862</v>
      </c>
      <c r="M330" t="n">
        <v>0.138</v>
      </c>
    </row>
    <row r="331" spans="1:13">
      <c r="A331" s="1">
        <f>HYPERLINK("http://www.twitter.com/NathanBLawrence/status/998951335641968640", "998951335641968640")</f>
        <v/>
      </c>
      <c r="B331" s="2" t="n">
        <v>43242.65199074074</v>
      </c>
      <c r="C331" t="n">
        <v>0</v>
      </c>
      <c r="D331" t="n">
        <v>14</v>
      </c>
      <c r="E331" t="s">
        <v>336</v>
      </c>
      <c r="F331" t="s"/>
      <c r="G331" t="s"/>
      <c r="H331" t="s"/>
      <c r="I331" t="s"/>
      <c r="J331" t="n">
        <v>-0.5707</v>
      </c>
      <c r="K331" t="n">
        <v>0.15</v>
      </c>
      <c r="L331" t="n">
        <v>0.85</v>
      </c>
      <c r="M331" t="n">
        <v>0</v>
      </c>
    </row>
    <row r="332" spans="1:13">
      <c r="A332" s="1">
        <f>HYPERLINK("http://www.twitter.com/NathanBLawrence/status/998951294772613120", "998951294772613120")</f>
        <v/>
      </c>
      <c r="B332" s="2" t="n">
        <v>43242.651875</v>
      </c>
      <c r="C332" t="n">
        <v>0</v>
      </c>
      <c r="D332" t="n">
        <v>10</v>
      </c>
      <c r="E332" t="s">
        <v>337</v>
      </c>
      <c r="F332" t="s"/>
      <c r="G332" t="s"/>
      <c r="H332" t="s"/>
      <c r="I332" t="s"/>
      <c r="J332" t="n">
        <v>0.128</v>
      </c>
      <c r="K332" t="n">
        <v>0.097</v>
      </c>
      <c r="L332" t="n">
        <v>0.783</v>
      </c>
      <c r="M332" t="n">
        <v>0.12</v>
      </c>
    </row>
    <row r="333" spans="1:13">
      <c r="A333" s="1">
        <f>HYPERLINK("http://www.twitter.com/NathanBLawrence/status/998951278775586816", "998951278775586816")</f>
        <v/>
      </c>
      <c r="B333" s="2" t="n">
        <v>43242.65184027778</v>
      </c>
      <c r="C333" t="n">
        <v>0</v>
      </c>
      <c r="D333" t="n">
        <v>21</v>
      </c>
      <c r="E333" t="s">
        <v>338</v>
      </c>
      <c r="F333">
        <f>HYPERLINK("http://pbs.twimg.com/media/DdzVOm1U8AAYuE1.png", "http://pbs.twimg.com/media/DdzVOm1U8AAYuE1.png")</f>
        <v/>
      </c>
      <c r="G333" t="s"/>
      <c r="H333" t="s"/>
      <c r="I333" t="s"/>
      <c r="J333" t="n">
        <v>-0.2404</v>
      </c>
      <c r="K333" t="n">
        <v>0.151</v>
      </c>
      <c r="L333" t="n">
        <v>0.736</v>
      </c>
      <c r="M333" t="n">
        <v>0.114</v>
      </c>
    </row>
    <row r="334" spans="1:13">
      <c r="A334" s="1">
        <f>HYPERLINK("http://www.twitter.com/NathanBLawrence/status/998951156662636544", "998951156662636544")</f>
        <v/>
      </c>
      <c r="B334" s="2" t="n">
        <v>43242.65150462963</v>
      </c>
      <c r="C334" t="n">
        <v>0</v>
      </c>
      <c r="D334" t="n">
        <v>31</v>
      </c>
      <c r="E334" t="s">
        <v>339</v>
      </c>
      <c r="F334" t="s"/>
      <c r="G334" t="s"/>
      <c r="H334" t="s"/>
      <c r="I334" t="s"/>
      <c r="J334" t="n">
        <v>0</v>
      </c>
      <c r="K334" t="n">
        <v>0</v>
      </c>
      <c r="L334" t="n">
        <v>1</v>
      </c>
      <c r="M334" t="n">
        <v>0</v>
      </c>
    </row>
    <row r="335" spans="1:13">
      <c r="A335" s="1">
        <f>HYPERLINK("http://www.twitter.com/NathanBLawrence/status/998950927158702080", "998950927158702080")</f>
        <v/>
      </c>
      <c r="B335" s="2" t="n">
        <v>43242.65086805556</v>
      </c>
      <c r="C335" t="n">
        <v>3</v>
      </c>
      <c r="D335" t="n">
        <v>2</v>
      </c>
      <c r="E335" t="s">
        <v>340</v>
      </c>
      <c r="F335" t="s"/>
      <c r="G335" t="s"/>
      <c r="H335" t="s"/>
      <c r="I335" t="s"/>
      <c r="J335" t="n">
        <v>0.3919</v>
      </c>
      <c r="K335" t="n">
        <v>0.039</v>
      </c>
      <c r="L335" t="n">
        <v>0.872</v>
      </c>
      <c r="M335" t="n">
        <v>0.089</v>
      </c>
    </row>
    <row r="336" spans="1:13">
      <c r="A336" s="1">
        <f>HYPERLINK("http://www.twitter.com/NathanBLawrence/status/998946854430789633", "998946854430789633")</f>
        <v/>
      </c>
      <c r="B336" s="2" t="n">
        <v>43242.63962962963</v>
      </c>
      <c r="C336" t="n">
        <v>26</v>
      </c>
      <c r="D336" t="n">
        <v>21</v>
      </c>
      <c r="E336" t="s">
        <v>341</v>
      </c>
      <c r="F336">
        <f>HYPERLINK("http://pbs.twimg.com/media/Ddz425sVAAAc_cB.jpg", "http://pbs.twimg.com/media/Ddz425sVAAAc_cB.jpg")</f>
        <v/>
      </c>
      <c r="G336" t="s"/>
      <c r="H336" t="s"/>
      <c r="I336" t="s"/>
      <c r="J336" t="n">
        <v>0.5836</v>
      </c>
      <c r="K336" t="n">
        <v>0.115</v>
      </c>
      <c r="L336" t="n">
        <v>0.707</v>
      </c>
      <c r="M336" t="n">
        <v>0.178</v>
      </c>
    </row>
    <row r="337" spans="1:13">
      <c r="A337" s="1">
        <f>HYPERLINK("http://www.twitter.com/NathanBLawrence/status/998943076696674311", "998943076696674311")</f>
        <v/>
      </c>
      <c r="B337" s="2" t="n">
        <v>43242.62920138889</v>
      </c>
      <c r="C337" t="n">
        <v>6</v>
      </c>
      <c r="D337" t="n">
        <v>3</v>
      </c>
      <c r="E337" t="s">
        <v>342</v>
      </c>
      <c r="F337" t="s"/>
      <c r="G337" t="s"/>
      <c r="H337" t="s"/>
      <c r="I337" t="s"/>
      <c r="J337" t="n">
        <v>0</v>
      </c>
      <c r="K337" t="n">
        <v>0</v>
      </c>
      <c r="L337" t="n">
        <v>1</v>
      </c>
      <c r="M337" t="n">
        <v>0</v>
      </c>
    </row>
    <row r="338" spans="1:13">
      <c r="A338" s="1">
        <f>HYPERLINK("http://www.twitter.com/NathanBLawrence/status/998936694928834560", "998936694928834560")</f>
        <v/>
      </c>
      <c r="B338" s="2" t="n">
        <v>43242.61159722223</v>
      </c>
      <c r="C338" t="n">
        <v>1</v>
      </c>
      <c r="D338" t="n">
        <v>1</v>
      </c>
      <c r="E338" t="s">
        <v>343</v>
      </c>
      <c r="F338">
        <f>HYPERLINK("http://pbs.twimg.com/media/Ddzvn5JUQAAGk4a.jpg", "http://pbs.twimg.com/media/Ddzvn5JUQAAGk4a.jpg")</f>
        <v/>
      </c>
      <c r="G338" t="s"/>
      <c r="H338" t="s"/>
      <c r="I338" t="s"/>
      <c r="J338" t="n">
        <v>0</v>
      </c>
      <c r="K338" t="n">
        <v>0</v>
      </c>
      <c r="L338" t="n">
        <v>1</v>
      </c>
      <c r="M338" t="n">
        <v>0</v>
      </c>
    </row>
    <row r="339" spans="1:13">
      <c r="A339" s="1">
        <f>HYPERLINK("http://www.twitter.com/NathanBLawrence/status/998934136072101889", "998934136072101889")</f>
        <v/>
      </c>
      <c r="B339" s="2" t="n">
        <v>43242.60452546296</v>
      </c>
      <c r="C339" t="n">
        <v>8</v>
      </c>
      <c r="D339" t="n">
        <v>4</v>
      </c>
      <c r="E339" t="s">
        <v>344</v>
      </c>
      <c r="F339">
        <f>HYPERLINK("http://pbs.twimg.com/media/DdztS9uVQAIczVM.jpg", "http://pbs.twimg.com/media/DdztS9uVQAIczVM.jpg")</f>
        <v/>
      </c>
      <c r="G339" t="s"/>
      <c r="H339" t="s"/>
      <c r="I339" t="s"/>
      <c r="J339" t="n">
        <v>0</v>
      </c>
      <c r="K339" t="n">
        <v>0</v>
      </c>
      <c r="L339" t="n">
        <v>1</v>
      </c>
      <c r="M339" t="n">
        <v>0</v>
      </c>
    </row>
    <row r="340" spans="1:13">
      <c r="A340" s="1">
        <f>HYPERLINK("http://www.twitter.com/NathanBLawrence/status/998932006749769729", "998932006749769729")</f>
        <v/>
      </c>
      <c r="B340" s="2" t="n">
        <v>43242.5986574074</v>
      </c>
      <c r="C340" t="n">
        <v>0</v>
      </c>
      <c r="D340" t="n">
        <v>14</v>
      </c>
      <c r="E340" t="s">
        <v>345</v>
      </c>
      <c r="F340">
        <f>HYPERLINK("https://video.twimg.com/ext_tw_video/998795753848897539/pu/vid/1280x720/irHPzQawOL56eybL.mp4?tag=3", "https://video.twimg.com/ext_tw_video/998795753848897539/pu/vid/1280x720/irHPzQawOL56eybL.mp4?tag=3")</f>
        <v/>
      </c>
      <c r="G340" t="s"/>
      <c r="H340" t="s"/>
      <c r="I340" t="s"/>
      <c r="J340" t="n">
        <v>0.1338</v>
      </c>
      <c r="K340" t="n">
        <v>0.108</v>
      </c>
      <c r="L340" t="n">
        <v>0.762</v>
      </c>
      <c r="M340" t="n">
        <v>0.129</v>
      </c>
    </row>
    <row r="341" spans="1:13">
      <c r="A341" s="1">
        <f>HYPERLINK("http://www.twitter.com/NathanBLawrence/status/998931905474170880", "998931905474170880")</f>
        <v/>
      </c>
      <c r="B341" s="2" t="n">
        <v>43242.59837962963</v>
      </c>
      <c r="C341" t="n">
        <v>0</v>
      </c>
      <c r="D341" t="n">
        <v>3</v>
      </c>
      <c r="E341" t="s">
        <v>346</v>
      </c>
      <c r="F341" t="s"/>
      <c r="G341" t="s"/>
      <c r="H341" t="s"/>
      <c r="I341" t="s"/>
      <c r="J341" t="n">
        <v>-0.851</v>
      </c>
      <c r="K341" t="n">
        <v>0.34</v>
      </c>
      <c r="L341" t="n">
        <v>0.66</v>
      </c>
      <c r="M341" t="n">
        <v>0</v>
      </c>
    </row>
    <row r="342" spans="1:13">
      <c r="A342" s="1">
        <f>HYPERLINK("http://www.twitter.com/NathanBLawrence/status/998931880236998659", "998931880236998659")</f>
        <v/>
      </c>
      <c r="B342" s="2" t="n">
        <v>43242.59831018518</v>
      </c>
      <c r="C342" t="n">
        <v>0</v>
      </c>
      <c r="D342" t="n">
        <v>4</v>
      </c>
      <c r="E342" t="s">
        <v>347</v>
      </c>
      <c r="F342" t="s"/>
      <c r="G342" t="s"/>
      <c r="H342" t="s"/>
      <c r="I342" t="s"/>
      <c r="J342" t="n">
        <v>-0.3818</v>
      </c>
      <c r="K342" t="n">
        <v>0.206</v>
      </c>
      <c r="L342" t="n">
        <v>0.794</v>
      </c>
      <c r="M342" t="n">
        <v>0</v>
      </c>
    </row>
    <row r="343" spans="1:13">
      <c r="A343" s="1">
        <f>HYPERLINK("http://www.twitter.com/NathanBLawrence/status/998931867368935425", "998931867368935425")</f>
        <v/>
      </c>
      <c r="B343" s="2" t="n">
        <v>43242.59827546297</v>
      </c>
      <c r="C343" t="n">
        <v>0</v>
      </c>
      <c r="D343" t="n">
        <v>5</v>
      </c>
      <c r="E343" t="s">
        <v>348</v>
      </c>
      <c r="F343" t="s"/>
      <c r="G343" t="s"/>
      <c r="H343" t="s"/>
      <c r="I343" t="s"/>
      <c r="J343" t="n">
        <v>-0.1007</v>
      </c>
      <c r="K343" t="n">
        <v>0.113</v>
      </c>
      <c r="L343" t="n">
        <v>0.79</v>
      </c>
      <c r="M343" t="n">
        <v>0.098</v>
      </c>
    </row>
    <row r="344" spans="1:13">
      <c r="A344" s="1">
        <f>HYPERLINK("http://www.twitter.com/NathanBLawrence/status/998931806803185670", "998931806803185670")</f>
        <v/>
      </c>
      <c r="B344" s="2" t="n">
        <v>43242.59810185185</v>
      </c>
      <c r="C344" t="n">
        <v>0</v>
      </c>
      <c r="D344" t="n">
        <v>6</v>
      </c>
      <c r="E344" t="s">
        <v>349</v>
      </c>
      <c r="F344" t="s"/>
      <c r="G344" t="s"/>
      <c r="H344" t="s"/>
      <c r="I344" t="s"/>
      <c r="J344" t="n">
        <v>0.3818</v>
      </c>
      <c r="K344" t="n">
        <v>0</v>
      </c>
      <c r="L344" t="n">
        <v>0.902</v>
      </c>
      <c r="M344" t="n">
        <v>0.098</v>
      </c>
    </row>
    <row r="345" spans="1:13">
      <c r="A345" s="1">
        <f>HYPERLINK("http://www.twitter.com/NathanBLawrence/status/998931670647689216", "998931670647689216")</f>
        <v/>
      </c>
      <c r="B345" s="2" t="n">
        <v>43242.59773148148</v>
      </c>
      <c r="C345" t="n">
        <v>0</v>
      </c>
      <c r="D345" t="n">
        <v>7</v>
      </c>
      <c r="E345" t="s">
        <v>350</v>
      </c>
      <c r="F345" t="s"/>
      <c r="G345" t="s"/>
      <c r="H345" t="s"/>
      <c r="I345" t="s"/>
      <c r="J345" t="n">
        <v>-0.3595</v>
      </c>
      <c r="K345" t="n">
        <v>0.136</v>
      </c>
      <c r="L345" t="n">
        <v>0.798</v>
      </c>
      <c r="M345" t="n">
        <v>0.066</v>
      </c>
    </row>
    <row r="346" spans="1:13">
      <c r="A346" s="1">
        <f>HYPERLINK("http://www.twitter.com/NathanBLawrence/status/998931635662999552", "998931635662999552")</f>
        <v/>
      </c>
      <c r="B346" s="2" t="n">
        <v>43242.59762731481</v>
      </c>
      <c r="C346" t="n">
        <v>0</v>
      </c>
      <c r="D346" t="n">
        <v>10</v>
      </c>
      <c r="E346" t="s">
        <v>351</v>
      </c>
      <c r="F346" t="s"/>
      <c r="G346" t="s"/>
      <c r="H346" t="s"/>
      <c r="I346" t="s"/>
      <c r="J346" t="n">
        <v>0</v>
      </c>
      <c r="K346" t="n">
        <v>0</v>
      </c>
      <c r="L346" t="n">
        <v>1</v>
      </c>
      <c r="M346" t="n">
        <v>0</v>
      </c>
    </row>
    <row r="347" spans="1:13">
      <c r="A347" s="1">
        <f>HYPERLINK("http://www.twitter.com/NathanBLawrence/status/998931545032359936", "998931545032359936")</f>
        <v/>
      </c>
      <c r="B347" s="2" t="n">
        <v>43242.59738425926</v>
      </c>
      <c r="C347" t="n">
        <v>0</v>
      </c>
      <c r="D347" t="n">
        <v>10</v>
      </c>
      <c r="E347" t="s">
        <v>352</v>
      </c>
      <c r="F347">
        <f>HYPERLINK("http://pbs.twimg.com/media/Ddw7HcTVQAEoNWC.jpg", "http://pbs.twimg.com/media/Ddw7HcTVQAEoNWC.jpg")</f>
        <v/>
      </c>
      <c r="G347" t="s"/>
      <c r="H347" t="s"/>
      <c r="I347" t="s"/>
      <c r="J347" t="n">
        <v>-0.5106000000000001</v>
      </c>
      <c r="K347" t="n">
        <v>0.125</v>
      </c>
      <c r="L347" t="n">
        <v>0.875</v>
      </c>
      <c r="M347" t="n">
        <v>0</v>
      </c>
    </row>
    <row r="348" spans="1:13">
      <c r="A348" s="1">
        <f>HYPERLINK("http://www.twitter.com/NathanBLawrence/status/998931428036444160", "998931428036444160")</f>
        <v/>
      </c>
      <c r="B348" s="2" t="n">
        <v>43242.59706018519</v>
      </c>
      <c r="C348" t="n">
        <v>0</v>
      </c>
      <c r="D348" t="n">
        <v>6</v>
      </c>
      <c r="E348" t="s">
        <v>353</v>
      </c>
      <c r="F348" t="s"/>
      <c r="G348" t="s"/>
      <c r="H348" t="s"/>
      <c r="I348" t="s"/>
      <c r="J348" t="n">
        <v>0.1027</v>
      </c>
      <c r="K348" t="n">
        <v>0.102</v>
      </c>
      <c r="L348" t="n">
        <v>0.742</v>
      </c>
      <c r="M348" t="n">
        <v>0.156</v>
      </c>
    </row>
    <row r="349" spans="1:13">
      <c r="A349" s="1">
        <f>HYPERLINK("http://www.twitter.com/NathanBLawrence/status/998821966474874880", "998821966474874880")</f>
        <v/>
      </c>
      <c r="B349" s="2" t="n">
        <v>43242.295</v>
      </c>
      <c r="C349" t="n">
        <v>0</v>
      </c>
      <c r="D349" t="n">
        <v>25</v>
      </c>
      <c r="E349" t="s">
        <v>354</v>
      </c>
      <c r="F349" t="s"/>
      <c r="G349" t="s"/>
      <c r="H349" t="s"/>
      <c r="I349" t="s"/>
      <c r="J349" t="n">
        <v>0.4648</v>
      </c>
      <c r="K349" t="n">
        <v>0</v>
      </c>
      <c r="L349" t="n">
        <v>0.856</v>
      </c>
      <c r="M349" t="n">
        <v>0.144</v>
      </c>
    </row>
    <row r="350" spans="1:13">
      <c r="A350" s="1">
        <f>HYPERLINK("http://www.twitter.com/NathanBLawrence/status/998785519545970688", "998785519545970688")</f>
        <v/>
      </c>
      <c r="B350" s="2" t="n">
        <v>43242.19443287037</v>
      </c>
      <c r="C350" t="n">
        <v>0</v>
      </c>
      <c r="D350" t="n">
        <v>21</v>
      </c>
      <c r="E350" t="s">
        <v>355</v>
      </c>
      <c r="F350" t="s"/>
      <c r="G350" t="s"/>
      <c r="H350" t="s"/>
      <c r="I350" t="s"/>
      <c r="J350" t="n">
        <v>-0.6486</v>
      </c>
      <c r="K350" t="n">
        <v>0.209</v>
      </c>
      <c r="L350" t="n">
        <v>0.791</v>
      </c>
      <c r="M350" t="n">
        <v>0</v>
      </c>
    </row>
    <row r="351" spans="1:13">
      <c r="A351" s="1">
        <f>HYPERLINK("http://www.twitter.com/NathanBLawrence/status/998784871962218496", "998784871962218496")</f>
        <v/>
      </c>
      <c r="B351" s="2" t="n">
        <v>43242.19263888889</v>
      </c>
      <c r="C351" t="n">
        <v>8</v>
      </c>
      <c r="D351" t="n">
        <v>2</v>
      </c>
      <c r="E351" t="s">
        <v>356</v>
      </c>
      <c r="F351" t="s"/>
      <c r="G351" t="s"/>
      <c r="H351" t="s"/>
      <c r="I351" t="s"/>
      <c r="J351" t="n">
        <v>-0.1179</v>
      </c>
      <c r="K351" t="n">
        <v>0.075</v>
      </c>
      <c r="L351" t="n">
        <v>0.859</v>
      </c>
      <c r="M351" t="n">
        <v>0.066</v>
      </c>
    </row>
    <row r="352" spans="1:13">
      <c r="A352" s="1">
        <f>HYPERLINK("http://www.twitter.com/NathanBLawrence/status/998784278879236097", "998784278879236097")</f>
        <v/>
      </c>
      <c r="B352" s="2" t="n">
        <v>43242.19100694444</v>
      </c>
      <c r="C352" t="n">
        <v>26</v>
      </c>
      <c r="D352" t="n">
        <v>21</v>
      </c>
      <c r="E352" t="s">
        <v>357</v>
      </c>
      <c r="F352" t="s"/>
      <c r="G352" t="s"/>
      <c r="H352" t="s"/>
      <c r="I352" t="s"/>
      <c r="J352" t="n">
        <v>-0.8834</v>
      </c>
      <c r="K352" t="n">
        <v>0.244</v>
      </c>
      <c r="L352" t="n">
        <v>0.756</v>
      </c>
      <c r="M352" t="n">
        <v>0</v>
      </c>
    </row>
    <row r="353" spans="1:13">
      <c r="A353" s="1">
        <f>HYPERLINK("http://www.twitter.com/NathanBLawrence/status/998783590501666816", "998783590501666816")</f>
        <v/>
      </c>
      <c r="B353" s="2" t="n">
        <v>43242.18910879629</v>
      </c>
      <c r="C353" t="n">
        <v>1</v>
      </c>
      <c r="D353" t="n">
        <v>0</v>
      </c>
      <c r="E353" t="s">
        <v>358</v>
      </c>
      <c r="F353" t="s"/>
      <c r="G353" t="s"/>
      <c r="H353" t="s"/>
      <c r="I353" t="s"/>
      <c r="J353" t="n">
        <v>0.6249</v>
      </c>
      <c r="K353" t="n">
        <v>0</v>
      </c>
      <c r="L353" t="n">
        <v>0.594</v>
      </c>
      <c r="M353" t="n">
        <v>0.406</v>
      </c>
    </row>
    <row r="354" spans="1:13">
      <c r="A354" s="1">
        <f>HYPERLINK("http://www.twitter.com/NathanBLawrence/status/998783261877964801", "998783261877964801")</f>
        <v/>
      </c>
      <c r="B354" s="2" t="n">
        <v>43242.18819444445</v>
      </c>
      <c r="C354" t="n">
        <v>0</v>
      </c>
      <c r="D354" t="n">
        <v>20</v>
      </c>
      <c r="E354" t="s">
        <v>359</v>
      </c>
      <c r="F354" t="s"/>
      <c r="G354" t="s"/>
      <c r="H354" t="s"/>
      <c r="I354" t="s"/>
      <c r="J354" t="n">
        <v>0</v>
      </c>
      <c r="K354" t="n">
        <v>0</v>
      </c>
      <c r="L354" t="n">
        <v>1</v>
      </c>
      <c r="M354" t="n">
        <v>0</v>
      </c>
    </row>
    <row r="355" spans="1:13">
      <c r="A355" s="1">
        <f>HYPERLINK("http://www.twitter.com/NathanBLawrence/status/998783077978656768", "998783077978656768")</f>
        <v/>
      </c>
      <c r="B355" s="2" t="n">
        <v>43242.18768518518</v>
      </c>
      <c r="C355" t="n">
        <v>4</v>
      </c>
      <c r="D355" t="n">
        <v>0</v>
      </c>
      <c r="E355" t="s">
        <v>360</v>
      </c>
      <c r="F355" t="s"/>
      <c r="G355" t="s"/>
      <c r="H355" t="s"/>
      <c r="I355" t="s"/>
      <c r="J355" t="n">
        <v>-0.5255</v>
      </c>
      <c r="K355" t="n">
        <v>0.108</v>
      </c>
      <c r="L355" t="n">
        <v>0.892</v>
      </c>
      <c r="M355" t="n">
        <v>0</v>
      </c>
    </row>
    <row r="356" spans="1:13">
      <c r="A356" s="1">
        <f>HYPERLINK("http://www.twitter.com/NathanBLawrence/status/998747010865025029", "998747010865025029")</f>
        <v/>
      </c>
      <c r="B356" s="2" t="n">
        <v>43242.08815972223</v>
      </c>
      <c r="C356" t="n">
        <v>0</v>
      </c>
      <c r="D356" t="n">
        <v>7</v>
      </c>
      <c r="E356" t="s">
        <v>361</v>
      </c>
      <c r="F356" t="s"/>
      <c r="G356" t="s"/>
      <c r="H356" t="s"/>
      <c r="I356" t="s"/>
      <c r="J356" t="n">
        <v>-0.0572</v>
      </c>
      <c r="K356" t="n">
        <v>0.06</v>
      </c>
      <c r="L356" t="n">
        <v>0.9399999999999999</v>
      </c>
      <c r="M356" t="n">
        <v>0</v>
      </c>
    </row>
    <row r="357" spans="1:13">
      <c r="A357" s="1">
        <f>HYPERLINK("http://www.twitter.com/NathanBLawrence/status/998746990946193408", "998746990946193408")</f>
        <v/>
      </c>
      <c r="B357" s="2" t="n">
        <v>43242.08811342593</v>
      </c>
      <c r="C357" t="n">
        <v>0</v>
      </c>
      <c r="D357" t="n">
        <v>6</v>
      </c>
      <c r="E357" t="s">
        <v>362</v>
      </c>
      <c r="F357" t="s"/>
      <c r="G357" t="s"/>
      <c r="H357" t="s"/>
      <c r="I357" t="s"/>
      <c r="J357" t="n">
        <v>-0.0516</v>
      </c>
      <c r="K357" t="n">
        <v>0.123</v>
      </c>
      <c r="L357" t="n">
        <v>0.761</v>
      </c>
      <c r="M357" t="n">
        <v>0.116</v>
      </c>
    </row>
    <row r="358" spans="1:13">
      <c r="A358" s="1">
        <f>HYPERLINK("http://www.twitter.com/NathanBLawrence/status/998746967286087680", "998746967286087680")</f>
        <v/>
      </c>
      <c r="B358" s="2" t="n">
        <v>43242.08804398148</v>
      </c>
      <c r="C358" t="n">
        <v>0</v>
      </c>
      <c r="D358" t="n">
        <v>9</v>
      </c>
      <c r="E358" t="s">
        <v>363</v>
      </c>
      <c r="F358" t="s"/>
      <c r="G358" t="s"/>
      <c r="H358" t="s"/>
      <c r="I358" t="s"/>
      <c r="J358" t="n">
        <v>0</v>
      </c>
      <c r="K358" t="n">
        <v>0</v>
      </c>
      <c r="L358" t="n">
        <v>1</v>
      </c>
      <c r="M358" t="n">
        <v>0</v>
      </c>
    </row>
    <row r="359" spans="1:13">
      <c r="A359" s="1">
        <f>HYPERLINK("http://www.twitter.com/NathanBLawrence/status/998746910403059712", "998746910403059712")</f>
        <v/>
      </c>
      <c r="B359" s="2" t="n">
        <v>43242.08788194445</v>
      </c>
      <c r="C359" t="n">
        <v>0</v>
      </c>
      <c r="D359" t="n">
        <v>17</v>
      </c>
      <c r="E359" t="s">
        <v>364</v>
      </c>
      <c r="F359">
        <f>HYPERLINK("http://pbs.twimg.com/media/Ddw-J7AV4AAIUWv.jpg", "http://pbs.twimg.com/media/Ddw-J7AV4AAIUWv.jpg")</f>
        <v/>
      </c>
      <c r="G359" t="s"/>
      <c r="H359" t="s"/>
      <c r="I359" t="s"/>
      <c r="J359" t="n">
        <v>0.2023</v>
      </c>
      <c r="K359" t="n">
        <v>0.078</v>
      </c>
      <c r="L359" t="n">
        <v>0.778</v>
      </c>
      <c r="M359" t="n">
        <v>0.144</v>
      </c>
    </row>
    <row r="360" spans="1:13">
      <c r="A360" s="1">
        <f>HYPERLINK("http://www.twitter.com/NathanBLawrence/status/998746814353461249", "998746814353461249")</f>
        <v/>
      </c>
      <c r="B360" s="2" t="n">
        <v>43242.08762731482</v>
      </c>
      <c r="C360" t="n">
        <v>0</v>
      </c>
      <c r="D360" t="n">
        <v>11</v>
      </c>
      <c r="E360" t="s">
        <v>365</v>
      </c>
      <c r="F360" t="s"/>
      <c r="G360" t="s"/>
      <c r="H360" t="s"/>
      <c r="I360" t="s"/>
      <c r="J360" t="n">
        <v>-0.1779</v>
      </c>
      <c r="K360" t="n">
        <v>0.166</v>
      </c>
      <c r="L360" t="n">
        <v>0.704</v>
      </c>
      <c r="M360" t="n">
        <v>0.131</v>
      </c>
    </row>
    <row r="361" spans="1:13">
      <c r="A361" s="1">
        <f>HYPERLINK("http://www.twitter.com/NathanBLawrence/status/998746803498573825", "998746803498573825")</f>
        <v/>
      </c>
      <c r="B361" s="2" t="n">
        <v>43242.08759259259</v>
      </c>
      <c r="C361" t="n">
        <v>0</v>
      </c>
      <c r="D361" t="n">
        <v>7</v>
      </c>
      <c r="E361" t="s">
        <v>366</v>
      </c>
      <c r="F361" t="s"/>
      <c r="G361" t="s"/>
      <c r="H361" t="s"/>
      <c r="I361" t="s"/>
      <c r="J361" t="n">
        <v>0.6124000000000001</v>
      </c>
      <c r="K361" t="n">
        <v>0</v>
      </c>
      <c r="L361" t="n">
        <v>0.773</v>
      </c>
      <c r="M361" t="n">
        <v>0.227</v>
      </c>
    </row>
    <row r="362" spans="1:13">
      <c r="A362" s="1">
        <f>HYPERLINK("http://www.twitter.com/NathanBLawrence/status/998746730224082945", "998746730224082945")</f>
        <v/>
      </c>
      <c r="B362" s="2" t="n">
        <v>43242.08738425926</v>
      </c>
      <c r="C362" t="n">
        <v>0</v>
      </c>
      <c r="D362" t="n">
        <v>14</v>
      </c>
      <c r="E362" t="s">
        <v>367</v>
      </c>
      <c r="F362">
        <f>HYPERLINK("http://pbs.twimg.com/media/Ddwekf9VMAAOe3k.jpg", "http://pbs.twimg.com/media/Ddwekf9VMAAOe3k.jpg")</f>
        <v/>
      </c>
      <c r="G362" t="s"/>
      <c r="H362" t="s"/>
      <c r="I362" t="s"/>
      <c r="J362" t="n">
        <v>0</v>
      </c>
      <c r="K362" t="n">
        <v>0</v>
      </c>
      <c r="L362" t="n">
        <v>1</v>
      </c>
      <c r="M362" t="n">
        <v>0</v>
      </c>
    </row>
    <row r="363" spans="1:13">
      <c r="A363" s="1">
        <f>HYPERLINK("http://www.twitter.com/NathanBLawrence/status/998746569162870784", "998746569162870784")</f>
        <v/>
      </c>
      <c r="B363" s="2" t="n">
        <v>43242.08694444445</v>
      </c>
      <c r="C363" t="n">
        <v>0</v>
      </c>
      <c r="D363" t="n">
        <v>9</v>
      </c>
      <c r="E363" t="s">
        <v>368</v>
      </c>
      <c r="F363" t="s"/>
      <c r="G363" t="s"/>
      <c r="H363" t="s"/>
      <c r="I363" t="s"/>
      <c r="J363" t="n">
        <v>0.3947</v>
      </c>
      <c r="K363" t="n">
        <v>0.195</v>
      </c>
      <c r="L363" t="n">
        <v>0.5610000000000001</v>
      </c>
      <c r="M363" t="n">
        <v>0.244</v>
      </c>
    </row>
    <row r="364" spans="1:13">
      <c r="A364" s="1">
        <f>HYPERLINK("http://www.twitter.com/NathanBLawrence/status/998736934217355274", "998736934217355274")</f>
        <v/>
      </c>
      <c r="B364" s="2" t="n">
        <v>43242.0603587963</v>
      </c>
      <c r="C364" t="n">
        <v>0</v>
      </c>
      <c r="D364" t="n">
        <v>7</v>
      </c>
      <c r="E364" t="s">
        <v>369</v>
      </c>
      <c r="F364" t="s"/>
      <c r="G364" t="s"/>
      <c r="H364" t="s"/>
      <c r="I364" t="s"/>
      <c r="J364" t="n">
        <v>-0.4466</v>
      </c>
      <c r="K364" t="n">
        <v>0.128</v>
      </c>
      <c r="L364" t="n">
        <v>0.872</v>
      </c>
      <c r="M364" t="n">
        <v>0</v>
      </c>
    </row>
    <row r="365" spans="1:13">
      <c r="A365" s="1">
        <f>HYPERLINK("http://www.twitter.com/NathanBLawrence/status/998736886901420033", "998736886901420033")</f>
        <v/>
      </c>
      <c r="B365" s="2" t="n">
        <v>43242.06023148148</v>
      </c>
      <c r="C365" t="n">
        <v>0</v>
      </c>
      <c r="D365" t="n">
        <v>6</v>
      </c>
      <c r="E365" t="s">
        <v>370</v>
      </c>
      <c r="F365" t="s"/>
      <c r="G365" t="s"/>
      <c r="H365" t="s"/>
      <c r="I365" t="s"/>
      <c r="J365" t="n">
        <v>0</v>
      </c>
      <c r="K365" t="n">
        <v>0</v>
      </c>
      <c r="L365" t="n">
        <v>1</v>
      </c>
      <c r="M365" t="n">
        <v>0</v>
      </c>
    </row>
    <row r="366" spans="1:13">
      <c r="A366" s="1">
        <f>HYPERLINK("http://www.twitter.com/NathanBLawrence/status/998736852730466304", "998736852730466304")</f>
        <v/>
      </c>
      <c r="B366" s="2" t="n">
        <v>43242.06012731481</v>
      </c>
      <c r="C366" t="n">
        <v>0</v>
      </c>
      <c r="D366" t="n">
        <v>12</v>
      </c>
      <c r="E366" t="s">
        <v>371</v>
      </c>
      <c r="F366">
        <f>HYPERLINK("http://pbs.twimg.com/media/DdwcMj5U0AEQ8AJ.jpg", "http://pbs.twimg.com/media/DdwcMj5U0AEQ8AJ.jpg")</f>
        <v/>
      </c>
      <c r="G366" t="s"/>
      <c r="H366" t="s"/>
      <c r="I366" t="s"/>
      <c r="J366" t="n">
        <v>0.4019</v>
      </c>
      <c r="K366" t="n">
        <v>0.113</v>
      </c>
      <c r="L366" t="n">
        <v>0.64</v>
      </c>
      <c r="M366" t="n">
        <v>0.246</v>
      </c>
    </row>
    <row r="367" spans="1:13">
      <c r="A367" s="1">
        <f>HYPERLINK("http://www.twitter.com/NathanBLawrence/status/998736837928775680", "998736837928775680")</f>
        <v/>
      </c>
      <c r="B367" s="2" t="n">
        <v>43242.06009259259</v>
      </c>
      <c r="C367" t="n">
        <v>0</v>
      </c>
      <c r="D367" t="n">
        <v>9</v>
      </c>
      <c r="E367" t="s">
        <v>372</v>
      </c>
      <c r="F367" t="s"/>
      <c r="G367" t="s"/>
      <c r="H367" t="s"/>
      <c r="I367" t="s"/>
      <c r="J367" t="n">
        <v>-0.3182</v>
      </c>
      <c r="K367" t="n">
        <v>0.099</v>
      </c>
      <c r="L367" t="n">
        <v>0.901</v>
      </c>
      <c r="M367" t="n">
        <v>0</v>
      </c>
    </row>
    <row r="368" spans="1:13">
      <c r="A368" s="1">
        <f>HYPERLINK("http://www.twitter.com/NathanBLawrence/status/998736793037103104", "998736793037103104")</f>
        <v/>
      </c>
      <c r="B368" s="2" t="n">
        <v>43242.05996527777</v>
      </c>
      <c r="C368" t="n">
        <v>0</v>
      </c>
      <c r="D368" t="n">
        <v>11</v>
      </c>
      <c r="E368" t="s">
        <v>373</v>
      </c>
      <c r="F368" t="s"/>
      <c r="G368" t="s"/>
      <c r="H368" t="s"/>
      <c r="I368" t="s"/>
      <c r="J368" t="n">
        <v>0.3802</v>
      </c>
      <c r="K368" t="n">
        <v>0.103</v>
      </c>
      <c r="L368" t="n">
        <v>0.699</v>
      </c>
      <c r="M368" t="n">
        <v>0.198</v>
      </c>
    </row>
    <row r="369" spans="1:13">
      <c r="A369" s="1">
        <f>HYPERLINK("http://www.twitter.com/NathanBLawrence/status/998736768840228864", "998736768840228864")</f>
        <v/>
      </c>
      <c r="B369" s="2" t="n">
        <v>43242.05989583334</v>
      </c>
      <c r="C369" t="n">
        <v>0</v>
      </c>
      <c r="D369" t="n">
        <v>0</v>
      </c>
      <c r="E369" t="s">
        <v>374</v>
      </c>
      <c r="F369" t="s"/>
      <c r="G369" t="s"/>
      <c r="H369" t="s"/>
      <c r="I369" t="s"/>
      <c r="J369" t="n">
        <v>-0.8401999999999999</v>
      </c>
      <c r="K369" t="n">
        <v>0.286</v>
      </c>
      <c r="L369" t="n">
        <v>0.714</v>
      </c>
      <c r="M369" t="n">
        <v>0</v>
      </c>
    </row>
    <row r="370" spans="1:13">
      <c r="A370" s="1">
        <f>HYPERLINK("http://www.twitter.com/NathanBLawrence/status/998736579874185216", "998736579874185216")</f>
        <v/>
      </c>
      <c r="B370" s="2" t="n">
        <v>43242.059375</v>
      </c>
      <c r="C370" t="n">
        <v>0</v>
      </c>
      <c r="D370" t="n">
        <v>11</v>
      </c>
      <c r="E370" t="s">
        <v>375</v>
      </c>
      <c r="F370" t="s"/>
      <c r="G370" t="s"/>
      <c r="H370" t="s"/>
      <c r="I370" t="s"/>
      <c r="J370" t="n">
        <v>-0.5859</v>
      </c>
      <c r="K370" t="n">
        <v>0.22</v>
      </c>
      <c r="L370" t="n">
        <v>0.78</v>
      </c>
      <c r="M370" t="n">
        <v>0</v>
      </c>
    </row>
    <row r="371" spans="1:13">
      <c r="A371" s="1">
        <f>HYPERLINK("http://www.twitter.com/NathanBLawrence/status/998736549041901568", "998736549041901568")</f>
        <v/>
      </c>
      <c r="B371" s="2" t="n">
        <v>43242.05929398148</v>
      </c>
      <c r="C371" t="n">
        <v>9</v>
      </c>
      <c r="D371" t="n">
        <v>9</v>
      </c>
      <c r="E371" t="s">
        <v>376</v>
      </c>
      <c r="F371" t="s"/>
      <c r="G371" t="s"/>
      <c r="H371" t="s"/>
      <c r="I371" t="s"/>
      <c r="J371" t="n">
        <v>0.3947</v>
      </c>
      <c r="K371" t="n">
        <v>0.174</v>
      </c>
      <c r="L371" t="n">
        <v>0.607</v>
      </c>
      <c r="M371" t="n">
        <v>0.218</v>
      </c>
    </row>
    <row r="372" spans="1:13">
      <c r="A372" s="1">
        <f>HYPERLINK("http://www.twitter.com/NathanBLawrence/status/998736279654293504", "998736279654293504")</f>
        <v/>
      </c>
      <c r="B372" s="2" t="n">
        <v>43242.05855324074</v>
      </c>
      <c r="C372" t="n">
        <v>0</v>
      </c>
      <c r="D372" t="n">
        <v>20</v>
      </c>
      <c r="E372" t="s">
        <v>377</v>
      </c>
      <c r="F372" t="s"/>
      <c r="G372" t="s"/>
      <c r="H372" t="s"/>
      <c r="I372" t="s"/>
      <c r="J372" t="n">
        <v>-0.3818</v>
      </c>
      <c r="K372" t="n">
        <v>0.106</v>
      </c>
      <c r="L372" t="n">
        <v>0.894</v>
      </c>
      <c r="M372" t="n">
        <v>0</v>
      </c>
    </row>
    <row r="373" spans="1:13">
      <c r="A373" s="1">
        <f>HYPERLINK("http://www.twitter.com/NathanBLawrence/status/998736132044218368", "998736132044218368")</f>
        <v/>
      </c>
      <c r="B373" s="2" t="n">
        <v>43242.05814814815</v>
      </c>
      <c r="C373" t="n">
        <v>0</v>
      </c>
      <c r="D373" t="n">
        <v>7</v>
      </c>
      <c r="E373" t="s">
        <v>378</v>
      </c>
      <c r="F373">
        <f>HYPERLINK("http://pbs.twimg.com/media/DdwwY5kV4AA1lr_.jpg", "http://pbs.twimg.com/media/DdwwY5kV4AA1lr_.jpg")</f>
        <v/>
      </c>
      <c r="G373" t="s"/>
      <c r="H373" t="s"/>
      <c r="I373" t="s"/>
      <c r="J373" t="n">
        <v>-0.5411</v>
      </c>
      <c r="K373" t="n">
        <v>0.149</v>
      </c>
      <c r="L373" t="n">
        <v>0.851</v>
      </c>
      <c r="M373" t="n">
        <v>0</v>
      </c>
    </row>
    <row r="374" spans="1:13">
      <c r="A374" s="1">
        <f>HYPERLINK("http://www.twitter.com/NathanBLawrence/status/998736092022104065", "998736092022104065")</f>
        <v/>
      </c>
      <c r="B374" s="2" t="n">
        <v>43242.05803240741</v>
      </c>
      <c r="C374" t="n">
        <v>0</v>
      </c>
      <c r="D374" t="n">
        <v>3</v>
      </c>
      <c r="E374" t="s">
        <v>379</v>
      </c>
      <c r="F374">
        <f>HYPERLINK("http://pbs.twimg.com/media/DdwuHVAVMAA2Zdv.jpg", "http://pbs.twimg.com/media/DdwuHVAVMAA2Zdv.jpg")</f>
        <v/>
      </c>
      <c r="G374" t="s"/>
      <c r="H374" t="s"/>
      <c r="I374" t="s"/>
      <c r="J374" t="n">
        <v>-0.915</v>
      </c>
      <c r="K374" t="n">
        <v>0.378</v>
      </c>
      <c r="L374" t="n">
        <v>0.622</v>
      </c>
      <c r="M374" t="n">
        <v>0</v>
      </c>
    </row>
    <row r="375" spans="1:13">
      <c r="A375" s="1">
        <f>HYPERLINK("http://www.twitter.com/NathanBLawrence/status/998736052406968320", "998736052406968320")</f>
        <v/>
      </c>
      <c r="B375" s="2" t="n">
        <v>43242.05792824074</v>
      </c>
      <c r="C375" t="n">
        <v>0</v>
      </c>
      <c r="D375" t="n">
        <v>4</v>
      </c>
      <c r="E375" t="s">
        <v>380</v>
      </c>
      <c r="F375">
        <f>HYPERLINK("http://pbs.twimg.com/media/DdwtLOxV4AEXglt.jpg", "http://pbs.twimg.com/media/DdwtLOxV4AEXglt.jpg")</f>
        <v/>
      </c>
      <c r="G375" t="s"/>
      <c r="H375" t="s"/>
      <c r="I375" t="s"/>
      <c r="J375" t="n">
        <v>-0.5875</v>
      </c>
      <c r="K375" t="n">
        <v>0.214</v>
      </c>
      <c r="L375" t="n">
        <v>0.715</v>
      </c>
      <c r="M375" t="n">
        <v>0.07099999999999999</v>
      </c>
    </row>
    <row r="376" spans="1:13">
      <c r="A376" s="1">
        <f>HYPERLINK("http://www.twitter.com/NathanBLawrence/status/998736021041934336", "998736021041934336")</f>
        <v/>
      </c>
      <c r="B376" s="2" t="n">
        <v>43242.05783564815</v>
      </c>
      <c r="C376" t="n">
        <v>0</v>
      </c>
      <c r="D376" t="n">
        <v>11</v>
      </c>
      <c r="E376" t="s">
        <v>381</v>
      </c>
      <c r="F376">
        <f>HYPERLINK("http://pbs.twimg.com/media/DdwrrI7VwAAHCnR.jpg", "http://pbs.twimg.com/media/DdwrrI7VwAAHCnR.jpg")</f>
        <v/>
      </c>
      <c r="G376" t="s"/>
      <c r="H376" t="s"/>
      <c r="I376" t="s"/>
      <c r="J376" t="n">
        <v>-0.8622</v>
      </c>
      <c r="K376" t="n">
        <v>0.361</v>
      </c>
      <c r="L376" t="n">
        <v>0.639</v>
      </c>
      <c r="M376" t="n">
        <v>0</v>
      </c>
    </row>
    <row r="377" spans="1:13">
      <c r="A377" s="1">
        <f>HYPERLINK("http://www.twitter.com/NathanBLawrence/status/998726621153628161", "998726621153628161")</f>
        <v/>
      </c>
      <c r="B377" s="2" t="n">
        <v>43242.03189814815</v>
      </c>
      <c r="C377" t="n">
        <v>0</v>
      </c>
      <c r="D377" t="n">
        <v>14</v>
      </c>
      <c r="E377" t="s">
        <v>382</v>
      </c>
      <c r="F377">
        <f>HYPERLINK("http://pbs.twimg.com/media/DdwbsbiUQAEKIHK.jpg", "http://pbs.twimg.com/media/DdwbsbiUQAEKIHK.jpg")</f>
        <v/>
      </c>
      <c r="G377" t="s"/>
      <c r="H377" t="s"/>
      <c r="I377" t="s"/>
      <c r="J377" t="n">
        <v>0.5079</v>
      </c>
      <c r="K377" t="n">
        <v>0.099</v>
      </c>
      <c r="L377" t="n">
        <v>0.6840000000000001</v>
      </c>
      <c r="M377" t="n">
        <v>0.217</v>
      </c>
    </row>
    <row r="378" spans="1:13">
      <c r="A378" s="1">
        <f>HYPERLINK("http://www.twitter.com/NathanBLawrence/status/998720828551389184", "998720828551389184")</f>
        <v/>
      </c>
      <c r="B378" s="2" t="n">
        <v>43242.01591435185</v>
      </c>
      <c r="C378" t="n">
        <v>0</v>
      </c>
      <c r="D378" t="n">
        <v>13</v>
      </c>
      <c r="E378" t="s">
        <v>383</v>
      </c>
      <c r="F378">
        <f>HYPERLINK("http://pbs.twimg.com/media/DdwZnLeU8AANM98.jpg", "http://pbs.twimg.com/media/DdwZnLeU8AANM98.jpg")</f>
        <v/>
      </c>
      <c r="G378">
        <f>HYPERLINK("http://pbs.twimg.com/media/DdwZnsQVwAAmC-H.jpg", "http://pbs.twimg.com/media/DdwZnsQVwAAmC-H.jpg")</f>
        <v/>
      </c>
      <c r="H378">
        <f>HYPERLINK("http://pbs.twimg.com/media/DdwZoZ8V0AAHa1j.jpg", "http://pbs.twimg.com/media/DdwZoZ8V0AAHa1j.jpg")</f>
        <v/>
      </c>
      <c r="I378">
        <f>HYPERLINK("http://pbs.twimg.com/media/DdwZpE6V0AA4Aw3.jpg", "http://pbs.twimg.com/media/DdwZpE6V0AA4Aw3.jpg")</f>
        <v/>
      </c>
      <c r="J378" t="n">
        <v>0.08649999999999999</v>
      </c>
      <c r="K378" t="n">
        <v>0.091</v>
      </c>
      <c r="L378" t="n">
        <v>0.806</v>
      </c>
      <c r="M378" t="n">
        <v>0.104</v>
      </c>
    </row>
    <row r="379" spans="1:13">
      <c r="A379" s="1">
        <f>HYPERLINK("http://www.twitter.com/NathanBLawrence/status/998720764420423680", "998720764420423680")</f>
        <v/>
      </c>
      <c r="B379" s="2" t="n">
        <v>43242.01574074074</v>
      </c>
      <c r="C379" t="n">
        <v>0</v>
      </c>
      <c r="D379" t="n">
        <v>16</v>
      </c>
      <c r="E379" t="s">
        <v>384</v>
      </c>
      <c r="F379">
        <f>HYPERLINK("http://pbs.twimg.com/media/DdwkJc-U8AEXWTi.jpg", "http://pbs.twimg.com/media/DdwkJc-U8AEXWTi.jpg")</f>
        <v/>
      </c>
      <c r="G379" t="s"/>
      <c r="H379" t="s"/>
      <c r="I379" t="s"/>
      <c r="J379" t="n">
        <v>0.4926</v>
      </c>
      <c r="K379" t="n">
        <v>0</v>
      </c>
      <c r="L379" t="n">
        <v>0.825</v>
      </c>
      <c r="M379" t="n">
        <v>0.175</v>
      </c>
    </row>
    <row r="380" spans="1:13">
      <c r="A380" s="1">
        <f>HYPERLINK("http://www.twitter.com/NathanBLawrence/status/998714509656313857", "998714509656313857")</f>
        <v/>
      </c>
      <c r="B380" s="2" t="n">
        <v>43241.99847222222</v>
      </c>
      <c r="C380" t="n">
        <v>1</v>
      </c>
      <c r="D380" t="n">
        <v>1</v>
      </c>
      <c r="E380" t="s">
        <v>385</v>
      </c>
      <c r="F380">
        <f>HYPERLINK("http://pbs.twimg.com/media/DdwljLVV0AARgni.jpg", "http://pbs.twimg.com/media/DdwljLVV0AARgni.jpg")</f>
        <v/>
      </c>
      <c r="G380" t="s"/>
      <c r="H380" t="s"/>
      <c r="I380" t="s"/>
      <c r="J380" t="n">
        <v>0</v>
      </c>
      <c r="K380" t="n">
        <v>0</v>
      </c>
      <c r="L380" t="n">
        <v>1</v>
      </c>
      <c r="M380" t="n">
        <v>0</v>
      </c>
    </row>
    <row r="381" spans="1:13">
      <c r="A381" s="1">
        <f>HYPERLINK("http://www.twitter.com/NathanBLawrence/status/998712968853491712", "998712968853491712")</f>
        <v/>
      </c>
      <c r="B381" s="2" t="n">
        <v>43241.99422453704</v>
      </c>
      <c r="C381" t="n">
        <v>17</v>
      </c>
      <c r="D381" t="n">
        <v>16</v>
      </c>
      <c r="E381" t="s">
        <v>386</v>
      </c>
      <c r="F381">
        <f>HYPERLINK("http://pbs.twimg.com/media/DdwkJc-U8AEXWTi.jpg", "http://pbs.twimg.com/media/DdwkJc-U8AEXWTi.jpg")</f>
        <v/>
      </c>
      <c r="G381" t="s"/>
      <c r="H381" t="s"/>
      <c r="I381" t="s"/>
      <c r="J381" t="n">
        <v>-0.7121</v>
      </c>
      <c r="K381" t="n">
        <v>0.162</v>
      </c>
      <c r="L381" t="n">
        <v>0.767</v>
      </c>
      <c r="M381" t="n">
        <v>0.07000000000000001</v>
      </c>
    </row>
    <row r="382" spans="1:13">
      <c r="A382" s="1">
        <f>HYPERLINK("http://www.twitter.com/NathanBLawrence/status/998684910863994880", "998684910863994880")</f>
        <v/>
      </c>
      <c r="B382" s="2" t="n">
        <v>43241.91680555556</v>
      </c>
      <c r="C382" t="n">
        <v>5</v>
      </c>
      <c r="D382" t="n">
        <v>2</v>
      </c>
      <c r="E382" t="s">
        <v>387</v>
      </c>
      <c r="F382" t="s"/>
      <c r="G382" t="s"/>
      <c r="H382" t="s"/>
      <c r="I382" t="s"/>
      <c r="J382" t="n">
        <v>0</v>
      </c>
      <c r="K382" t="n">
        <v>0</v>
      </c>
      <c r="L382" t="n">
        <v>1</v>
      </c>
      <c r="M382" t="n">
        <v>0</v>
      </c>
    </row>
    <row r="383" spans="1:13">
      <c r="A383" s="1">
        <f>HYPERLINK("http://www.twitter.com/NathanBLawrence/status/998682650251579392", "998682650251579392")</f>
        <v/>
      </c>
      <c r="B383" s="2" t="n">
        <v>43241.91056712963</v>
      </c>
      <c r="C383" t="n">
        <v>0</v>
      </c>
      <c r="D383" t="n">
        <v>11</v>
      </c>
      <c r="E383" t="s">
        <v>388</v>
      </c>
      <c r="F383">
        <f>HYPERLINK("http://pbs.twimg.com/media/DdwEcvbU8AEr7FF.jpg", "http://pbs.twimg.com/media/DdwEcvbU8AEr7FF.jpg")</f>
        <v/>
      </c>
      <c r="G383" t="s"/>
      <c r="H383" t="s"/>
      <c r="I383" t="s"/>
      <c r="J383" t="n">
        <v>0.3204</v>
      </c>
      <c r="K383" t="n">
        <v>0</v>
      </c>
      <c r="L383" t="n">
        <v>0.88</v>
      </c>
      <c r="M383" t="n">
        <v>0.12</v>
      </c>
    </row>
    <row r="384" spans="1:13">
      <c r="A384" s="1">
        <f>HYPERLINK("http://www.twitter.com/NathanBLawrence/status/998678123075039233", "998678123075039233")</f>
        <v/>
      </c>
      <c r="B384" s="2" t="n">
        <v>43241.89806712963</v>
      </c>
      <c r="C384" t="n">
        <v>15</v>
      </c>
      <c r="D384" t="n">
        <v>11</v>
      </c>
      <c r="E384" t="s">
        <v>389</v>
      </c>
      <c r="F384">
        <f>HYPERLINK("http://pbs.twimg.com/media/DdwEcvbU8AEr7FF.jpg", "http://pbs.twimg.com/media/DdwEcvbU8AEr7FF.jpg")</f>
        <v/>
      </c>
      <c r="G384" t="s"/>
      <c r="H384" t="s"/>
      <c r="I384" t="s"/>
      <c r="J384" t="n">
        <v>0.4423</v>
      </c>
      <c r="K384" t="n">
        <v>0</v>
      </c>
      <c r="L384" t="n">
        <v>0.929</v>
      </c>
      <c r="M384" t="n">
        <v>0.07099999999999999</v>
      </c>
    </row>
    <row r="385" spans="1:13">
      <c r="A385" s="1">
        <f>HYPERLINK("http://www.twitter.com/NathanBLawrence/status/998652496234078208", "998652496234078208")</f>
        <v/>
      </c>
      <c r="B385" s="2" t="n">
        <v>43241.82734953704</v>
      </c>
      <c r="C385" t="n">
        <v>0</v>
      </c>
      <c r="D385" t="n">
        <v>1066</v>
      </c>
      <c r="E385" t="s">
        <v>390</v>
      </c>
      <c r="F385" t="s"/>
      <c r="G385" t="s"/>
      <c r="H385" t="s"/>
      <c r="I385" t="s"/>
      <c r="J385" t="n">
        <v>0</v>
      </c>
      <c r="K385" t="n">
        <v>0</v>
      </c>
      <c r="L385" t="n">
        <v>1</v>
      </c>
      <c r="M385" t="n">
        <v>0</v>
      </c>
    </row>
    <row r="386" spans="1:13">
      <c r="A386" s="1">
        <f>HYPERLINK("http://www.twitter.com/NathanBLawrence/status/998652378328064001", "998652378328064001")</f>
        <v/>
      </c>
      <c r="B386" s="2" t="n">
        <v>43241.82702546296</v>
      </c>
      <c r="C386" t="n">
        <v>0</v>
      </c>
      <c r="D386" t="n">
        <v>741</v>
      </c>
      <c r="E386" t="s">
        <v>391</v>
      </c>
      <c r="F386">
        <f>HYPERLINK("https://video.twimg.com/ext_tw_video/998580582006194178/pu/vid/1280x720/0Qn3vUbbjYOuCFVS.mp4?tag=3", "https://video.twimg.com/ext_tw_video/998580582006194178/pu/vid/1280x720/0Qn3vUbbjYOuCFVS.mp4?tag=3")</f>
        <v/>
      </c>
      <c r="G386" t="s"/>
      <c r="H386" t="s"/>
      <c r="I386" t="s"/>
      <c r="J386" t="n">
        <v>-0.0772</v>
      </c>
      <c r="K386" t="n">
        <v>0.049</v>
      </c>
      <c r="L386" t="n">
        <v>0.951</v>
      </c>
      <c r="M386" t="n">
        <v>0</v>
      </c>
    </row>
    <row r="387" spans="1:13">
      <c r="A387" s="1">
        <f>HYPERLINK("http://www.twitter.com/NathanBLawrence/status/998652355921969152", "998652355921969152")</f>
        <v/>
      </c>
      <c r="B387" s="2" t="n">
        <v>43241.82696759259</v>
      </c>
      <c r="C387" t="n">
        <v>0</v>
      </c>
      <c r="D387" t="n">
        <v>25915</v>
      </c>
      <c r="E387" t="s">
        <v>392</v>
      </c>
      <c r="F387" t="s"/>
      <c r="G387" t="s"/>
      <c r="H387" t="s"/>
      <c r="I387" t="s"/>
      <c r="J387" t="n">
        <v>0.3182</v>
      </c>
      <c r="K387" t="n">
        <v>0</v>
      </c>
      <c r="L387" t="n">
        <v>0.905</v>
      </c>
      <c r="M387" t="n">
        <v>0.095</v>
      </c>
    </row>
    <row r="388" spans="1:13">
      <c r="A388" s="1">
        <f>HYPERLINK("http://www.twitter.com/NathanBLawrence/status/998646813149290497", "998646813149290497")</f>
        <v/>
      </c>
      <c r="B388" s="2" t="n">
        <v>43241.81166666667</v>
      </c>
      <c r="C388" t="n">
        <v>0</v>
      </c>
      <c r="D388" t="n">
        <v>1274</v>
      </c>
      <c r="E388" t="s">
        <v>393</v>
      </c>
      <c r="F388">
        <f>HYPERLINK("https://video.twimg.com/ext_tw_video/998581288180170752/pu/vid/720x720/TMEiKd1CB3jxALar.mp4?tag=3", "https://video.twimg.com/ext_tw_video/998581288180170752/pu/vid/720x720/TMEiKd1CB3jxALar.mp4?tag=3")</f>
        <v/>
      </c>
      <c r="G388" t="s"/>
      <c r="H388" t="s"/>
      <c r="I388" t="s"/>
      <c r="J388" t="n">
        <v>0.1093</v>
      </c>
      <c r="K388" t="n">
        <v>0.14</v>
      </c>
      <c r="L388" t="n">
        <v>0.739</v>
      </c>
      <c r="M388" t="n">
        <v>0.121</v>
      </c>
    </row>
    <row r="389" spans="1:13">
      <c r="A389" s="1">
        <f>HYPERLINK("http://www.twitter.com/NathanBLawrence/status/998646762503012352", "998646762503012352")</f>
        <v/>
      </c>
      <c r="B389" s="2" t="n">
        <v>43241.81152777778</v>
      </c>
      <c r="C389" t="n">
        <v>0</v>
      </c>
      <c r="D389" t="n">
        <v>36100</v>
      </c>
      <c r="E389" t="s">
        <v>394</v>
      </c>
      <c r="F389" t="s"/>
      <c r="G389" t="s"/>
      <c r="H389" t="s"/>
      <c r="I389" t="s"/>
      <c r="J389" t="n">
        <v>0.4588</v>
      </c>
      <c r="K389" t="n">
        <v>0</v>
      </c>
      <c r="L389" t="n">
        <v>0.88</v>
      </c>
      <c r="M389" t="n">
        <v>0.12</v>
      </c>
    </row>
    <row r="390" spans="1:13">
      <c r="A390" s="1">
        <f>HYPERLINK("http://www.twitter.com/NathanBLawrence/status/998646616784556032", "998646616784556032")</f>
        <v/>
      </c>
      <c r="B390" s="2" t="n">
        <v>43241.81113425926</v>
      </c>
      <c r="C390" t="n">
        <v>0</v>
      </c>
      <c r="D390" t="n">
        <v>640</v>
      </c>
      <c r="E390" t="s">
        <v>395</v>
      </c>
      <c r="F390" t="s"/>
      <c r="G390" t="s"/>
      <c r="H390" t="s"/>
      <c r="I390" t="s"/>
      <c r="J390" t="n">
        <v>0</v>
      </c>
      <c r="K390" t="n">
        <v>0</v>
      </c>
      <c r="L390" t="n">
        <v>1</v>
      </c>
      <c r="M390" t="n">
        <v>0</v>
      </c>
    </row>
    <row r="391" spans="1:13">
      <c r="A391" s="1">
        <f>HYPERLINK("http://www.twitter.com/NathanBLawrence/status/998646359824781312", "998646359824781312")</f>
        <v/>
      </c>
      <c r="B391" s="2" t="n">
        <v>43241.81041666667</v>
      </c>
      <c r="C391" t="n">
        <v>0</v>
      </c>
      <c r="D391" t="n">
        <v>53</v>
      </c>
      <c r="E391" t="s">
        <v>396</v>
      </c>
      <c r="F391" t="s"/>
      <c r="G391" t="s"/>
      <c r="H391" t="s"/>
      <c r="I391" t="s"/>
      <c r="J391" t="n">
        <v>-0.296</v>
      </c>
      <c r="K391" t="n">
        <v>0.109</v>
      </c>
      <c r="L391" t="n">
        <v>0.891</v>
      </c>
      <c r="M391" t="n">
        <v>0</v>
      </c>
    </row>
    <row r="392" spans="1:13">
      <c r="A392" s="1">
        <f>HYPERLINK("http://www.twitter.com/NathanBLawrence/status/998619142616993792", "998619142616993792")</f>
        <v/>
      </c>
      <c r="B392" s="2" t="n">
        <v>43241.7353125</v>
      </c>
      <c r="C392" t="n">
        <v>0</v>
      </c>
      <c r="D392" t="n">
        <v>4</v>
      </c>
      <c r="E392" t="s">
        <v>397</v>
      </c>
      <c r="F392" t="s"/>
      <c r="G392" t="s"/>
      <c r="H392" t="s"/>
      <c r="I392" t="s"/>
      <c r="J392" t="n">
        <v>0</v>
      </c>
      <c r="K392" t="n">
        <v>0</v>
      </c>
      <c r="L392" t="n">
        <v>1</v>
      </c>
      <c r="M392" t="n">
        <v>0</v>
      </c>
    </row>
    <row r="393" spans="1:13">
      <c r="A393" s="1">
        <f>HYPERLINK("http://www.twitter.com/NathanBLawrence/status/998614652874625036", "998614652874625036")</f>
        <v/>
      </c>
      <c r="B393" s="2" t="n">
        <v>43241.72292824074</v>
      </c>
      <c r="C393" t="n">
        <v>0</v>
      </c>
      <c r="D393" t="n">
        <v>10</v>
      </c>
      <c r="E393" t="s">
        <v>398</v>
      </c>
      <c r="F393" t="s"/>
      <c r="G393" t="s"/>
      <c r="H393" t="s"/>
      <c r="I393" t="s"/>
      <c r="J393" t="n">
        <v>0</v>
      </c>
      <c r="K393" t="n">
        <v>0</v>
      </c>
      <c r="L393" t="n">
        <v>1</v>
      </c>
      <c r="M393" t="n">
        <v>0</v>
      </c>
    </row>
    <row r="394" spans="1:13">
      <c r="A394" s="1">
        <f>HYPERLINK("http://www.twitter.com/NathanBLawrence/status/998614622373580800", "998614622373580800")</f>
        <v/>
      </c>
      <c r="B394" s="2" t="n">
        <v>43241.72283564815</v>
      </c>
      <c r="C394" t="n">
        <v>0</v>
      </c>
      <c r="D394" t="n">
        <v>13</v>
      </c>
      <c r="E394" t="s">
        <v>399</v>
      </c>
      <c r="F394">
        <f>HYPERLINK("http://pbs.twimg.com/media/DdvBqf_VMAA4q7N.jpg", "http://pbs.twimg.com/media/DdvBqf_VMAA4q7N.jpg")</f>
        <v/>
      </c>
      <c r="G394" t="s"/>
      <c r="H394" t="s"/>
      <c r="I394" t="s"/>
      <c r="J394" t="n">
        <v>0</v>
      </c>
      <c r="K394" t="n">
        <v>0</v>
      </c>
      <c r="L394" t="n">
        <v>1</v>
      </c>
      <c r="M394" t="n">
        <v>0</v>
      </c>
    </row>
    <row r="395" spans="1:13">
      <c r="A395" s="1">
        <f>HYPERLINK("http://www.twitter.com/NathanBLawrence/status/998614605265100801", "998614605265100801")</f>
        <v/>
      </c>
      <c r="B395" s="2" t="n">
        <v>43241.72278935185</v>
      </c>
      <c r="C395" t="n">
        <v>0</v>
      </c>
      <c r="D395" t="n">
        <v>5</v>
      </c>
      <c r="E395" t="s">
        <v>400</v>
      </c>
      <c r="F395" t="s"/>
      <c r="G395" t="s"/>
      <c r="H395" t="s"/>
      <c r="I395" t="s"/>
      <c r="J395" t="n">
        <v>0</v>
      </c>
      <c r="K395" t="n">
        <v>0</v>
      </c>
      <c r="L395" t="n">
        <v>1</v>
      </c>
      <c r="M395" t="n">
        <v>0</v>
      </c>
    </row>
    <row r="396" spans="1:13">
      <c r="A396" s="1">
        <f>HYPERLINK("http://www.twitter.com/NathanBLawrence/status/998614586403311616", "998614586403311616")</f>
        <v/>
      </c>
      <c r="B396" s="2" t="n">
        <v>43241.72274305556</v>
      </c>
      <c r="C396" t="n">
        <v>0</v>
      </c>
      <c r="D396" t="n">
        <v>5</v>
      </c>
      <c r="E396" t="s">
        <v>401</v>
      </c>
      <c r="F396" t="s"/>
      <c r="G396" t="s"/>
      <c r="H396" t="s"/>
      <c r="I396" t="s"/>
      <c r="J396" t="n">
        <v>0.4588</v>
      </c>
      <c r="K396" t="n">
        <v>0</v>
      </c>
      <c r="L396" t="n">
        <v>0.885</v>
      </c>
      <c r="M396" t="n">
        <v>0.115</v>
      </c>
    </row>
    <row r="397" spans="1:13">
      <c r="A397" s="1">
        <f>HYPERLINK("http://www.twitter.com/NathanBLawrence/status/998614571404447744", "998614571404447744")</f>
        <v/>
      </c>
      <c r="B397" s="2" t="n">
        <v>43241.72269675926</v>
      </c>
      <c r="C397" t="n">
        <v>0</v>
      </c>
      <c r="D397" t="n">
        <v>41</v>
      </c>
      <c r="E397" t="s">
        <v>402</v>
      </c>
      <c r="F397" t="s"/>
      <c r="G397" t="s"/>
      <c r="H397" t="s"/>
      <c r="I397" t="s"/>
      <c r="J397" t="n">
        <v>0</v>
      </c>
      <c r="K397" t="n">
        <v>0</v>
      </c>
      <c r="L397" t="n">
        <v>1</v>
      </c>
      <c r="M397" t="n">
        <v>0</v>
      </c>
    </row>
    <row r="398" spans="1:13">
      <c r="A398" s="1">
        <f>HYPERLINK("http://www.twitter.com/NathanBLawrence/status/998614410619965440", "998614410619965440")</f>
        <v/>
      </c>
      <c r="B398" s="2" t="n">
        <v>43241.72225694444</v>
      </c>
      <c r="C398" t="n">
        <v>0</v>
      </c>
      <c r="D398" t="n">
        <v>10</v>
      </c>
      <c r="E398" t="s">
        <v>403</v>
      </c>
      <c r="F398" t="s"/>
      <c r="G398" t="s"/>
      <c r="H398" t="s"/>
      <c r="I398" t="s"/>
      <c r="J398" t="n">
        <v>0</v>
      </c>
      <c r="K398" t="n">
        <v>0</v>
      </c>
      <c r="L398" t="n">
        <v>1</v>
      </c>
      <c r="M398" t="n">
        <v>0</v>
      </c>
    </row>
    <row r="399" spans="1:13">
      <c r="A399" s="1">
        <f>HYPERLINK("http://www.twitter.com/NathanBLawrence/status/998605824430956545", "998605824430956545")</f>
        <v/>
      </c>
      <c r="B399" s="2" t="n">
        <v>43241.69856481482</v>
      </c>
      <c r="C399" t="n">
        <v>0</v>
      </c>
      <c r="D399" t="n">
        <v>18</v>
      </c>
      <c r="E399" t="s">
        <v>404</v>
      </c>
      <c r="F399">
        <f>HYPERLINK("http://pbs.twimg.com/media/Ddu8yl9VMAIGGaI.jpg", "http://pbs.twimg.com/media/Ddu8yl9VMAIGGaI.jpg")</f>
        <v/>
      </c>
      <c r="G399" t="s"/>
      <c r="H399" t="s"/>
      <c r="I399" t="s"/>
      <c r="J399" t="n">
        <v>-0.4939</v>
      </c>
      <c r="K399" t="n">
        <v>0.132</v>
      </c>
      <c r="L399" t="n">
        <v>0.868</v>
      </c>
      <c r="M399" t="n">
        <v>0</v>
      </c>
    </row>
    <row r="400" spans="1:13">
      <c r="A400" s="1">
        <f>HYPERLINK("http://www.twitter.com/NathanBLawrence/status/998605795469283329", "998605795469283329")</f>
        <v/>
      </c>
      <c r="B400" s="2" t="n">
        <v>43241.6984837963</v>
      </c>
      <c r="C400" t="n">
        <v>0</v>
      </c>
      <c r="D400" t="n">
        <v>31</v>
      </c>
      <c r="E400" t="s">
        <v>405</v>
      </c>
      <c r="F400" t="s"/>
      <c r="G400" t="s"/>
      <c r="H400" t="s"/>
      <c r="I400" t="s"/>
      <c r="J400" t="n">
        <v>0.1779</v>
      </c>
      <c r="K400" t="n">
        <v>0.101</v>
      </c>
      <c r="L400" t="n">
        <v>0.769</v>
      </c>
      <c r="M400" t="n">
        <v>0.13</v>
      </c>
    </row>
    <row r="401" spans="1:13">
      <c r="A401" s="1">
        <f>HYPERLINK("http://www.twitter.com/NathanBLawrence/status/998604691234836481", "998604691234836481")</f>
        <v/>
      </c>
      <c r="B401" s="2" t="n">
        <v>43241.69543981482</v>
      </c>
      <c r="C401" t="n">
        <v>14</v>
      </c>
      <c r="D401" t="n">
        <v>13</v>
      </c>
      <c r="E401" t="s">
        <v>406</v>
      </c>
      <c r="F401">
        <f>HYPERLINK("http://pbs.twimg.com/media/DdvBqf_VMAA4q7N.jpg", "http://pbs.twimg.com/media/DdvBqf_VMAA4q7N.jpg")</f>
        <v/>
      </c>
      <c r="G401" t="s"/>
      <c r="H401" t="s"/>
      <c r="I401" t="s"/>
      <c r="J401" t="n">
        <v>0</v>
      </c>
      <c r="K401" t="n">
        <v>0</v>
      </c>
      <c r="L401" t="n">
        <v>1</v>
      </c>
      <c r="M401" t="n">
        <v>0</v>
      </c>
    </row>
    <row r="402" spans="1:13">
      <c r="A402" s="1">
        <f>HYPERLINK("http://www.twitter.com/NathanBLawrence/status/998603920560787456", "998603920560787456")</f>
        <v/>
      </c>
      <c r="B402" s="2" t="n">
        <v>43241.69331018518</v>
      </c>
      <c r="C402" t="n">
        <v>6</v>
      </c>
      <c r="D402" t="n">
        <v>5</v>
      </c>
      <c r="E402" t="s">
        <v>407</v>
      </c>
      <c r="F402" t="s"/>
      <c r="G402" t="s"/>
      <c r="H402" t="s"/>
      <c r="I402" t="s"/>
      <c r="J402" t="n">
        <v>0.2734</v>
      </c>
      <c r="K402" t="n">
        <v>0.061</v>
      </c>
      <c r="L402" t="n">
        <v>0.8179999999999999</v>
      </c>
      <c r="M402" t="n">
        <v>0.121</v>
      </c>
    </row>
    <row r="403" spans="1:13">
      <c r="A403" s="1">
        <f>HYPERLINK("http://www.twitter.com/NathanBLawrence/status/998593885747195904", "998593885747195904")</f>
        <v/>
      </c>
      <c r="B403" s="2" t="n">
        <v>43241.66561342592</v>
      </c>
      <c r="C403" t="n">
        <v>0</v>
      </c>
      <c r="D403" t="n">
        <v>6569</v>
      </c>
      <c r="E403" t="s">
        <v>408</v>
      </c>
      <c r="F403" t="s"/>
      <c r="G403" t="s"/>
      <c r="H403" t="s"/>
      <c r="I403" t="s"/>
      <c r="J403" t="n">
        <v>0.4767</v>
      </c>
      <c r="K403" t="n">
        <v>0</v>
      </c>
      <c r="L403" t="n">
        <v>0.806</v>
      </c>
      <c r="M403" t="n">
        <v>0.194</v>
      </c>
    </row>
    <row r="404" spans="1:13">
      <c r="A404" s="1">
        <f>HYPERLINK("http://www.twitter.com/NathanBLawrence/status/998593847230857216", "998593847230857216")</f>
        <v/>
      </c>
      <c r="B404" s="2" t="n">
        <v>43241.66550925926</v>
      </c>
      <c r="C404" t="n">
        <v>0</v>
      </c>
      <c r="D404" t="n">
        <v>2795</v>
      </c>
      <c r="E404" t="s">
        <v>409</v>
      </c>
      <c r="F404" t="s"/>
      <c r="G404" t="s"/>
      <c r="H404" t="s"/>
      <c r="I404" t="s"/>
      <c r="J404" t="n">
        <v>0</v>
      </c>
      <c r="K404" t="n">
        <v>0</v>
      </c>
      <c r="L404" t="n">
        <v>1</v>
      </c>
      <c r="M404" t="n">
        <v>0</v>
      </c>
    </row>
    <row r="405" spans="1:13">
      <c r="A405" s="1">
        <f>HYPERLINK("http://www.twitter.com/NathanBLawrence/status/998592500314013696", "998592500314013696")</f>
        <v/>
      </c>
      <c r="B405" s="2" t="n">
        <v>43241.66179398148</v>
      </c>
      <c r="C405" t="n">
        <v>0</v>
      </c>
      <c r="D405" t="n">
        <v>7</v>
      </c>
      <c r="E405" t="s">
        <v>410</v>
      </c>
      <c r="F405" t="s"/>
      <c r="G405" t="s"/>
      <c r="H405" t="s"/>
      <c r="I405" t="s"/>
      <c r="J405" t="n">
        <v>0.6705</v>
      </c>
      <c r="K405" t="n">
        <v>0</v>
      </c>
      <c r="L405" t="n">
        <v>0.732</v>
      </c>
      <c r="M405" t="n">
        <v>0.268</v>
      </c>
    </row>
    <row r="406" spans="1:13">
      <c r="A406" s="1">
        <f>HYPERLINK("http://www.twitter.com/NathanBLawrence/status/998592379866222592", "998592379866222592")</f>
        <v/>
      </c>
      <c r="B406" s="2" t="n">
        <v>43241.66145833334</v>
      </c>
      <c r="C406" t="n">
        <v>0</v>
      </c>
      <c r="D406" t="n">
        <v>18</v>
      </c>
      <c r="E406" t="s">
        <v>411</v>
      </c>
      <c r="F406">
        <f>HYPERLINK("http://pbs.twimg.com/media/DdurkRqU0AASyPs.jpg", "http://pbs.twimg.com/media/DdurkRqU0AASyPs.jpg")</f>
        <v/>
      </c>
      <c r="G406" t="s"/>
      <c r="H406" t="s"/>
      <c r="I406" t="s"/>
      <c r="J406" t="n">
        <v>-0.4696</v>
      </c>
      <c r="K406" t="n">
        <v>0.127</v>
      </c>
      <c r="L406" t="n">
        <v>0.873</v>
      </c>
      <c r="M406" t="n">
        <v>0</v>
      </c>
    </row>
    <row r="407" spans="1:13">
      <c r="A407" s="1">
        <f>HYPERLINK("http://www.twitter.com/NathanBLawrence/status/998592355828752384", "998592355828752384")</f>
        <v/>
      </c>
      <c r="B407" s="2" t="n">
        <v>43241.66140046297</v>
      </c>
      <c r="C407" t="n">
        <v>0</v>
      </c>
      <c r="D407" t="n">
        <v>4</v>
      </c>
      <c r="E407" t="s">
        <v>412</v>
      </c>
      <c r="F407" t="s"/>
      <c r="G407" t="s"/>
      <c r="H407" t="s"/>
      <c r="I407" t="s"/>
      <c r="J407" t="n">
        <v>0</v>
      </c>
      <c r="K407" t="n">
        <v>0</v>
      </c>
      <c r="L407" t="n">
        <v>1</v>
      </c>
      <c r="M407" t="n">
        <v>0</v>
      </c>
    </row>
    <row r="408" spans="1:13">
      <c r="A408" s="1">
        <f>HYPERLINK("http://www.twitter.com/NathanBLawrence/status/998592312463839232", "998592312463839232")</f>
        <v/>
      </c>
      <c r="B408" s="2" t="n">
        <v>43241.66127314815</v>
      </c>
      <c r="C408" t="n">
        <v>0</v>
      </c>
      <c r="D408" t="n">
        <v>10</v>
      </c>
      <c r="E408" t="s">
        <v>413</v>
      </c>
      <c r="F408">
        <f>HYPERLINK("http://pbs.twimg.com/media/DduzUTxU8AAwrQT.jpg", "http://pbs.twimg.com/media/DduzUTxU8AAwrQT.jpg")</f>
        <v/>
      </c>
      <c r="G408" t="s"/>
      <c r="H408" t="s"/>
      <c r="I408" t="s"/>
      <c r="J408" t="n">
        <v>0</v>
      </c>
      <c r="K408" t="n">
        <v>0</v>
      </c>
      <c r="L408" t="n">
        <v>1</v>
      </c>
      <c r="M408" t="n">
        <v>0</v>
      </c>
    </row>
    <row r="409" spans="1:13">
      <c r="A409" s="1">
        <f>HYPERLINK("http://www.twitter.com/NathanBLawrence/status/998592277005074432", "998592277005074432")</f>
        <v/>
      </c>
      <c r="B409" s="2" t="n">
        <v>43241.66118055556</v>
      </c>
      <c r="C409" t="n">
        <v>0</v>
      </c>
      <c r="D409" t="n">
        <v>40</v>
      </c>
      <c r="E409" t="s">
        <v>414</v>
      </c>
      <c r="F409">
        <f>HYPERLINK("http://pbs.twimg.com/media/Ddu12M7V4AAYrgR.jpg", "http://pbs.twimg.com/media/Ddu12M7V4AAYrgR.jpg")</f>
        <v/>
      </c>
      <c r="G409" t="s"/>
      <c r="H409" t="s"/>
      <c r="I409" t="s"/>
      <c r="J409" t="n">
        <v>0.675</v>
      </c>
      <c r="K409" t="n">
        <v>0</v>
      </c>
      <c r="L409" t="n">
        <v>0.743</v>
      </c>
      <c r="M409" t="n">
        <v>0.257</v>
      </c>
    </row>
    <row r="410" spans="1:13">
      <c r="A410" s="1">
        <f>HYPERLINK("http://www.twitter.com/NathanBLawrence/status/998592220809883649", "998592220809883649")</f>
        <v/>
      </c>
      <c r="B410" s="2" t="n">
        <v>43241.66103009259</v>
      </c>
      <c r="C410" t="n">
        <v>0</v>
      </c>
      <c r="D410" t="n">
        <v>33</v>
      </c>
      <c r="E410" t="s">
        <v>415</v>
      </c>
      <c r="F410" t="s"/>
      <c r="G410" t="s"/>
      <c r="H410" t="s"/>
      <c r="I410" t="s"/>
      <c r="J410" t="n">
        <v>-0.7258</v>
      </c>
      <c r="K410" t="n">
        <v>0.307</v>
      </c>
      <c r="L410" t="n">
        <v>0.6929999999999999</v>
      </c>
      <c r="M410" t="n">
        <v>0</v>
      </c>
    </row>
    <row r="411" spans="1:13">
      <c r="A411" s="1">
        <f>HYPERLINK("http://www.twitter.com/NathanBLawrence/status/998586488660135936", "998586488660135936")</f>
        <v/>
      </c>
      <c r="B411" s="2" t="n">
        <v>43241.64520833334</v>
      </c>
      <c r="C411" t="n">
        <v>0</v>
      </c>
      <c r="D411" t="n">
        <v>222</v>
      </c>
      <c r="E411" t="s">
        <v>416</v>
      </c>
      <c r="F411">
        <f>HYPERLINK("http://pbs.twimg.com/media/DdunEyOU0AAGg8t.jpg", "http://pbs.twimg.com/media/DdunEyOU0AAGg8t.jpg")</f>
        <v/>
      </c>
      <c r="G411" t="s"/>
      <c r="H411" t="s"/>
      <c r="I411" t="s"/>
      <c r="J411" t="n">
        <v>0.4926</v>
      </c>
      <c r="K411" t="n">
        <v>0</v>
      </c>
      <c r="L411" t="n">
        <v>0.556</v>
      </c>
      <c r="M411" t="n">
        <v>0.444</v>
      </c>
    </row>
    <row r="412" spans="1:13">
      <c r="A412" s="1">
        <f>HYPERLINK("http://www.twitter.com/NathanBLawrence/status/998586440647835648", "998586440647835648")</f>
        <v/>
      </c>
      <c r="B412" s="2" t="n">
        <v>43241.64506944444</v>
      </c>
      <c r="C412" t="n">
        <v>0</v>
      </c>
      <c r="D412" t="n">
        <v>24</v>
      </c>
      <c r="E412" t="s">
        <v>417</v>
      </c>
      <c r="F412">
        <f>HYPERLINK("https://video.twimg.com/amplify_video/998581087294009350/vid/1280x720/1Tndz02EPgO-ZDfu.mp4?tag=2", "https://video.twimg.com/amplify_video/998581087294009350/vid/1280x720/1Tndz02EPgO-ZDfu.mp4?tag=2")</f>
        <v/>
      </c>
      <c r="G412" t="s"/>
      <c r="H412" t="s"/>
      <c r="I412" t="s"/>
      <c r="J412" t="n">
        <v>0</v>
      </c>
      <c r="K412" t="n">
        <v>0</v>
      </c>
      <c r="L412" t="n">
        <v>1</v>
      </c>
      <c r="M412" t="n">
        <v>0</v>
      </c>
    </row>
    <row r="413" spans="1:13">
      <c r="A413" s="1">
        <f>HYPERLINK("http://www.twitter.com/NathanBLawrence/status/998583802078298112", "998583802078298112")</f>
        <v/>
      </c>
      <c r="B413" s="2" t="n">
        <v>43241.63778935185</v>
      </c>
      <c r="C413" t="n">
        <v>3</v>
      </c>
      <c r="D413" t="n">
        <v>1</v>
      </c>
      <c r="E413" t="s">
        <v>418</v>
      </c>
      <c r="F413" t="s"/>
      <c r="G413" t="s"/>
      <c r="H413" t="s"/>
      <c r="I413" t="s"/>
      <c r="J413" t="n">
        <v>0.6486</v>
      </c>
      <c r="K413" t="n">
        <v>0</v>
      </c>
      <c r="L413" t="n">
        <v>0.858</v>
      </c>
      <c r="M413" t="n">
        <v>0.142</v>
      </c>
    </row>
    <row r="414" spans="1:13">
      <c r="A414" s="1">
        <f>HYPERLINK("http://www.twitter.com/NathanBLawrence/status/998583618086764544", "998583618086764544")</f>
        <v/>
      </c>
      <c r="B414" s="2" t="n">
        <v>43241.63728009259</v>
      </c>
      <c r="C414" t="n">
        <v>3</v>
      </c>
      <c r="D414" t="n">
        <v>1</v>
      </c>
      <c r="E414" t="s">
        <v>419</v>
      </c>
      <c r="F414" t="s"/>
      <c r="G414" t="s"/>
      <c r="H414" t="s"/>
      <c r="I414" t="s"/>
      <c r="J414" t="n">
        <v>-0.2144</v>
      </c>
      <c r="K414" t="n">
        <v>0.197</v>
      </c>
      <c r="L414" t="n">
        <v>0.648</v>
      </c>
      <c r="M414" t="n">
        <v>0.155</v>
      </c>
    </row>
    <row r="415" spans="1:13">
      <c r="A415" s="1">
        <f>HYPERLINK("http://www.twitter.com/NathanBLawrence/status/998581020705337350", "998581020705337350")</f>
        <v/>
      </c>
      <c r="B415" s="2" t="n">
        <v>43241.63011574074</v>
      </c>
      <c r="C415" t="n">
        <v>0</v>
      </c>
      <c r="D415" t="n">
        <v>84</v>
      </c>
      <c r="E415" t="s">
        <v>420</v>
      </c>
      <c r="F415" t="s"/>
      <c r="G415" t="s"/>
      <c r="H415" t="s"/>
      <c r="I415" t="s"/>
      <c r="J415" t="n">
        <v>-0.3612</v>
      </c>
      <c r="K415" t="n">
        <v>0.111</v>
      </c>
      <c r="L415" t="n">
        <v>0.889</v>
      </c>
      <c r="M415" t="n">
        <v>0</v>
      </c>
    </row>
    <row r="416" spans="1:13">
      <c r="A416" s="1">
        <f>HYPERLINK("http://www.twitter.com/NathanBLawrence/status/998580967848796160", "998580967848796160")</f>
        <v/>
      </c>
      <c r="B416" s="2" t="n">
        <v>43241.62997685185</v>
      </c>
      <c r="C416" t="n">
        <v>0</v>
      </c>
      <c r="D416" t="n">
        <v>46</v>
      </c>
      <c r="E416" t="s">
        <v>421</v>
      </c>
      <c r="F416" t="s"/>
      <c r="G416" t="s"/>
      <c r="H416" t="s"/>
      <c r="I416" t="s"/>
      <c r="J416" t="n">
        <v>-0.7003</v>
      </c>
      <c r="K416" t="n">
        <v>0.244</v>
      </c>
      <c r="L416" t="n">
        <v>0.756</v>
      </c>
      <c r="M416" t="n">
        <v>0</v>
      </c>
    </row>
    <row r="417" spans="1:13">
      <c r="A417" s="1">
        <f>HYPERLINK("http://www.twitter.com/NathanBLawrence/status/998578057412792320", "998578057412792320")</f>
        <v/>
      </c>
      <c r="B417" s="2" t="n">
        <v>43241.62194444444</v>
      </c>
      <c r="C417" t="n">
        <v>0</v>
      </c>
      <c r="D417" t="n">
        <v>1</v>
      </c>
      <c r="E417" t="s">
        <v>422</v>
      </c>
      <c r="F417">
        <f>HYPERLINK("http://pbs.twimg.com/media/Dduk8_4U0AEBq9X.jpg", "http://pbs.twimg.com/media/Dduk8_4U0AEBq9X.jpg")</f>
        <v/>
      </c>
      <c r="G417" t="s"/>
      <c r="H417" t="s"/>
      <c r="I417" t="s"/>
      <c r="J417" t="n">
        <v>0</v>
      </c>
      <c r="K417" t="n">
        <v>0</v>
      </c>
      <c r="L417" t="n">
        <v>1</v>
      </c>
      <c r="M417" t="n">
        <v>0</v>
      </c>
    </row>
    <row r="418" spans="1:13">
      <c r="A418" s="1">
        <f>HYPERLINK("http://www.twitter.com/NathanBLawrence/status/998572011105521664", "998572011105521664")</f>
        <v/>
      </c>
      <c r="B418" s="2" t="n">
        <v>43241.60525462963</v>
      </c>
      <c r="C418" t="n">
        <v>0</v>
      </c>
      <c r="D418" t="n">
        <v>439</v>
      </c>
      <c r="E418" t="s">
        <v>423</v>
      </c>
      <c r="F418" t="s"/>
      <c r="G418" t="s"/>
      <c r="H418" t="s"/>
      <c r="I418" t="s"/>
      <c r="J418" t="n">
        <v>0.6597</v>
      </c>
      <c r="K418" t="n">
        <v>0</v>
      </c>
      <c r="L418" t="n">
        <v>0.787</v>
      </c>
      <c r="M418" t="n">
        <v>0.213</v>
      </c>
    </row>
    <row r="419" spans="1:13">
      <c r="A419" s="1">
        <f>HYPERLINK("http://www.twitter.com/NathanBLawrence/status/998571760026095617", "998571760026095617")</f>
        <v/>
      </c>
      <c r="B419" s="2" t="n">
        <v>43241.60456018519</v>
      </c>
      <c r="C419" t="n">
        <v>0</v>
      </c>
      <c r="D419" t="n">
        <v>5504</v>
      </c>
      <c r="E419" t="s">
        <v>424</v>
      </c>
      <c r="F419" t="s"/>
      <c r="G419" t="s"/>
      <c r="H419" t="s"/>
      <c r="I419" t="s"/>
      <c r="J419" t="n">
        <v>-0.4767</v>
      </c>
      <c r="K419" t="n">
        <v>0.129</v>
      </c>
      <c r="L419" t="n">
        <v>0.871</v>
      </c>
      <c r="M419" t="n">
        <v>0</v>
      </c>
    </row>
    <row r="420" spans="1:13">
      <c r="A420" s="1">
        <f>HYPERLINK("http://www.twitter.com/NathanBLawrence/status/998571634415099904", "998571634415099904")</f>
        <v/>
      </c>
      <c r="B420" s="2" t="n">
        <v>43241.60421296296</v>
      </c>
      <c r="C420" t="n">
        <v>0</v>
      </c>
      <c r="D420" t="n">
        <v>8</v>
      </c>
      <c r="E420" t="s">
        <v>425</v>
      </c>
      <c r="F420" t="s"/>
      <c r="G420" t="s"/>
      <c r="H420" t="s"/>
      <c r="I420" t="s"/>
      <c r="J420" t="n">
        <v>0</v>
      </c>
      <c r="K420" t="n">
        <v>0</v>
      </c>
      <c r="L420" t="n">
        <v>1</v>
      </c>
      <c r="M420" t="n">
        <v>0</v>
      </c>
    </row>
    <row r="421" spans="1:13">
      <c r="A421" s="1">
        <f>HYPERLINK("http://www.twitter.com/NathanBLawrence/status/998571527342886912", "998571527342886912")</f>
        <v/>
      </c>
      <c r="B421" s="2" t="n">
        <v>43241.60392361111</v>
      </c>
      <c r="C421" t="n">
        <v>0</v>
      </c>
      <c r="D421" t="n">
        <v>82</v>
      </c>
      <c r="E421" t="s">
        <v>426</v>
      </c>
      <c r="F421" t="s"/>
      <c r="G421" t="s"/>
      <c r="H421" t="s"/>
      <c r="I421" t="s"/>
      <c r="J421" t="n">
        <v>0</v>
      </c>
      <c r="K421" t="n">
        <v>0</v>
      </c>
      <c r="L421" t="n">
        <v>1</v>
      </c>
      <c r="M421" t="n">
        <v>0</v>
      </c>
    </row>
    <row r="422" spans="1:13">
      <c r="A422" s="1">
        <f>HYPERLINK("http://www.twitter.com/NathanBLawrence/status/998571508212600832", "998571508212600832")</f>
        <v/>
      </c>
      <c r="B422" s="2" t="n">
        <v>43241.60386574074</v>
      </c>
      <c r="C422" t="n">
        <v>0</v>
      </c>
      <c r="D422" t="n">
        <v>26828</v>
      </c>
      <c r="E422" t="s">
        <v>427</v>
      </c>
      <c r="F422" t="s"/>
      <c r="G422" t="s"/>
      <c r="H422" t="s"/>
      <c r="I422" t="s"/>
      <c r="J422" t="n">
        <v>0.54</v>
      </c>
      <c r="K422" t="n">
        <v>0</v>
      </c>
      <c r="L422" t="n">
        <v>0.821</v>
      </c>
      <c r="M422" t="n">
        <v>0.179</v>
      </c>
    </row>
    <row r="423" spans="1:13">
      <c r="A423" s="1">
        <f>HYPERLINK("http://www.twitter.com/NathanBLawrence/status/998571126073778176", "998571126073778176")</f>
        <v/>
      </c>
      <c r="B423" s="2" t="n">
        <v>43241.6028125</v>
      </c>
      <c r="C423" t="n">
        <v>0</v>
      </c>
      <c r="D423" t="n">
        <v>13537</v>
      </c>
      <c r="E423" t="s">
        <v>428</v>
      </c>
      <c r="F423" t="s"/>
      <c r="G423" t="s"/>
      <c r="H423" t="s"/>
      <c r="I423" t="s"/>
      <c r="J423" t="n">
        <v>0</v>
      </c>
      <c r="K423" t="n">
        <v>0</v>
      </c>
      <c r="L423" t="n">
        <v>1</v>
      </c>
      <c r="M423" t="n">
        <v>0</v>
      </c>
    </row>
    <row r="424" spans="1:13">
      <c r="A424" s="1">
        <f>HYPERLINK("http://www.twitter.com/NathanBLawrence/status/998570910172008450", "998570910172008450")</f>
        <v/>
      </c>
      <c r="B424" s="2" t="n">
        <v>43241.60222222222</v>
      </c>
      <c r="C424" t="n">
        <v>0</v>
      </c>
      <c r="D424" t="n">
        <v>4663</v>
      </c>
      <c r="E424" t="s">
        <v>429</v>
      </c>
      <c r="F424" t="s"/>
      <c r="G424" t="s"/>
      <c r="H424" t="s"/>
      <c r="I424" t="s"/>
      <c r="J424" t="n">
        <v>0.2006</v>
      </c>
      <c r="K424" t="n">
        <v>0.113</v>
      </c>
      <c r="L424" t="n">
        <v>0.742</v>
      </c>
      <c r="M424" t="n">
        <v>0.144</v>
      </c>
    </row>
    <row r="425" spans="1:13">
      <c r="A425" s="1">
        <f>HYPERLINK("http://www.twitter.com/NathanBLawrence/status/998570884469346304", "998570884469346304")</f>
        <v/>
      </c>
      <c r="B425" s="2" t="n">
        <v>43241.60215277778</v>
      </c>
      <c r="C425" t="n">
        <v>0</v>
      </c>
      <c r="D425" t="n">
        <v>511</v>
      </c>
      <c r="E425" t="s">
        <v>430</v>
      </c>
      <c r="F425" t="s"/>
      <c r="G425" t="s"/>
      <c r="H425" t="s"/>
      <c r="I425" t="s"/>
      <c r="J425" t="n">
        <v>-0.2584</v>
      </c>
      <c r="K425" t="n">
        <v>0.08799999999999999</v>
      </c>
      <c r="L425" t="n">
        <v>0.912</v>
      </c>
      <c r="M425" t="n">
        <v>0</v>
      </c>
    </row>
    <row r="426" spans="1:13">
      <c r="A426" s="1">
        <f>HYPERLINK("http://www.twitter.com/NathanBLawrence/status/998570691350974464", "998570691350974464")</f>
        <v/>
      </c>
      <c r="B426" s="2" t="n">
        <v>43241.60162037037</v>
      </c>
      <c r="C426" t="n">
        <v>0</v>
      </c>
      <c r="D426" t="n">
        <v>867</v>
      </c>
      <c r="E426" t="s">
        <v>431</v>
      </c>
      <c r="F426" t="s"/>
      <c r="G426" t="s"/>
      <c r="H426" t="s"/>
      <c r="I426" t="s"/>
      <c r="J426" t="n">
        <v>-0.802</v>
      </c>
      <c r="K426" t="n">
        <v>0.281</v>
      </c>
      <c r="L426" t="n">
        <v>0.719</v>
      </c>
      <c r="M426" t="n">
        <v>0</v>
      </c>
    </row>
    <row r="427" spans="1:13">
      <c r="A427" s="1">
        <f>HYPERLINK("http://www.twitter.com/NathanBLawrence/status/998570203389878279", "998570203389878279")</f>
        <v/>
      </c>
      <c r="B427" s="2" t="n">
        <v>43241.60026620371</v>
      </c>
      <c r="C427" t="n">
        <v>1</v>
      </c>
      <c r="D427" t="n">
        <v>0</v>
      </c>
      <c r="E427" t="s">
        <v>432</v>
      </c>
      <c r="F427" t="s"/>
      <c r="G427" t="s"/>
      <c r="H427" t="s"/>
      <c r="I427" t="s"/>
      <c r="J427" t="n">
        <v>0.3818</v>
      </c>
      <c r="K427" t="n">
        <v>0</v>
      </c>
      <c r="L427" t="n">
        <v>0.867</v>
      </c>
      <c r="M427" t="n">
        <v>0.133</v>
      </c>
    </row>
    <row r="428" spans="1:13">
      <c r="A428" s="1">
        <f>HYPERLINK("http://www.twitter.com/NathanBLawrence/status/998528444270043137", "998528444270043137")</f>
        <v/>
      </c>
      <c r="B428" s="2" t="n">
        <v>43241.48503472222</v>
      </c>
      <c r="C428" t="n">
        <v>0</v>
      </c>
      <c r="D428" t="n">
        <v>649</v>
      </c>
      <c r="E428" t="s">
        <v>433</v>
      </c>
      <c r="F428">
        <f>HYPERLINK("http://pbs.twimg.com/media/DdtziMTVMAA1Kum.png", "http://pbs.twimg.com/media/DdtziMTVMAA1Kum.png")</f>
        <v/>
      </c>
      <c r="G428" t="s"/>
      <c r="H428" t="s"/>
      <c r="I428" t="s"/>
      <c r="J428" t="n">
        <v>-0.7003</v>
      </c>
      <c r="K428" t="n">
        <v>0.201</v>
      </c>
      <c r="L428" t="n">
        <v>0.799</v>
      </c>
      <c r="M428" t="n">
        <v>0</v>
      </c>
    </row>
    <row r="429" spans="1:13">
      <c r="A429" s="1">
        <f>HYPERLINK("http://www.twitter.com/NathanBLawrence/status/998528334853300224", "998528334853300224")</f>
        <v/>
      </c>
      <c r="B429" s="2" t="n">
        <v>43241.48473379629</v>
      </c>
      <c r="C429" t="n">
        <v>0</v>
      </c>
      <c r="D429" t="n">
        <v>480</v>
      </c>
      <c r="E429" t="s">
        <v>434</v>
      </c>
      <c r="F429" t="s"/>
      <c r="G429" t="s"/>
      <c r="H429" t="s"/>
      <c r="I429" t="s"/>
      <c r="J429" t="n">
        <v>0.4995</v>
      </c>
      <c r="K429" t="n">
        <v>0.077</v>
      </c>
      <c r="L429" t="n">
        <v>0.729</v>
      </c>
      <c r="M429" t="n">
        <v>0.194</v>
      </c>
    </row>
    <row r="430" spans="1:13">
      <c r="A430" s="1">
        <f>HYPERLINK("http://www.twitter.com/NathanBLawrence/status/998528294457921536", "998528294457921536")</f>
        <v/>
      </c>
      <c r="B430" s="2" t="n">
        <v>43241.48461805555</v>
      </c>
      <c r="C430" t="n">
        <v>0</v>
      </c>
      <c r="D430" t="n">
        <v>315</v>
      </c>
      <c r="E430" t="s">
        <v>435</v>
      </c>
      <c r="F430" t="s"/>
      <c r="G430" t="s"/>
      <c r="H430" t="s"/>
      <c r="I430" t="s"/>
      <c r="J430" t="n">
        <v>0</v>
      </c>
      <c r="K430" t="n">
        <v>0</v>
      </c>
      <c r="L430" t="n">
        <v>1</v>
      </c>
      <c r="M430" t="n">
        <v>0</v>
      </c>
    </row>
    <row r="431" spans="1:13">
      <c r="A431" s="1">
        <f>HYPERLINK("http://www.twitter.com/NathanBLawrence/status/998528213428170752", "998528213428170752")</f>
        <v/>
      </c>
      <c r="B431" s="2" t="n">
        <v>43241.48439814815</v>
      </c>
      <c r="C431" t="n">
        <v>0</v>
      </c>
      <c r="D431" t="n">
        <v>175</v>
      </c>
      <c r="E431" t="s">
        <v>436</v>
      </c>
      <c r="F431">
        <f>HYPERLINK("http://pbs.twimg.com/media/DdsSPxuU0AAqHWe.jpg", "http://pbs.twimg.com/media/DdsSPxuU0AAqHWe.jpg")</f>
        <v/>
      </c>
      <c r="G431">
        <f>HYPERLINK("http://pbs.twimg.com/media/DdsSTCtVQAA8SzX.jpg", "http://pbs.twimg.com/media/DdsSTCtVQAA8SzX.jpg")</f>
        <v/>
      </c>
      <c r="H431" t="s"/>
      <c r="I431" t="s"/>
      <c r="J431" t="n">
        <v>0.7506</v>
      </c>
      <c r="K431" t="n">
        <v>0</v>
      </c>
      <c r="L431" t="n">
        <v>0.726</v>
      </c>
      <c r="M431" t="n">
        <v>0.274</v>
      </c>
    </row>
    <row r="432" spans="1:13">
      <c r="A432" s="1">
        <f>HYPERLINK("http://www.twitter.com/NathanBLawrence/status/998528076479950848", "998528076479950848")</f>
        <v/>
      </c>
      <c r="B432" s="2" t="n">
        <v>43241.48401620371</v>
      </c>
      <c r="C432" t="n">
        <v>0</v>
      </c>
      <c r="D432" t="n">
        <v>1</v>
      </c>
      <c r="E432" t="s">
        <v>437</v>
      </c>
      <c r="F432" t="s"/>
      <c r="G432" t="s"/>
      <c r="H432" t="s"/>
      <c r="I432" t="s"/>
      <c r="J432" t="n">
        <v>-0.4588</v>
      </c>
      <c r="K432" t="n">
        <v>0.183</v>
      </c>
      <c r="L432" t="n">
        <v>0.746</v>
      </c>
      <c r="M432" t="n">
        <v>0.07099999999999999</v>
      </c>
    </row>
    <row r="433" spans="1:13">
      <c r="A433" s="1">
        <f>HYPERLINK("http://www.twitter.com/NathanBLawrence/status/998528055344795648", "998528055344795648")</f>
        <v/>
      </c>
      <c r="B433" s="2" t="n">
        <v>43241.48395833333</v>
      </c>
      <c r="C433" t="n">
        <v>0</v>
      </c>
      <c r="D433" t="n">
        <v>31939</v>
      </c>
      <c r="E433" t="s">
        <v>438</v>
      </c>
      <c r="F433" t="s"/>
      <c r="G433" t="s"/>
      <c r="H433" t="s"/>
      <c r="I433" t="s"/>
      <c r="J433" t="n">
        <v>0</v>
      </c>
      <c r="K433" t="n">
        <v>0</v>
      </c>
      <c r="L433" t="n">
        <v>1</v>
      </c>
      <c r="M433" t="n">
        <v>0</v>
      </c>
    </row>
    <row r="434" spans="1:13">
      <c r="A434" s="1">
        <f>HYPERLINK("http://www.twitter.com/NathanBLawrence/status/998528031525343234", "998528031525343234")</f>
        <v/>
      </c>
      <c r="B434" s="2" t="n">
        <v>43241.48390046296</v>
      </c>
      <c r="C434" t="n">
        <v>0</v>
      </c>
      <c r="D434" t="n">
        <v>2</v>
      </c>
      <c r="E434" t="s">
        <v>439</v>
      </c>
      <c r="F434">
        <f>HYPERLINK("http://pbs.twimg.com/media/DdmwKWnV4AAX5iJ.jpg", "http://pbs.twimg.com/media/DdmwKWnV4AAX5iJ.jpg")</f>
        <v/>
      </c>
      <c r="G434" t="s"/>
      <c r="H434" t="s"/>
      <c r="I434" t="s"/>
      <c r="J434" t="n">
        <v>-0.296</v>
      </c>
      <c r="K434" t="n">
        <v>0.196</v>
      </c>
      <c r="L434" t="n">
        <v>0.804</v>
      </c>
      <c r="M434" t="n">
        <v>0</v>
      </c>
    </row>
    <row r="435" spans="1:13">
      <c r="A435" s="1">
        <f>HYPERLINK("http://www.twitter.com/NathanBLawrence/status/998528004346253313", "998528004346253313")</f>
        <v/>
      </c>
      <c r="B435" s="2" t="n">
        <v>43241.48381944445</v>
      </c>
      <c r="C435" t="n">
        <v>0</v>
      </c>
      <c r="D435" t="n">
        <v>9688</v>
      </c>
      <c r="E435" t="s">
        <v>440</v>
      </c>
      <c r="F435" t="s"/>
      <c r="G435" t="s"/>
      <c r="H435" t="s"/>
      <c r="I435" t="s"/>
      <c r="J435" t="n">
        <v>-0.3182</v>
      </c>
      <c r="K435" t="n">
        <v>0.103</v>
      </c>
      <c r="L435" t="n">
        <v>0.897</v>
      </c>
      <c r="M435" t="n">
        <v>0</v>
      </c>
    </row>
    <row r="436" spans="1:13">
      <c r="A436" s="1">
        <f>HYPERLINK("http://www.twitter.com/NathanBLawrence/status/998527880362684416", "998527880362684416")</f>
        <v/>
      </c>
      <c r="B436" s="2" t="n">
        <v>43241.4834837963</v>
      </c>
      <c r="C436" t="n">
        <v>0</v>
      </c>
      <c r="D436" t="n">
        <v>140</v>
      </c>
      <c r="E436" t="s">
        <v>441</v>
      </c>
      <c r="F436">
        <f>HYPERLINK("http://pbs.twimg.com/media/Ddq-Wd_VAAAKBo8.jpg", "http://pbs.twimg.com/media/Ddq-Wd_VAAAKBo8.jpg")</f>
        <v/>
      </c>
      <c r="G436">
        <f>HYPERLINK("http://pbs.twimg.com/media/Ddq-WdRUwAAmefR.jpg", "http://pbs.twimg.com/media/Ddq-WdRUwAAmefR.jpg")</f>
        <v/>
      </c>
      <c r="H436" t="s"/>
      <c r="I436" t="s"/>
      <c r="J436" t="n">
        <v>0</v>
      </c>
      <c r="K436" t="n">
        <v>0</v>
      </c>
      <c r="L436" t="n">
        <v>1</v>
      </c>
      <c r="M436" t="n">
        <v>0</v>
      </c>
    </row>
    <row r="437" spans="1:13">
      <c r="A437" s="1">
        <f>HYPERLINK("http://www.twitter.com/NathanBLawrence/status/998527789283381248", "998527789283381248")</f>
        <v/>
      </c>
      <c r="B437" s="2" t="n">
        <v>43241.48322916667</v>
      </c>
      <c r="C437" t="n">
        <v>0</v>
      </c>
      <c r="D437" t="n">
        <v>61</v>
      </c>
      <c r="E437" t="s">
        <v>442</v>
      </c>
      <c r="F437" t="s"/>
      <c r="G437" t="s"/>
      <c r="H437" t="s"/>
      <c r="I437" t="s"/>
      <c r="J437" t="n">
        <v>0.5266999999999999</v>
      </c>
      <c r="K437" t="n">
        <v>0</v>
      </c>
      <c r="L437" t="n">
        <v>0.841</v>
      </c>
      <c r="M437" t="n">
        <v>0.159</v>
      </c>
    </row>
    <row r="438" spans="1:13">
      <c r="A438" s="1">
        <f>HYPERLINK("http://www.twitter.com/NathanBLawrence/status/998527770178224128", "998527770178224128")</f>
        <v/>
      </c>
      <c r="B438" s="2" t="n">
        <v>43241.4831712963</v>
      </c>
      <c r="C438" t="n">
        <v>0</v>
      </c>
      <c r="D438" t="n">
        <v>0</v>
      </c>
      <c r="E438" t="s">
        <v>443</v>
      </c>
      <c r="F438" t="s"/>
      <c r="G438" t="s"/>
      <c r="H438" t="s"/>
      <c r="I438" t="s"/>
      <c r="J438" t="n">
        <v>-0.5266999999999999</v>
      </c>
      <c r="K438" t="n">
        <v>0.459</v>
      </c>
      <c r="L438" t="n">
        <v>0.541</v>
      </c>
      <c r="M438" t="n">
        <v>0</v>
      </c>
    </row>
    <row r="439" spans="1:13">
      <c r="A439" s="1">
        <f>HYPERLINK("http://www.twitter.com/NathanBLawrence/status/998527719511150592", "998527719511150592")</f>
        <v/>
      </c>
      <c r="B439" s="2" t="n">
        <v>43241.48303240741</v>
      </c>
      <c r="C439" t="n">
        <v>1</v>
      </c>
      <c r="D439" t="n">
        <v>0</v>
      </c>
      <c r="E439" t="s">
        <v>444</v>
      </c>
      <c r="F439" t="s"/>
      <c r="G439" t="s"/>
      <c r="H439" t="s"/>
      <c r="I439" t="s"/>
      <c r="J439" t="n">
        <v>-0.6369</v>
      </c>
      <c r="K439" t="n">
        <v>0.299</v>
      </c>
      <c r="L439" t="n">
        <v>0.597</v>
      </c>
      <c r="M439" t="n">
        <v>0.104</v>
      </c>
    </row>
    <row r="440" spans="1:13">
      <c r="A440" s="1">
        <f>HYPERLINK("http://www.twitter.com/NathanBLawrence/status/998527571036921861", "998527571036921861")</f>
        <v/>
      </c>
      <c r="B440" s="2" t="n">
        <v>43241.48262731481</v>
      </c>
      <c r="C440" t="n">
        <v>1</v>
      </c>
      <c r="D440" t="n">
        <v>0</v>
      </c>
      <c r="E440" t="s">
        <v>445</v>
      </c>
      <c r="F440" t="s"/>
      <c r="G440" t="s"/>
      <c r="H440" t="s"/>
      <c r="I440" t="s"/>
      <c r="J440" t="n">
        <v>-0.5266999999999999</v>
      </c>
      <c r="K440" t="n">
        <v>0.185</v>
      </c>
      <c r="L440" t="n">
        <v>0.8149999999999999</v>
      </c>
      <c r="M440" t="n">
        <v>0</v>
      </c>
    </row>
    <row r="441" spans="1:13">
      <c r="A441" s="1">
        <f>HYPERLINK("http://www.twitter.com/NathanBLawrence/status/998527445174308864", "998527445174308864")</f>
        <v/>
      </c>
      <c r="B441" s="2" t="n">
        <v>43241.48228009259</v>
      </c>
      <c r="C441" t="n">
        <v>0</v>
      </c>
      <c r="D441" t="n">
        <v>2136</v>
      </c>
      <c r="E441" t="s">
        <v>446</v>
      </c>
      <c r="F441" t="s"/>
      <c r="G441" t="s"/>
      <c r="H441" t="s"/>
      <c r="I441" t="s"/>
      <c r="J441" t="n">
        <v>0</v>
      </c>
      <c r="K441" t="n">
        <v>0</v>
      </c>
      <c r="L441" t="n">
        <v>1</v>
      </c>
      <c r="M441" t="n">
        <v>0</v>
      </c>
    </row>
    <row r="442" spans="1:13">
      <c r="A442" s="1">
        <f>HYPERLINK("http://www.twitter.com/NathanBLawrence/status/998527125945757697", "998527125945757697")</f>
        <v/>
      </c>
      <c r="B442" s="2" t="n">
        <v>43241.48140046297</v>
      </c>
      <c r="C442" t="n">
        <v>0</v>
      </c>
      <c r="D442" t="n">
        <v>7</v>
      </c>
      <c r="E442" t="s">
        <v>447</v>
      </c>
      <c r="F442">
        <f>HYPERLINK("http://pbs.twimg.com/media/DdnSwGlVwAED9h7.jpg", "http://pbs.twimg.com/media/DdnSwGlVwAED9h7.jpg")</f>
        <v/>
      </c>
      <c r="G442" t="s"/>
      <c r="H442" t="s"/>
      <c r="I442" t="s"/>
      <c r="J442" t="n">
        <v>-0.2732</v>
      </c>
      <c r="K442" t="n">
        <v>0.091</v>
      </c>
      <c r="L442" t="n">
        <v>0.909</v>
      </c>
      <c r="M442" t="n">
        <v>0</v>
      </c>
    </row>
    <row r="443" spans="1:13">
      <c r="A443" s="1">
        <f>HYPERLINK("http://www.twitter.com/NathanBLawrence/status/998527108631683072", "998527108631683072")</f>
        <v/>
      </c>
      <c r="B443" s="2" t="n">
        <v>43241.48135416667</v>
      </c>
      <c r="C443" t="n">
        <v>0</v>
      </c>
      <c r="D443" t="n">
        <v>3</v>
      </c>
      <c r="E443" t="s">
        <v>448</v>
      </c>
      <c r="F443" t="s"/>
      <c r="G443" t="s"/>
      <c r="H443" t="s"/>
      <c r="I443" t="s"/>
      <c r="J443" t="n">
        <v>0.7345</v>
      </c>
      <c r="K443" t="n">
        <v>0</v>
      </c>
      <c r="L443" t="n">
        <v>0.5639999999999999</v>
      </c>
      <c r="M443" t="n">
        <v>0.436</v>
      </c>
    </row>
    <row r="444" spans="1:13">
      <c r="A444" s="1">
        <f>HYPERLINK("http://www.twitter.com/NathanBLawrence/status/998527087819546624", "998527087819546624")</f>
        <v/>
      </c>
      <c r="B444" s="2" t="n">
        <v>43241.4812962963</v>
      </c>
      <c r="C444" t="n">
        <v>0</v>
      </c>
      <c r="D444" t="n">
        <v>4</v>
      </c>
      <c r="E444" t="s">
        <v>449</v>
      </c>
      <c r="F444" t="s"/>
      <c r="G444" t="s"/>
      <c r="H444" t="s"/>
      <c r="I444" t="s"/>
      <c r="J444" t="n">
        <v>0</v>
      </c>
      <c r="K444" t="n">
        <v>0</v>
      </c>
      <c r="L444" t="n">
        <v>1</v>
      </c>
      <c r="M444" t="n">
        <v>0</v>
      </c>
    </row>
    <row r="445" spans="1:13">
      <c r="A445" s="1">
        <f>HYPERLINK("http://www.twitter.com/NathanBLawrence/status/998521250275381250", "998521250275381250")</f>
        <v/>
      </c>
      <c r="B445" s="2" t="n">
        <v>43241.46518518519</v>
      </c>
      <c r="C445" t="n">
        <v>0</v>
      </c>
      <c r="D445" t="n">
        <v>1478</v>
      </c>
      <c r="E445" t="s">
        <v>450</v>
      </c>
      <c r="F445" t="s"/>
      <c r="G445" t="s"/>
      <c r="H445" t="s"/>
      <c r="I445" t="s"/>
      <c r="J445" t="n">
        <v>0</v>
      </c>
      <c r="K445" t="n">
        <v>0</v>
      </c>
      <c r="L445" t="n">
        <v>1</v>
      </c>
      <c r="M445" t="n">
        <v>0</v>
      </c>
    </row>
    <row r="446" spans="1:13">
      <c r="A446" s="1">
        <f>HYPERLINK("http://www.twitter.com/NathanBLawrence/status/998521206977585152", "998521206977585152")</f>
        <v/>
      </c>
      <c r="B446" s="2" t="n">
        <v>43241.46506944444</v>
      </c>
      <c r="C446" t="n">
        <v>0</v>
      </c>
      <c r="D446" t="n">
        <v>4</v>
      </c>
      <c r="E446" t="s">
        <v>451</v>
      </c>
      <c r="F446" t="s"/>
      <c r="G446" t="s"/>
      <c r="H446" t="s"/>
      <c r="I446" t="s"/>
      <c r="J446" t="n">
        <v>0.6705</v>
      </c>
      <c r="K446" t="n">
        <v>0</v>
      </c>
      <c r="L446" t="n">
        <v>0.732</v>
      </c>
      <c r="M446" t="n">
        <v>0.268</v>
      </c>
    </row>
    <row r="447" spans="1:13">
      <c r="A447" s="1">
        <f>HYPERLINK("http://www.twitter.com/NathanBLawrence/status/998521137003925504", "998521137003925504")</f>
        <v/>
      </c>
      <c r="B447" s="2" t="n">
        <v>43241.46487268519</v>
      </c>
      <c r="C447" t="n">
        <v>0</v>
      </c>
      <c r="D447" t="n">
        <v>0</v>
      </c>
      <c r="E447" t="s">
        <v>452</v>
      </c>
      <c r="F447" t="s"/>
      <c r="G447" t="s"/>
      <c r="H447" t="s"/>
      <c r="I447" t="s"/>
      <c r="J447" t="n">
        <v>0</v>
      </c>
      <c r="K447" t="n">
        <v>0</v>
      </c>
      <c r="L447" t="n">
        <v>1</v>
      </c>
      <c r="M447" t="n">
        <v>0</v>
      </c>
    </row>
    <row r="448" spans="1:13">
      <c r="A448" s="1">
        <f>HYPERLINK("http://www.twitter.com/NathanBLawrence/status/998521052606205952", "998521052606205952")</f>
        <v/>
      </c>
      <c r="B448" s="2" t="n">
        <v>43241.4646412037</v>
      </c>
      <c r="C448" t="n">
        <v>0</v>
      </c>
      <c r="D448" t="n">
        <v>0</v>
      </c>
      <c r="E448" t="s">
        <v>453</v>
      </c>
      <c r="F448" t="s"/>
      <c r="G448" t="s"/>
      <c r="H448" t="s"/>
      <c r="I448" t="s"/>
      <c r="J448" t="n">
        <v>0.4019</v>
      </c>
      <c r="K448" t="n">
        <v>0</v>
      </c>
      <c r="L448" t="n">
        <v>0.649</v>
      </c>
      <c r="M448" t="n">
        <v>0.351</v>
      </c>
    </row>
    <row r="449" spans="1:13">
      <c r="A449" s="1">
        <f>HYPERLINK("http://www.twitter.com/NathanBLawrence/status/998520994917691392", "998520994917691392")</f>
        <v/>
      </c>
      <c r="B449" s="2" t="n">
        <v>43241.46447916667</v>
      </c>
      <c r="C449" t="n">
        <v>0</v>
      </c>
      <c r="D449" t="n">
        <v>3029</v>
      </c>
      <c r="E449" t="s">
        <v>454</v>
      </c>
      <c r="F449" t="s"/>
      <c r="G449" t="s"/>
      <c r="H449" t="s"/>
      <c r="I449" t="s"/>
      <c r="J449" t="n">
        <v>-0.6705</v>
      </c>
      <c r="K449" t="n">
        <v>0.216</v>
      </c>
      <c r="L449" t="n">
        <v>0.784</v>
      </c>
      <c r="M449" t="n">
        <v>0</v>
      </c>
    </row>
    <row r="450" spans="1:13">
      <c r="A450" s="1">
        <f>HYPERLINK("http://www.twitter.com/NathanBLawrence/status/998520781394120704", "998520781394120704")</f>
        <v/>
      </c>
      <c r="B450" s="2" t="n">
        <v>43241.46388888889</v>
      </c>
      <c r="C450" t="n">
        <v>1</v>
      </c>
      <c r="D450" t="n">
        <v>1</v>
      </c>
      <c r="E450" t="s">
        <v>455</v>
      </c>
      <c r="F450" t="s"/>
      <c r="G450" t="s"/>
      <c r="H450" t="s"/>
      <c r="I450" t="s"/>
      <c r="J450" t="n">
        <v>0.4215</v>
      </c>
      <c r="K450" t="n">
        <v>0</v>
      </c>
      <c r="L450" t="n">
        <v>0.588</v>
      </c>
      <c r="M450" t="n">
        <v>0.412</v>
      </c>
    </row>
    <row r="451" spans="1:13">
      <c r="A451" s="1">
        <f>HYPERLINK("http://www.twitter.com/NathanBLawrence/status/998520703124234244", "998520703124234244")</f>
        <v/>
      </c>
      <c r="B451" s="2" t="n">
        <v>43241.46366898148</v>
      </c>
      <c r="C451" t="n">
        <v>0</v>
      </c>
      <c r="D451" t="n">
        <v>66</v>
      </c>
      <c r="E451" t="s">
        <v>456</v>
      </c>
      <c r="F451" t="s"/>
      <c r="G451" t="s"/>
      <c r="H451" t="s"/>
      <c r="I451" t="s"/>
      <c r="J451" t="n">
        <v>0.3182</v>
      </c>
      <c r="K451" t="n">
        <v>0</v>
      </c>
      <c r="L451" t="n">
        <v>0.859</v>
      </c>
      <c r="M451" t="n">
        <v>0.141</v>
      </c>
    </row>
    <row r="452" spans="1:13">
      <c r="A452" s="1">
        <f>HYPERLINK("http://www.twitter.com/NathanBLawrence/status/998520647323176962", "998520647323176962")</f>
        <v/>
      </c>
      <c r="B452" s="2" t="n">
        <v>43241.46351851852</v>
      </c>
      <c r="C452" t="n">
        <v>0</v>
      </c>
      <c r="D452" t="n">
        <v>0</v>
      </c>
      <c r="E452" t="s">
        <v>457</v>
      </c>
      <c r="F452" t="s"/>
      <c r="G452" t="s"/>
      <c r="H452" t="s"/>
      <c r="I452" t="s"/>
      <c r="J452" t="n">
        <v>-0.6124000000000001</v>
      </c>
      <c r="K452" t="n">
        <v>0.219</v>
      </c>
      <c r="L452" t="n">
        <v>0.702</v>
      </c>
      <c r="M452" t="n">
        <v>0.079</v>
      </c>
    </row>
    <row r="453" spans="1:13">
      <c r="A453" s="1">
        <f>HYPERLINK("http://www.twitter.com/NathanBLawrence/status/998520347593990144", "998520347593990144")</f>
        <v/>
      </c>
      <c r="B453" s="2" t="n">
        <v>43241.46269675926</v>
      </c>
      <c r="C453" t="n">
        <v>0</v>
      </c>
      <c r="D453" t="n">
        <v>160</v>
      </c>
      <c r="E453" t="s">
        <v>458</v>
      </c>
      <c r="F453">
        <f>HYPERLINK("https://video.twimg.com/amplify_video/998181680555835392/vid/1280x720/_lTglxLAJr9kOurI.mp4?tag=2", "https://video.twimg.com/amplify_video/998181680555835392/vid/1280x720/_lTglxLAJr9kOurI.mp4?tag=2")</f>
        <v/>
      </c>
      <c r="G453" t="s"/>
      <c r="H453" t="s"/>
      <c r="I453" t="s"/>
      <c r="J453" t="n">
        <v>-0.5719</v>
      </c>
      <c r="K453" t="n">
        <v>0.156</v>
      </c>
      <c r="L453" t="n">
        <v>0.844</v>
      </c>
      <c r="M453" t="n">
        <v>0</v>
      </c>
    </row>
    <row r="454" spans="1:13">
      <c r="A454" s="1">
        <f>HYPERLINK("http://www.twitter.com/NathanBLawrence/status/998520087375163392", "998520087375163392")</f>
        <v/>
      </c>
      <c r="B454" s="2" t="n">
        <v>43241.46197916667</v>
      </c>
      <c r="C454" t="n">
        <v>0</v>
      </c>
      <c r="D454" t="n">
        <v>5613</v>
      </c>
      <c r="E454" t="s">
        <v>459</v>
      </c>
      <c r="F454">
        <f>HYPERLINK("https://video.twimg.com/amplify_video/997171242451992576/vid/1280x720/9m4Y_p2LVeN6P27w.mp4?tag=2", "https://video.twimg.com/amplify_video/997171242451992576/vid/1280x720/9m4Y_p2LVeN6P27w.mp4?tag=2")</f>
        <v/>
      </c>
      <c r="G454" t="s"/>
      <c r="H454" t="s"/>
      <c r="I454" t="s"/>
      <c r="J454" t="n">
        <v>0.5542</v>
      </c>
      <c r="K454" t="n">
        <v>0</v>
      </c>
      <c r="L454" t="n">
        <v>0.821</v>
      </c>
      <c r="M454" t="n">
        <v>0.179</v>
      </c>
    </row>
    <row r="455" spans="1:13">
      <c r="A455" s="1">
        <f>HYPERLINK("http://www.twitter.com/NathanBLawrence/status/998520038217977856", "998520038217977856")</f>
        <v/>
      </c>
      <c r="B455" s="2" t="n">
        <v>43241.46184027778</v>
      </c>
      <c r="C455" t="n">
        <v>0</v>
      </c>
      <c r="D455" t="n">
        <v>5741</v>
      </c>
      <c r="E455" t="s">
        <v>460</v>
      </c>
      <c r="F455" t="s"/>
      <c r="G455" t="s"/>
      <c r="H455" t="s"/>
      <c r="I455" t="s"/>
      <c r="J455" t="n">
        <v>-0.5106000000000001</v>
      </c>
      <c r="K455" t="n">
        <v>0.155</v>
      </c>
      <c r="L455" t="n">
        <v>0.845</v>
      </c>
      <c r="M455" t="n">
        <v>0</v>
      </c>
    </row>
    <row r="456" spans="1:13">
      <c r="A456" s="1">
        <f>HYPERLINK("http://www.twitter.com/NathanBLawrence/status/998520011277963264", "998520011277963264")</f>
        <v/>
      </c>
      <c r="B456" s="2" t="n">
        <v>43241.46175925926</v>
      </c>
      <c r="C456" t="n">
        <v>0</v>
      </c>
      <c r="D456" t="n">
        <v>2370</v>
      </c>
      <c r="E456" t="s">
        <v>461</v>
      </c>
      <c r="F456" t="s"/>
      <c r="G456" t="s"/>
      <c r="H456" t="s"/>
      <c r="I456" t="s"/>
      <c r="J456" t="n">
        <v>0</v>
      </c>
      <c r="K456" t="n">
        <v>0</v>
      </c>
      <c r="L456" t="n">
        <v>1</v>
      </c>
      <c r="M456" t="n">
        <v>0</v>
      </c>
    </row>
    <row r="457" spans="1:13">
      <c r="A457" s="1">
        <f>HYPERLINK("http://www.twitter.com/NathanBLawrence/status/998519982215565312", "998519982215565312")</f>
        <v/>
      </c>
      <c r="B457" s="2" t="n">
        <v>43241.46168981482</v>
      </c>
      <c r="C457" t="n">
        <v>0</v>
      </c>
      <c r="D457" t="n">
        <v>45</v>
      </c>
      <c r="E457" t="s">
        <v>462</v>
      </c>
      <c r="F457" t="s"/>
      <c r="G457" t="s"/>
      <c r="H457" t="s"/>
      <c r="I457" t="s"/>
      <c r="J457" t="n">
        <v>0</v>
      </c>
      <c r="K457" t="n">
        <v>0</v>
      </c>
      <c r="L457" t="n">
        <v>1</v>
      </c>
      <c r="M457" t="n">
        <v>0</v>
      </c>
    </row>
    <row r="458" spans="1:13">
      <c r="A458" s="1">
        <f>HYPERLINK("http://www.twitter.com/NathanBLawrence/status/998519943607005185", "998519943607005185")</f>
        <v/>
      </c>
      <c r="B458" s="2" t="n">
        <v>43241.46157407408</v>
      </c>
      <c r="C458" t="n">
        <v>0</v>
      </c>
      <c r="D458" t="n">
        <v>1</v>
      </c>
      <c r="E458" t="s">
        <v>463</v>
      </c>
      <c r="F458" t="s"/>
      <c r="G458" t="s"/>
      <c r="H458" t="s"/>
      <c r="I458" t="s"/>
      <c r="J458" t="n">
        <v>-0.8779</v>
      </c>
      <c r="K458" t="n">
        <v>0.325</v>
      </c>
      <c r="L458" t="n">
        <v>0.675</v>
      </c>
      <c r="M458" t="n">
        <v>0</v>
      </c>
    </row>
    <row r="459" spans="1:13">
      <c r="A459" s="1">
        <f>HYPERLINK("http://www.twitter.com/NathanBLawrence/status/998519918592233472", "998519918592233472")</f>
        <v/>
      </c>
      <c r="B459" s="2" t="n">
        <v>43241.46150462963</v>
      </c>
      <c r="C459" t="n">
        <v>0</v>
      </c>
      <c r="D459" t="n">
        <v>2</v>
      </c>
      <c r="E459" t="s">
        <v>464</v>
      </c>
      <c r="F459" t="s"/>
      <c r="G459" t="s"/>
      <c r="H459" t="s"/>
      <c r="I459" t="s"/>
      <c r="J459" t="n">
        <v>0</v>
      </c>
      <c r="K459" t="n">
        <v>0</v>
      </c>
      <c r="L459" t="n">
        <v>1</v>
      </c>
      <c r="M459" t="n">
        <v>0</v>
      </c>
    </row>
    <row r="460" spans="1:13">
      <c r="A460" s="1">
        <f>HYPERLINK("http://www.twitter.com/NathanBLawrence/status/998519889936699393", "998519889936699393")</f>
        <v/>
      </c>
      <c r="B460" s="2" t="n">
        <v>43241.46143518519</v>
      </c>
      <c r="C460" t="n">
        <v>0</v>
      </c>
      <c r="D460" t="n">
        <v>96</v>
      </c>
      <c r="E460" t="s">
        <v>465</v>
      </c>
      <c r="F460">
        <f>HYPERLINK("http://pbs.twimg.com/media/DdrH5TDVAAAnpnf.jpg", "http://pbs.twimg.com/media/DdrH5TDVAAAnpnf.jpg")</f>
        <v/>
      </c>
      <c r="G460" t="s"/>
      <c r="H460" t="s"/>
      <c r="I460" t="s"/>
      <c r="J460" t="n">
        <v>0</v>
      </c>
      <c r="K460" t="n">
        <v>0</v>
      </c>
      <c r="L460" t="n">
        <v>1</v>
      </c>
      <c r="M460" t="n">
        <v>0</v>
      </c>
    </row>
    <row r="461" spans="1:13">
      <c r="A461" s="1">
        <f>HYPERLINK("http://www.twitter.com/NathanBLawrence/status/998519834139922433", "998519834139922433")</f>
        <v/>
      </c>
      <c r="B461" s="2" t="n">
        <v>43241.46127314815</v>
      </c>
      <c r="C461" t="n">
        <v>4</v>
      </c>
      <c r="D461" t="n">
        <v>0</v>
      </c>
      <c r="E461" t="s">
        <v>466</v>
      </c>
      <c r="F461" t="s"/>
      <c r="G461" t="s"/>
      <c r="H461" t="s"/>
      <c r="I461" t="s"/>
      <c r="J461" t="n">
        <v>0.5574</v>
      </c>
      <c r="K461" t="n">
        <v>0.05</v>
      </c>
      <c r="L461" t="n">
        <v>0.823</v>
      </c>
      <c r="M461" t="n">
        <v>0.128</v>
      </c>
    </row>
    <row r="462" spans="1:13">
      <c r="A462" s="1">
        <f>HYPERLINK("http://www.twitter.com/NathanBLawrence/status/998519796517007366", "998519796517007366")</f>
        <v/>
      </c>
      <c r="B462" s="2" t="n">
        <v>43241.46116898148</v>
      </c>
      <c r="C462" t="n">
        <v>0</v>
      </c>
      <c r="D462" t="n">
        <v>2</v>
      </c>
      <c r="E462" t="s">
        <v>467</v>
      </c>
      <c r="F462" t="s"/>
      <c r="G462" t="s"/>
      <c r="H462" t="s"/>
      <c r="I462" t="s"/>
      <c r="J462" t="n">
        <v>0.34</v>
      </c>
      <c r="K462" t="n">
        <v>0.08500000000000001</v>
      </c>
      <c r="L462" t="n">
        <v>0.778</v>
      </c>
      <c r="M462" t="n">
        <v>0.137</v>
      </c>
    </row>
    <row r="463" spans="1:13">
      <c r="A463" s="1">
        <f>HYPERLINK("http://www.twitter.com/NathanBLawrence/status/998519782893858816", "998519782893858816")</f>
        <v/>
      </c>
      <c r="B463" s="2" t="n">
        <v>43241.46113425926</v>
      </c>
      <c r="C463" t="n">
        <v>0</v>
      </c>
      <c r="D463" t="n">
        <v>1</v>
      </c>
      <c r="E463" t="s">
        <v>468</v>
      </c>
      <c r="F463" t="s"/>
      <c r="G463" t="s"/>
      <c r="H463" t="s"/>
      <c r="I463" t="s"/>
      <c r="J463" t="n">
        <v>0.6705</v>
      </c>
      <c r="K463" t="n">
        <v>0</v>
      </c>
      <c r="L463" t="n">
        <v>0.718</v>
      </c>
      <c r="M463" t="n">
        <v>0.282</v>
      </c>
    </row>
    <row r="464" spans="1:13">
      <c r="A464" s="1">
        <f>HYPERLINK("http://www.twitter.com/NathanBLawrence/status/998519763453337603", "998519763453337603")</f>
        <v/>
      </c>
      <c r="B464" s="2" t="n">
        <v>43241.46107638889</v>
      </c>
      <c r="C464" t="n">
        <v>1</v>
      </c>
      <c r="D464" t="n">
        <v>0</v>
      </c>
      <c r="E464" t="s">
        <v>469</v>
      </c>
      <c r="F464" t="s"/>
      <c r="G464" t="s"/>
      <c r="H464" t="s"/>
      <c r="I464" t="s"/>
      <c r="J464" t="n">
        <v>0</v>
      </c>
      <c r="K464" t="n">
        <v>0</v>
      </c>
      <c r="L464" t="n">
        <v>1</v>
      </c>
      <c r="M464" t="n">
        <v>0</v>
      </c>
    </row>
    <row r="465" spans="1:13">
      <c r="A465" s="1">
        <f>HYPERLINK("http://www.twitter.com/NathanBLawrence/status/998519559383584770", "998519559383584770")</f>
        <v/>
      </c>
      <c r="B465" s="2" t="n">
        <v>43241.46052083333</v>
      </c>
      <c r="C465" t="n">
        <v>0</v>
      </c>
      <c r="D465" t="n">
        <v>546</v>
      </c>
      <c r="E465" t="s">
        <v>470</v>
      </c>
      <c r="F465" t="s"/>
      <c r="G465" t="s"/>
      <c r="H465" t="s"/>
      <c r="I465" t="s"/>
      <c r="J465" t="n">
        <v>0.504</v>
      </c>
      <c r="K465" t="n">
        <v>0</v>
      </c>
      <c r="L465" t="n">
        <v>0.871</v>
      </c>
      <c r="M465" t="n">
        <v>0.129</v>
      </c>
    </row>
    <row r="466" spans="1:13">
      <c r="A466" s="1">
        <f>HYPERLINK("http://www.twitter.com/NathanBLawrence/status/998519460779741185", "998519460779741185")</f>
        <v/>
      </c>
      <c r="B466" s="2" t="n">
        <v>43241.46024305555</v>
      </c>
      <c r="C466" t="n">
        <v>0</v>
      </c>
      <c r="D466" t="n">
        <v>888</v>
      </c>
      <c r="E466" t="s">
        <v>471</v>
      </c>
      <c r="F466" t="s"/>
      <c r="G466" t="s"/>
      <c r="H466" t="s"/>
      <c r="I466" t="s"/>
      <c r="J466" t="n">
        <v>-0.6705</v>
      </c>
      <c r="K466" t="n">
        <v>0.234</v>
      </c>
      <c r="L466" t="n">
        <v>0.766</v>
      </c>
      <c r="M466" t="n">
        <v>0</v>
      </c>
    </row>
    <row r="467" spans="1:13">
      <c r="A467" s="1">
        <f>HYPERLINK("http://www.twitter.com/NathanBLawrence/status/998451579744374785", "998451579744374785")</f>
        <v/>
      </c>
      <c r="B467" s="2" t="n">
        <v>43241.27292824074</v>
      </c>
      <c r="C467" t="n">
        <v>0</v>
      </c>
      <c r="D467" t="n">
        <v>15</v>
      </c>
      <c r="E467" t="s">
        <v>472</v>
      </c>
      <c r="F467">
        <f>HYPERLINK("http://pbs.twimg.com/media/Ddex6rvVQAADfDn.jpg", "http://pbs.twimg.com/media/Ddex6rvVQAADfDn.jpg")</f>
        <v/>
      </c>
      <c r="G467" t="s"/>
      <c r="H467" t="s"/>
      <c r="I467" t="s"/>
      <c r="J467" t="n">
        <v>0.9719</v>
      </c>
      <c r="K467" t="n">
        <v>0</v>
      </c>
      <c r="L467" t="n">
        <v>0.368</v>
      </c>
      <c r="M467" t="n">
        <v>0.632</v>
      </c>
    </row>
    <row r="468" spans="1:13">
      <c r="A468" s="1">
        <f>HYPERLINK("http://www.twitter.com/NathanBLawrence/status/998451553416679424", "998451553416679424")</f>
        <v/>
      </c>
      <c r="B468" s="2" t="n">
        <v>43241.2728587963</v>
      </c>
      <c r="C468" t="n">
        <v>0</v>
      </c>
      <c r="D468" t="n">
        <v>53</v>
      </c>
      <c r="E468" t="s">
        <v>473</v>
      </c>
      <c r="F468" t="s"/>
      <c r="G468" t="s"/>
      <c r="H468" t="s"/>
      <c r="I468" t="s"/>
      <c r="J468" t="n">
        <v>0.2263</v>
      </c>
      <c r="K468" t="n">
        <v>0.104</v>
      </c>
      <c r="L468" t="n">
        <v>0.717</v>
      </c>
      <c r="M468" t="n">
        <v>0.179</v>
      </c>
    </row>
    <row r="469" spans="1:13">
      <c r="A469" s="1">
        <f>HYPERLINK("http://www.twitter.com/NathanBLawrence/status/998451445660864512", "998451445660864512")</f>
        <v/>
      </c>
      <c r="B469" s="2" t="n">
        <v>43241.27255787037</v>
      </c>
      <c r="C469" t="n">
        <v>0</v>
      </c>
      <c r="D469" t="n">
        <v>4877</v>
      </c>
      <c r="E469" t="s">
        <v>474</v>
      </c>
      <c r="F469" t="s"/>
      <c r="G469" t="s"/>
      <c r="H469" t="s"/>
      <c r="I469" t="s"/>
      <c r="J469" t="n">
        <v>-0.7029</v>
      </c>
      <c r="K469" t="n">
        <v>0.286</v>
      </c>
      <c r="L469" t="n">
        <v>0.553</v>
      </c>
      <c r="M469" t="n">
        <v>0.161</v>
      </c>
    </row>
    <row r="470" spans="1:13">
      <c r="A470" s="1">
        <f>HYPERLINK("http://www.twitter.com/NathanBLawrence/status/998451435074412549", "998451435074412549")</f>
        <v/>
      </c>
      <c r="B470" s="2" t="n">
        <v>43241.27253472222</v>
      </c>
      <c r="C470" t="n">
        <v>0</v>
      </c>
      <c r="D470" t="n">
        <v>53942</v>
      </c>
      <c r="E470" t="s">
        <v>475</v>
      </c>
      <c r="F470" t="s"/>
      <c r="G470" t="s"/>
      <c r="H470" t="s"/>
      <c r="I470" t="s"/>
      <c r="J470" t="n">
        <v>0.4404</v>
      </c>
      <c r="K470" t="n">
        <v>0.06</v>
      </c>
      <c r="L470" t="n">
        <v>0.803</v>
      </c>
      <c r="M470" t="n">
        <v>0.137</v>
      </c>
    </row>
    <row r="471" spans="1:13">
      <c r="A471" s="1">
        <f>HYPERLINK("http://www.twitter.com/NathanBLawrence/status/998445783736242178", "998445783736242178")</f>
        <v/>
      </c>
      <c r="B471" s="2" t="n">
        <v>43241.25693287037</v>
      </c>
      <c r="C471" t="n">
        <v>0</v>
      </c>
      <c r="D471" t="n">
        <v>0</v>
      </c>
      <c r="E471" t="s">
        <v>476</v>
      </c>
      <c r="F471" t="s"/>
      <c r="G471" t="s"/>
      <c r="H471" t="s"/>
      <c r="I471" t="s"/>
      <c r="J471" t="n">
        <v>0.34</v>
      </c>
      <c r="K471" t="n">
        <v>0</v>
      </c>
      <c r="L471" t="n">
        <v>0.915</v>
      </c>
      <c r="M471" t="n">
        <v>0.08500000000000001</v>
      </c>
    </row>
    <row r="472" spans="1:13">
      <c r="A472" s="1">
        <f>HYPERLINK("http://www.twitter.com/NathanBLawrence/status/998445499396055040", "998445499396055040")</f>
        <v/>
      </c>
      <c r="B472" s="2" t="n">
        <v>43241.25614583334</v>
      </c>
      <c r="C472" t="n">
        <v>0</v>
      </c>
      <c r="D472" t="n">
        <v>0</v>
      </c>
      <c r="E472" t="s">
        <v>477</v>
      </c>
      <c r="F472" t="s"/>
      <c r="G472" t="s"/>
      <c r="H472" t="s"/>
      <c r="I472" t="s"/>
      <c r="J472" t="n">
        <v>-0.3612</v>
      </c>
      <c r="K472" t="n">
        <v>0.169</v>
      </c>
      <c r="L472" t="n">
        <v>0.769</v>
      </c>
      <c r="M472" t="n">
        <v>0.062</v>
      </c>
    </row>
    <row r="473" spans="1:13">
      <c r="A473" s="1">
        <f>HYPERLINK("http://www.twitter.com/NathanBLawrence/status/998445120608489472", "998445120608489472")</f>
        <v/>
      </c>
      <c r="B473" s="2" t="n">
        <v>43241.25510416667</v>
      </c>
      <c r="C473" t="n">
        <v>0</v>
      </c>
      <c r="D473" t="n">
        <v>8</v>
      </c>
      <c r="E473" t="s">
        <v>478</v>
      </c>
      <c r="F473">
        <f>HYPERLINK("http://pbs.twimg.com/media/DdqpAeJU8AABOWQ.jpg", "http://pbs.twimg.com/media/DdqpAeJU8AABOWQ.jpg")</f>
        <v/>
      </c>
      <c r="G473" t="s"/>
      <c r="H473" t="s"/>
      <c r="I473" t="s"/>
      <c r="J473" t="n">
        <v>0.6588000000000001</v>
      </c>
      <c r="K473" t="n">
        <v>0</v>
      </c>
      <c r="L473" t="n">
        <v>0.785</v>
      </c>
      <c r="M473" t="n">
        <v>0.215</v>
      </c>
    </row>
    <row r="474" spans="1:13">
      <c r="A474" s="1">
        <f>HYPERLINK("http://www.twitter.com/NathanBLawrence/status/998444923258114048", "998444923258114048")</f>
        <v/>
      </c>
      <c r="B474" s="2" t="n">
        <v>43241.25456018518</v>
      </c>
      <c r="C474" t="n">
        <v>0</v>
      </c>
      <c r="D474" t="n">
        <v>9</v>
      </c>
      <c r="E474" t="s">
        <v>479</v>
      </c>
      <c r="F474">
        <f>HYPERLINK("http://pbs.twimg.com/media/DdrOZbDUwAIs4yI.jpg", "http://pbs.twimg.com/media/DdrOZbDUwAIs4yI.jpg")</f>
        <v/>
      </c>
      <c r="G474" t="s"/>
      <c r="H474" t="s"/>
      <c r="I474" t="s"/>
      <c r="J474" t="n">
        <v>-0.4767</v>
      </c>
      <c r="K474" t="n">
        <v>0.163</v>
      </c>
      <c r="L474" t="n">
        <v>0.837</v>
      </c>
      <c r="M474" t="n">
        <v>0</v>
      </c>
    </row>
    <row r="475" spans="1:13">
      <c r="A475" s="1">
        <f>HYPERLINK("http://www.twitter.com/NathanBLawrence/status/998444889032613888", "998444889032613888")</f>
        <v/>
      </c>
      <c r="B475" s="2" t="n">
        <v>43241.25446759259</v>
      </c>
      <c r="C475" t="n">
        <v>0</v>
      </c>
      <c r="D475" t="n">
        <v>31</v>
      </c>
      <c r="E475" t="s">
        <v>480</v>
      </c>
      <c r="F475">
        <f>HYPERLINK("http://pbs.twimg.com/media/DdrtPbAVAAAW30O.jpg", "http://pbs.twimg.com/media/DdrtPbAVAAAW30O.jpg")</f>
        <v/>
      </c>
      <c r="G475" t="s"/>
      <c r="H475" t="s"/>
      <c r="I475" t="s"/>
      <c r="J475" t="n">
        <v>0.8481</v>
      </c>
      <c r="K475" t="n">
        <v>0</v>
      </c>
      <c r="L475" t="n">
        <v>0.647</v>
      </c>
      <c r="M475" t="n">
        <v>0.353</v>
      </c>
    </row>
    <row r="476" spans="1:13">
      <c r="A476" s="1">
        <f>HYPERLINK("http://www.twitter.com/NathanBLawrence/status/998444839577538560", "998444839577538560")</f>
        <v/>
      </c>
      <c r="B476" s="2" t="n">
        <v>43241.2543287037</v>
      </c>
      <c r="C476" t="n">
        <v>0</v>
      </c>
      <c r="D476" t="n">
        <v>16</v>
      </c>
      <c r="E476" t="s">
        <v>481</v>
      </c>
      <c r="F476" t="s"/>
      <c r="G476" t="s"/>
      <c r="H476" t="s"/>
      <c r="I476" t="s"/>
      <c r="J476" t="n">
        <v>0.3182</v>
      </c>
      <c r="K476" t="n">
        <v>0</v>
      </c>
      <c r="L476" t="n">
        <v>0.892</v>
      </c>
      <c r="M476" t="n">
        <v>0.108</v>
      </c>
    </row>
    <row r="477" spans="1:13">
      <c r="A477" s="1">
        <f>HYPERLINK("http://www.twitter.com/NathanBLawrence/status/998444785982754816", "998444785982754816")</f>
        <v/>
      </c>
      <c r="B477" s="2" t="n">
        <v>43241.25417824074</v>
      </c>
      <c r="C477" t="n">
        <v>0</v>
      </c>
      <c r="D477" t="n">
        <v>3</v>
      </c>
      <c r="E477" t="s">
        <v>482</v>
      </c>
      <c r="F477" t="s"/>
      <c r="G477" t="s"/>
      <c r="H477" t="s"/>
      <c r="I477" t="s"/>
      <c r="J477" t="n">
        <v>0</v>
      </c>
      <c r="K477" t="n">
        <v>0</v>
      </c>
      <c r="L477" t="n">
        <v>1</v>
      </c>
      <c r="M477" t="n">
        <v>0</v>
      </c>
    </row>
    <row r="478" spans="1:13">
      <c r="A478" s="1">
        <f>HYPERLINK("http://www.twitter.com/NathanBLawrence/status/998444684858089473", "998444684858089473")</f>
        <v/>
      </c>
      <c r="B478" s="2" t="n">
        <v>43241.25390046297</v>
      </c>
      <c r="C478" t="n">
        <v>0</v>
      </c>
      <c r="D478" t="n">
        <v>5</v>
      </c>
      <c r="E478" t="s">
        <v>483</v>
      </c>
      <c r="F478" t="s"/>
      <c r="G478" t="s"/>
      <c r="H478" t="s"/>
      <c r="I478" t="s"/>
      <c r="J478" t="n">
        <v>-0.1027</v>
      </c>
      <c r="K478" t="n">
        <v>0.139</v>
      </c>
      <c r="L478" t="n">
        <v>0.743</v>
      </c>
      <c r="M478" t="n">
        <v>0.119</v>
      </c>
    </row>
    <row r="479" spans="1:13">
      <c r="A479" s="1">
        <f>HYPERLINK("http://www.twitter.com/NathanBLawrence/status/998444079649382400", "998444079649382400")</f>
        <v/>
      </c>
      <c r="B479" s="2" t="n">
        <v>43241.25223379629</v>
      </c>
      <c r="C479" t="n">
        <v>0</v>
      </c>
      <c r="D479" t="n">
        <v>0</v>
      </c>
      <c r="E479" t="s">
        <v>484</v>
      </c>
      <c r="F479" t="s"/>
      <c r="G479" t="s"/>
      <c r="H479" t="s"/>
      <c r="I479" t="s"/>
      <c r="J479" t="n">
        <v>0</v>
      </c>
      <c r="K479" t="n">
        <v>0</v>
      </c>
      <c r="L479" t="n">
        <v>1</v>
      </c>
      <c r="M479" t="n">
        <v>0</v>
      </c>
    </row>
    <row r="480" spans="1:13">
      <c r="A480" s="1">
        <f>HYPERLINK("http://www.twitter.com/NathanBLawrence/status/998443629344690176", "998443629344690176")</f>
        <v/>
      </c>
      <c r="B480" s="2" t="n">
        <v>43241.25099537037</v>
      </c>
      <c r="C480" t="n">
        <v>3</v>
      </c>
      <c r="D480" t="n">
        <v>2</v>
      </c>
      <c r="E480" t="s">
        <v>485</v>
      </c>
      <c r="F480" t="s"/>
      <c r="G480" t="s"/>
      <c r="H480" t="s"/>
      <c r="I480" t="s"/>
      <c r="J480" t="n">
        <v>0.3182</v>
      </c>
      <c r="K480" t="n">
        <v>0.078</v>
      </c>
      <c r="L480" t="n">
        <v>0.824</v>
      </c>
      <c r="M480" t="n">
        <v>0.099</v>
      </c>
    </row>
    <row r="481" spans="1:13">
      <c r="A481" s="1">
        <f>HYPERLINK("http://www.twitter.com/NathanBLawrence/status/998442848050733056", "998442848050733056")</f>
        <v/>
      </c>
      <c r="B481" s="2" t="n">
        <v>43241.24883101852</v>
      </c>
      <c r="C481" t="n">
        <v>1</v>
      </c>
      <c r="D481" t="n">
        <v>0</v>
      </c>
      <c r="E481" t="s">
        <v>486</v>
      </c>
      <c r="F481" t="s"/>
      <c r="G481" t="s"/>
      <c r="H481" t="s"/>
      <c r="I481" t="s"/>
      <c r="J481" t="n">
        <v>-0.431</v>
      </c>
      <c r="K481" t="n">
        <v>0.114</v>
      </c>
      <c r="L481" t="n">
        <v>0.806</v>
      </c>
      <c r="M481" t="n">
        <v>0.081</v>
      </c>
    </row>
    <row r="482" spans="1:13">
      <c r="A482" s="1">
        <f>HYPERLINK("http://www.twitter.com/NathanBLawrence/status/998441812342837248", "998441812342837248")</f>
        <v/>
      </c>
      <c r="B482" s="2" t="n">
        <v>43241.24597222222</v>
      </c>
      <c r="C482" t="n">
        <v>2</v>
      </c>
      <c r="D482" t="n">
        <v>0</v>
      </c>
      <c r="E482" t="s">
        <v>487</v>
      </c>
      <c r="F482" t="s"/>
      <c r="G482" t="s"/>
      <c r="H482" t="s"/>
      <c r="I482" t="s"/>
      <c r="J482" t="n">
        <v>-0.5719</v>
      </c>
      <c r="K482" t="n">
        <v>0.06900000000000001</v>
      </c>
      <c r="L482" t="n">
        <v>0.931</v>
      </c>
      <c r="M482" t="n">
        <v>0</v>
      </c>
    </row>
    <row r="483" spans="1:13">
      <c r="A483" s="1">
        <f>HYPERLINK("http://www.twitter.com/NathanBLawrence/status/998441536068210688", "998441536068210688")</f>
        <v/>
      </c>
      <c r="B483" s="2" t="n">
        <v>43241.24521990741</v>
      </c>
      <c r="C483" t="n">
        <v>1</v>
      </c>
      <c r="D483" t="n">
        <v>0</v>
      </c>
      <c r="E483" t="s">
        <v>488</v>
      </c>
      <c r="F483" t="s"/>
      <c r="G483" t="s"/>
      <c r="H483" t="s"/>
      <c r="I483" t="s"/>
      <c r="J483" t="n">
        <v>-0.6002999999999999</v>
      </c>
      <c r="K483" t="n">
        <v>0.136</v>
      </c>
      <c r="L483" t="n">
        <v>0.8169999999999999</v>
      </c>
      <c r="M483" t="n">
        <v>0.047</v>
      </c>
    </row>
    <row r="484" spans="1:13">
      <c r="A484" s="1">
        <f>HYPERLINK("http://www.twitter.com/NathanBLawrence/status/998440912026992640", "998440912026992640")</f>
        <v/>
      </c>
      <c r="B484" s="2" t="n">
        <v>43241.24349537037</v>
      </c>
      <c r="C484" t="n">
        <v>1</v>
      </c>
      <c r="D484" t="n">
        <v>0</v>
      </c>
      <c r="E484" t="s">
        <v>489</v>
      </c>
      <c r="F484" t="s"/>
      <c r="G484" t="s"/>
      <c r="H484" t="s"/>
      <c r="I484" t="s"/>
      <c r="J484" t="n">
        <v>-0.3182</v>
      </c>
      <c r="K484" t="n">
        <v>0.094</v>
      </c>
      <c r="L484" t="n">
        <v>0.858</v>
      </c>
      <c r="M484" t="n">
        <v>0.048</v>
      </c>
    </row>
    <row r="485" spans="1:13">
      <c r="A485" s="1">
        <f>HYPERLINK("http://www.twitter.com/NathanBLawrence/status/998440476763213824", "998440476763213824")</f>
        <v/>
      </c>
      <c r="B485" s="2" t="n">
        <v>43241.24229166667</v>
      </c>
      <c r="C485" t="n">
        <v>1</v>
      </c>
      <c r="D485" t="n">
        <v>0</v>
      </c>
      <c r="E485" t="s">
        <v>490</v>
      </c>
      <c r="F485" t="s"/>
      <c r="G485" t="s"/>
      <c r="H485" t="s"/>
      <c r="I485" t="s"/>
      <c r="J485" t="n">
        <v>-0.6969</v>
      </c>
      <c r="K485" t="n">
        <v>0.199</v>
      </c>
      <c r="L485" t="n">
        <v>0.7</v>
      </c>
      <c r="M485" t="n">
        <v>0.101</v>
      </c>
    </row>
    <row r="486" spans="1:13">
      <c r="A486" s="1">
        <f>HYPERLINK("http://www.twitter.com/NathanBLawrence/status/998439531669049344", "998439531669049344")</f>
        <v/>
      </c>
      <c r="B486" s="2" t="n">
        <v>43241.2396875</v>
      </c>
      <c r="C486" t="n">
        <v>1</v>
      </c>
      <c r="D486" t="n">
        <v>0</v>
      </c>
      <c r="E486" t="s">
        <v>491</v>
      </c>
      <c r="F486" t="s"/>
      <c r="G486" t="s"/>
      <c r="H486" t="s"/>
      <c r="I486" t="s"/>
      <c r="J486" t="n">
        <v>-0.34</v>
      </c>
      <c r="K486" t="n">
        <v>0.167</v>
      </c>
      <c r="L486" t="n">
        <v>0.833</v>
      </c>
      <c r="M486" t="n">
        <v>0</v>
      </c>
    </row>
    <row r="487" spans="1:13">
      <c r="A487" s="1">
        <f>HYPERLINK("http://www.twitter.com/NathanBLawrence/status/998439396633432065", "998439396633432065")</f>
        <v/>
      </c>
      <c r="B487" s="2" t="n">
        <v>43241.23930555556</v>
      </c>
      <c r="C487" t="n">
        <v>2</v>
      </c>
      <c r="D487" t="n">
        <v>0</v>
      </c>
      <c r="E487" t="s">
        <v>492</v>
      </c>
      <c r="F487" t="s"/>
      <c r="G487" t="s"/>
      <c r="H487" t="s"/>
      <c r="I487" t="s"/>
      <c r="J487" t="n">
        <v>0.3887</v>
      </c>
      <c r="K487" t="n">
        <v>0.03</v>
      </c>
      <c r="L487" t="n">
        <v>0.873</v>
      </c>
      <c r="M487" t="n">
        <v>0.096</v>
      </c>
    </row>
    <row r="488" spans="1:13">
      <c r="A488" s="1">
        <f>HYPERLINK("http://www.twitter.com/NathanBLawrence/status/998438829043351552", "998438829043351552")</f>
        <v/>
      </c>
      <c r="B488" s="2" t="n">
        <v>43241.23774305556</v>
      </c>
      <c r="C488" t="n">
        <v>0</v>
      </c>
      <c r="D488" t="n">
        <v>0</v>
      </c>
      <c r="E488" t="s">
        <v>493</v>
      </c>
      <c r="F488" t="s"/>
      <c r="G488" t="s"/>
      <c r="H488" t="s"/>
      <c r="I488" t="s"/>
      <c r="J488" t="n">
        <v>0.765</v>
      </c>
      <c r="K488" t="n">
        <v>0.03</v>
      </c>
      <c r="L488" t="n">
        <v>0.831</v>
      </c>
      <c r="M488" t="n">
        <v>0.14</v>
      </c>
    </row>
    <row r="489" spans="1:13">
      <c r="A489" s="1">
        <f>HYPERLINK("http://www.twitter.com/NathanBLawrence/status/998438255942086656", "998438255942086656")</f>
        <v/>
      </c>
      <c r="B489" s="2" t="n">
        <v>43241.23615740741</v>
      </c>
      <c r="C489" t="n">
        <v>2</v>
      </c>
      <c r="D489" t="n">
        <v>0</v>
      </c>
      <c r="E489" t="s">
        <v>494</v>
      </c>
      <c r="F489" t="s"/>
      <c r="G489" t="s"/>
      <c r="H489" t="s"/>
      <c r="I489" t="s"/>
      <c r="J489" t="n">
        <v>0.128</v>
      </c>
      <c r="K489" t="n">
        <v>0.138</v>
      </c>
      <c r="L489" t="n">
        <v>0.736</v>
      </c>
      <c r="M489" t="n">
        <v>0.126</v>
      </c>
    </row>
    <row r="490" spans="1:13">
      <c r="A490" s="1">
        <f>HYPERLINK("http://www.twitter.com/NathanBLawrence/status/998437938911498240", "998437938911498240")</f>
        <v/>
      </c>
      <c r="B490" s="2" t="n">
        <v>43241.23528935185</v>
      </c>
      <c r="C490" t="n">
        <v>3</v>
      </c>
      <c r="D490" t="n">
        <v>1</v>
      </c>
      <c r="E490" t="s">
        <v>495</v>
      </c>
      <c r="F490" t="s"/>
      <c r="G490" t="s"/>
      <c r="H490" t="s"/>
      <c r="I490" t="s"/>
      <c r="J490" t="n">
        <v>-0.2263</v>
      </c>
      <c r="K490" t="n">
        <v>0.143</v>
      </c>
      <c r="L490" t="n">
        <v>0.756</v>
      </c>
      <c r="M490" t="n">
        <v>0.102</v>
      </c>
    </row>
    <row r="491" spans="1:13">
      <c r="A491" s="1">
        <f>HYPERLINK("http://www.twitter.com/NathanBLawrence/status/998437514221359105", "998437514221359105")</f>
        <v/>
      </c>
      <c r="B491" s="2" t="n">
        <v>43241.23412037037</v>
      </c>
      <c r="C491" t="n">
        <v>6</v>
      </c>
      <c r="D491" t="n">
        <v>2</v>
      </c>
      <c r="E491" t="s">
        <v>496</v>
      </c>
      <c r="F491" t="s"/>
      <c r="G491" t="s"/>
      <c r="H491" t="s"/>
      <c r="I491" t="s"/>
      <c r="J491" t="n">
        <v>-0.5719</v>
      </c>
      <c r="K491" t="n">
        <v>0.07000000000000001</v>
      </c>
      <c r="L491" t="n">
        <v>0.906</v>
      </c>
      <c r="M491" t="n">
        <v>0.024</v>
      </c>
    </row>
    <row r="492" spans="1:13">
      <c r="A492" s="1">
        <f>HYPERLINK("http://www.twitter.com/NathanBLawrence/status/998437088830910464", "998437088830910464")</f>
        <v/>
      </c>
      <c r="B492" s="2" t="n">
        <v>43241.23293981481</v>
      </c>
      <c r="C492" t="n">
        <v>2</v>
      </c>
      <c r="D492" t="n">
        <v>0</v>
      </c>
      <c r="E492" t="s">
        <v>497</v>
      </c>
      <c r="F492" t="s"/>
      <c r="G492" t="s"/>
      <c r="H492" t="s"/>
      <c r="I492" t="s"/>
      <c r="J492" t="n">
        <v>-0.5574</v>
      </c>
      <c r="K492" t="n">
        <v>0.108</v>
      </c>
      <c r="L492" t="n">
        <v>0.848</v>
      </c>
      <c r="M492" t="n">
        <v>0.043</v>
      </c>
    </row>
    <row r="493" spans="1:13">
      <c r="A493" s="1">
        <f>HYPERLINK("http://www.twitter.com/NathanBLawrence/status/998435762805903360", "998435762805903360")</f>
        <v/>
      </c>
      <c r="B493" s="2" t="n">
        <v>43241.22928240741</v>
      </c>
      <c r="C493" t="n">
        <v>2</v>
      </c>
      <c r="D493" t="n">
        <v>0</v>
      </c>
      <c r="E493" t="s">
        <v>498</v>
      </c>
      <c r="F493" t="s"/>
      <c r="G493" t="s"/>
      <c r="H493" t="s"/>
      <c r="I493" t="s"/>
      <c r="J493" t="n">
        <v>-0.6199</v>
      </c>
      <c r="K493" t="n">
        <v>0.119</v>
      </c>
      <c r="L493" t="n">
        <v>0.8080000000000001</v>
      </c>
      <c r="M493" t="n">
        <v>0.073</v>
      </c>
    </row>
    <row r="494" spans="1:13">
      <c r="A494" s="1">
        <f>HYPERLINK("http://www.twitter.com/NathanBLawrence/status/998435235980349440", "998435235980349440")</f>
        <v/>
      </c>
      <c r="B494" s="2" t="n">
        <v>43241.22782407407</v>
      </c>
      <c r="C494" t="n">
        <v>1</v>
      </c>
      <c r="D494" t="n">
        <v>0</v>
      </c>
      <c r="E494" t="s">
        <v>499</v>
      </c>
      <c r="F494" t="s"/>
      <c r="G494" t="s"/>
      <c r="H494" t="s"/>
      <c r="I494" t="s"/>
      <c r="J494" t="n">
        <v>-0.5574</v>
      </c>
      <c r="K494" t="n">
        <v>0.14</v>
      </c>
      <c r="L494" t="n">
        <v>0.797</v>
      </c>
      <c r="M494" t="n">
        <v>0.063</v>
      </c>
    </row>
    <row r="495" spans="1:13">
      <c r="A495" s="1">
        <f>HYPERLINK("http://www.twitter.com/NathanBLawrence/status/998434707946778630", "998434707946778630")</f>
        <v/>
      </c>
      <c r="B495" s="2" t="n">
        <v>43241.22637731482</v>
      </c>
      <c r="C495" t="n">
        <v>3</v>
      </c>
      <c r="D495" t="n">
        <v>1</v>
      </c>
      <c r="E495" t="s">
        <v>500</v>
      </c>
      <c r="F495" t="s"/>
      <c r="G495" t="s"/>
      <c r="H495" t="s"/>
      <c r="I495" t="s"/>
      <c r="J495" t="n">
        <v>-0.9499</v>
      </c>
      <c r="K495" t="n">
        <v>0.285</v>
      </c>
      <c r="L495" t="n">
        <v>0.715</v>
      </c>
      <c r="M495" t="n">
        <v>0</v>
      </c>
    </row>
    <row r="496" spans="1:13">
      <c r="A496" s="1">
        <f>HYPERLINK("http://www.twitter.com/NathanBLawrence/status/998434268832567296", "998434268832567296")</f>
        <v/>
      </c>
      <c r="B496" s="2" t="n">
        <v>43241.22516203704</v>
      </c>
      <c r="C496" t="n">
        <v>3</v>
      </c>
      <c r="D496" t="n">
        <v>1</v>
      </c>
      <c r="E496" t="s">
        <v>501</v>
      </c>
      <c r="F496" t="s"/>
      <c r="G496" t="s"/>
      <c r="H496" t="s"/>
      <c r="I496" t="s"/>
      <c r="J496" t="n">
        <v>-0.6261</v>
      </c>
      <c r="K496" t="n">
        <v>0.153</v>
      </c>
      <c r="L496" t="n">
        <v>0.796</v>
      </c>
      <c r="M496" t="n">
        <v>0.051</v>
      </c>
    </row>
    <row r="497" spans="1:13">
      <c r="A497" s="1">
        <f>HYPERLINK("http://www.twitter.com/NathanBLawrence/status/998433791541698560", "998433791541698560")</f>
        <v/>
      </c>
      <c r="B497" s="2" t="n">
        <v>43241.22384259259</v>
      </c>
      <c r="C497" t="n">
        <v>3</v>
      </c>
      <c r="D497" t="n">
        <v>1</v>
      </c>
      <c r="E497" t="s">
        <v>502</v>
      </c>
      <c r="F497" t="s"/>
      <c r="G497" t="s"/>
      <c r="H497" t="s"/>
      <c r="I497" t="s"/>
      <c r="J497" t="n">
        <v>-0.492</v>
      </c>
      <c r="K497" t="n">
        <v>0.073</v>
      </c>
      <c r="L497" t="n">
        <v>0.927</v>
      </c>
      <c r="M497" t="n">
        <v>0</v>
      </c>
    </row>
    <row r="498" spans="1:13">
      <c r="A498" s="1">
        <f>HYPERLINK("http://www.twitter.com/NathanBLawrence/status/998433169740324864", "998433169740324864")</f>
        <v/>
      </c>
      <c r="B498" s="2" t="n">
        <v>43241.22212962963</v>
      </c>
      <c r="C498" t="n">
        <v>3</v>
      </c>
      <c r="D498" t="n">
        <v>0</v>
      </c>
      <c r="E498" t="s">
        <v>503</v>
      </c>
      <c r="F498" t="s"/>
      <c r="G498" t="s"/>
      <c r="H498" t="s"/>
      <c r="I498" t="s"/>
      <c r="J498" t="n">
        <v>0.4274</v>
      </c>
      <c r="K498" t="n">
        <v>0.08699999999999999</v>
      </c>
      <c r="L498" t="n">
        <v>0.774</v>
      </c>
      <c r="M498" t="n">
        <v>0.138</v>
      </c>
    </row>
    <row r="499" spans="1:13">
      <c r="A499" s="1">
        <f>HYPERLINK("http://www.twitter.com/NathanBLawrence/status/998432712405999621", "998432712405999621")</f>
        <v/>
      </c>
      <c r="B499" s="2" t="n">
        <v>43241.22086805556</v>
      </c>
      <c r="C499" t="n">
        <v>6</v>
      </c>
      <c r="D499" t="n">
        <v>2</v>
      </c>
      <c r="E499" t="s">
        <v>504</v>
      </c>
      <c r="F499" t="s"/>
      <c r="G499" t="s"/>
      <c r="H499" t="s"/>
      <c r="I499" t="s"/>
      <c r="J499" t="n">
        <v>-0.7269</v>
      </c>
      <c r="K499" t="n">
        <v>0.133</v>
      </c>
      <c r="L499" t="n">
        <v>0.836</v>
      </c>
      <c r="M499" t="n">
        <v>0.031</v>
      </c>
    </row>
    <row r="500" spans="1:13">
      <c r="A500" s="1">
        <f>HYPERLINK("http://www.twitter.com/NathanBLawrence/status/998432076822179840", "998432076822179840")</f>
        <v/>
      </c>
      <c r="B500" s="2" t="n">
        <v>43241.21910879629</v>
      </c>
      <c r="C500" t="n">
        <v>7</v>
      </c>
      <c r="D500" t="n">
        <v>2</v>
      </c>
      <c r="E500" t="s">
        <v>505</v>
      </c>
      <c r="F500" t="s"/>
      <c r="G500" t="s"/>
      <c r="H500" t="s"/>
      <c r="I500" t="s"/>
      <c r="J500" t="n">
        <v>0.6124000000000001</v>
      </c>
      <c r="K500" t="n">
        <v>0.057</v>
      </c>
      <c r="L500" t="n">
        <v>0.819</v>
      </c>
      <c r="M500" t="n">
        <v>0.124</v>
      </c>
    </row>
    <row r="501" spans="1:13">
      <c r="A501" s="1">
        <f>HYPERLINK("http://www.twitter.com/NathanBLawrence/status/998431001608163328", "998431001608163328")</f>
        <v/>
      </c>
      <c r="B501" s="2" t="n">
        <v>43241.21614583334</v>
      </c>
      <c r="C501" t="n">
        <v>0</v>
      </c>
      <c r="D501" t="n">
        <v>0</v>
      </c>
      <c r="E501" t="s">
        <v>506</v>
      </c>
      <c r="F501">
        <f>HYPERLINK("http://pbs.twimg.com/media/Ddsjr14U0AACeZN.jpg", "http://pbs.twimg.com/media/Ddsjr14U0AACeZN.jpg")</f>
        <v/>
      </c>
      <c r="G501" t="s"/>
      <c r="H501" t="s"/>
      <c r="I501" t="s"/>
      <c r="J501" t="n">
        <v>0</v>
      </c>
      <c r="K501" t="n">
        <v>0</v>
      </c>
      <c r="L501" t="n">
        <v>1</v>
      </c>
      <c r="M501" t="n">
        <v>0</v>
      </c>
    </row>
    <row r="502" spans="1:13">
      <c r="A502" s="1">
        <f>HYPERLINK("http://www.twitter.com/NathanBLawrence/status/998428493837893633", "998428493837893633")</f>
        <v/>
      </c>
      <c r="B502" s="2" t="n">
        <v>43241.20922453704</v>
      </c>
      <c r="C502" t="n">
        <v>5</v>
      </c>
      <c r="D502" t="n">
        <v>3</v>
      </c>
      <c r="E502" t="s">
        <v>507</v>
      </c>
      <c r="F502" t="s"/>
      <c r="G502" t="s"/>
      <c r="H502" t="s"/>
      <c r="I502" t="s"/>
      <c r="J502" t="n">
        <v>0</v>
      </c>
      <c r="K502" t="n">
        <v>0</v>
      </c>
      <c r="L502" t="n">
        <v>1</v>
      </c>
      <c r="M502" t="n">
        <v>0</v>
      </c>
    </row>
    <row r="503" spans="1:13">
      <c r="A503" s="1">
        <f>HYPERLINK("http://www.twitter.com/NathanBLawrence/status/998428045953454080", "998428045953454080")</f>
        <v/>
      </c>
      <c r="B503" s="2" t="n">
        <v>43241.20798611111</v>
      </c>
      <c r="C503" t="n">
        <v>0</v>
      </c>
      <c r="D503" t="n">
        <v>0</v>
      </c>
      <c r="E503" t="s">
        <v>508</v>
      </c>
      <c r="F503" t="s"/>
      <c r="G503" t="s"/>
      <c r="H503" t="s"/>
      <c r="I503" t="s"/>
      <c r="J503" t="n">
        <v>0.7351</v>
      </c>
      <c r="K503" t="n">
        <v>0.02</v>
      </c>
      <c r="L503" t="n">
        <v>0.856</v>
      </c>
      <c r="M503" t="n">
        <v>0.124</v>
      </c>
    </row>
    <row r="504" spans="1:13">
      <c r="A504" s="1">
        <f>HYPERLINK("http://www.twitter.com/NathanBLawrence/status/998427534126665728", "998427534126665728")</f>
        <v/>
      </c>
      <c r="B504" s="2" t="n">
        <v>43241.20657407407</v>
      </c>
      <c r="C504" t="n">
        <v>2</v>
      </c>
      <c r="D504" t="n">
        <v>0</v>
      </c>
      <c r="E504" t="s">
        <v>509</v>
      </c>
      <c r="F504" t="s"/>
      <c r="G504" t="s"/>
      <c r="H504" t="s"/>
      <c r="I504" t="s"/>
      <c r="J504" t="n">
        <v>0</v>
      </c>
      <c r="K504" t="n">
        <v>0</v>
      </c>
      <c r="L504" t="n">
        <v>1</v>
      </c>
      <c r="M504" t="n">
        <v>0</v>
      </c>
    </row>
    <row r="505" spans="1:13">
      <c r="A505" s="1">
        <f>HYPERLINK("http://www.twitter.com/NathanBLawrence/status/998427443785601025", "998427443785601025")</f>
        <v/>
      </c>
      <c r="B505" s="2" t="n">
        <v>43241.20633101852</v>
      </c>
      <c r="C505" t="n">
        <v>1</v>
      </c>
      <c r="D505" t="n">
        <v>0</v>
      </c>
      <c r="E505" t="s">
        <v>510</v>
      </c>
      <c r="F505" t="s"/>
      <c r="G505" t="s"/>
      <c r="H505" t="s"/>
      <c r="I505" t="s"/>
      <c r="J505" t="n">
        <v>-0.3818</v>
      </c>
      <c r="K505" t="n">
        <v>0.127</v>
      </c>
      <c r="L505" t="n">
        <v>0.826</v>
      </c>
      <c r="M505" t="n">
        <v>0.047</v>
      </c>
    </row>
    <row r="506" spans="1:13">
      <c r="A506" s="1">
        <f>HYPERLINK("http://www.twitter.com/NathanBLawrence/status/998427239095197697", "998427239095197697")</f>
        <v/>
      </c>
      <c r="B506" s="2" t="n">
        <v>43241.20576388889</v>
      </c>
      <c r="C506" t="n">
        <v>2</v>
      </c>
      <c r="D506" t="n">
        <v>0</v>
      </c>
      <c r="E506" t="s">
        <v>511</v>
      </c>
      <c r="F506" t="s"/>
      <c r="G506" t="s"/>
      <c r="H506" t="s"/>
      <c r="I506" t="s"/>
      <c r="J506" t="n">
        <v>0.4588</v>
      </c>
      <c r="K506" t="n">
        <v>0.061</v>
      </c>
      <c r="L506" t="n">
        <v>0.804</v>
      </c>
      <c r="M506" t="n">
        <v>0.135</v>
      </c>
    </row>
    <row r="507" spans="1:13">
      <c r="A507" s="1">
        <f>HYPERLINK("http://www.twitter.com/NathanBLawrence/status/998426687187668992", "998426687187668992")</f>
        <v/>
      </c>
      <c r="B507" s="2" t="n">
        <v>43241.20423611111</v>
      </c>
      <c r="C507" t="n">
        <v>1</v>
      </c>
      <c r="D507" t="n">
        <v>0</v>
      </c>
      <c r="E507" t="s">
        <v>512</v>
      </c>
      <c r="F507" t="s"/>
      <c r="G507" t="s"/>
      <c r="H507" t="s"/>
      <c r="I507" t="s"/>
      <c r="J507" t="n">
        <v>-0.7227</v>
      </c>
      <c r="K507" t="n">
        <v>0.092</v>
      </c>
      <c r="L507" t="n">
        <v>0.908</v>
      </c>
      <c r="M507" t="n">
        <v>0</v>
      </c>
    </row>
    <row r="508" spans="1:13">
      <c r="A508" s="1">
        <f>HYPERLINK("http://www.twitter.com/NathanBLawrence/status/998426360958898176", "998426360958898176")</f>
        <v/>
      </c>
      <c r="B508" s="2" t="n">
        <v>43241.20333333333</v>
      </c>
      <c r="C508" t="n">
        <v>3</v>
      </c>
      <c r="D508" t="n">
        <v>0</v>
      </c>
      <c r="E508" t="s">
        <v>513</v>
      </c>
      <c r="F508" t="s"/>
      <c r="G508" t="s"/>
      <c r="H508" t="s"/>
      <c r="I508" t="s"/>
      <c r="J508" t="n">
        <v>0.5423</v>
      </c>
      <c r="K508" t="n">
        <v>0</v>
      </c>
      <c r="L508" t="n">
        <v>0.919</v>
      </c>
      <c r="M508" t="n">
        <v>0.081</v>
      </c>
    </row>
    <row r="509" spans="1:13">
      <c r="A509" s="1">
        <f>HYPERLINK("http://www.twitter.com/NathanBLawrence/status/998425884011974656", "998425884011974656")</f>
        <v/>
      </c>
      <c r="B509" s="2" t="n">
        <v>43241.20202546296</v>
      </c>
      <c r="C509" t="n">
        <v>1</v>
      </c>
      <c r="D509" t="n">
        <v>0</v>
      </c>
      <c r="E509" t="s">
        <v>514</v>
      </c>
      <c r="F509" t="s"/>
      <c r="G509" t="s"/>
      <c r="H509" t="s"/>
      <c r="I509" t="s"/>
      <c r="J509" t="n">
        <v>-0.3818</v>
      </c>
      <c r="K509" t="n">
        <v>0.119</v>
      </c>
      <c r="L509" t="n">
        <v>0.8090000000000001</v>
      </c>
      <c r="M509" t="n">
        <v>0.07199999999999999</v>
      </c>
    </row>
    <row r="510" spans="1:13">
      <c r="A510" s="1">
        <f>HYPERLINK("http://www.twitter.com/NathanBLawrence/status/998425593350942720", "998425593350942720")</f>
        <v/>
      </c>
      <c r="B510" s="2" t="n">
        <v>43241.20121527778</v>
      </c>
      <c r="C510" t="n">
        <v>1</v>
      </c>
      <c r="D510" t="n">
        <v>0</v>
      </c>
      <c r="E510" t="s">
        <v>515</v>
      </c>
      <c r="F510" t="s"/>
      <c r="G510" t="s"/>
      <c r="H510" t="s"/>
      <c r="I510" t="s"/>
      <c r="J510" t="n">
        <v>0.2006</v>
      </c>
      <c r="K510" t="n">
        <v>0.036</v>
      </c>
      <c r="L510" t="n">
        <v>0.897</v>
      </c>
      <c r="M510" t="n">
        <v>0.067</v>
      </c>
    </row>
    <row r="511" spans="1:13">
      <c r="A511" s="1">
        <f>HYPERLINK("http://www.twitter.com/NathanBLawrence/status/998425226416402433", "998425226416402433")</f>
        <v/>
      </c>
      <c r="B511" s="2" t="n">
        <v>43241.20020833334</v>
      </c>
      <c r="C511" t="n">
        <v>2</v>
      </c>
      <c r="D511" t="n">
        <v>0</v>
      </c>
      <c r="E511" t="s">
        <v>516</v>
      </c>
      <c r="F511" t="s"/>
      <c r="G511" t="s"/>
      <c r="H511" t="s"/>
      <c r="I511" t="s"/>
      <c r="J511" t="n">
        <v>-0.296</v>
      </c>
      <c r="K511" t="n">
        <v>0.18</v>
      </c>
      <c r="L511" t="n">
        <v>0.82</v>
      </c>
      <c r="M511" t="n">
        <v>0</v>
      </c>
    </row>
    <row r="512" spans="1:13">
      <c r="A512" s="1">
        <f>HYPERLINK("http://www.twitter.com/NathanBLawrence/status/998425149803323392", "998425149803323392")</f>
        <v/>
      </c>
      <c r="B512" s="2" t="n">
        <v>43241.2</v>
      </c>
      <c r="C512" t="n">
        <v>3</v>
      </c>
      <c r="D512" t="n">
        <v>0</v>
      </c>
      <c r="E512" t="s">
        <v>517</v>
      </c>
      <c r="F512" t="s"/>
      <c r="G512" t="s"/>
      <c r="H512" t="s"/>
      <c r="I512" t="s"/>
      <c r="J512" t="n">
        <v>0.4767</v>
      </c>
      <c r="K512" t="n">
        <v>0</v>
      </c>
      <c r="L512" t="n">
        <v>0.909</v>
      </c>
      <c r="M512" t="n">
        <v>0.091</v>
      </c>
    </row>
    <row r="513" spans="1:13">
      <c r="A513" s="1">
        <f>HYPERLINK("http://www.twitter.com/NathanBLawrence/status/998424899797516289", "998424899797516289")</f>
        <v/>
      </c>
      <c r="B513" s="2" t="n">
        <v>43241.19930555556</v>
      </c>
      <c r="C513" t="n">
        <v>1</v>
      </c>
      <c r="D513" t="n">
        <v>0</v>
      </c>
      <c r="E513" t="s">
        <v>518</v>
      </c>
      <c r="F513" t="s"/>
      <c r="G513" t="s"/>
      <c r="H513" t="s"/>
      <c r="I513" t="s"/>
      <c r="J513" t="n">
        <v>0.0644</v>
      </c>
      <c r="K513" t="n">
        <v>0</v>
      </c>
      <c r="L513" t="n">
        <v>0.954</v>
      </c>
      <c r="M513" t="n">
        <v>0.046</v>
      </c>
    </row>
    <row r="514" spans="1:13">
      <c r="A514" s="1">
        <f>HYPERLINK("http://www.twitter.com/NathanBLawrence/status/998424538294702080", "998424538294702080")</f>
        <v/>
      </c>
      <c r="B514" s="2" t="n">
        <v>43241.19831018519</v>
      </c>
      <c r="C514" t="n">
        <v>0</v>
      </c>
      <c r="D514" t="n">
        <v>0</v>
      </c>
      <c r="E514" t="s">
        <v>519</v>
      </c>
      <c r="F514" t="s"/>
      <c r="G514" t="s"/>
      <c r="H514" t="s"/>
      <c r="I514" t="s"/>
      <c r="J514" t="n">
        <v>0.0387</v>
      </c>
      <c r="K514" t="n">
        <v>0.143</v>
      </c>
      <c r="L514" t="n">
        <v>0.711</v>
      </c>
      <c r="M514" t="n">
        <v>0.146</v>
      </c>
    </row>
    <row r="515" spans="1:13">
      <c r="A515" s="1">
        <f>HYPERLINK("http://www.twitter.com/NathanBLawrence/status/998424245469233154", "998424245469233154")</f>
        <v/>
      </c>
      <c r="B515" s="2" t="n">
        <v>43241.1975</v>
      </c>
      <c r="C515" t="n">
        <v>0</v>
      </c>
      <c r="D515" t="n">
        <v>0</v>
      </c>
      <c r="E515" t="s">
        <v>520</v>
      </c>
      <c r="F515" t="s"/>
      <c r="G515" t="s"/>
      <c r="H515" t="s"/>
      <c r="I515" t="s"/>
      <c r="J515" t="n">
        <v>-0.34</v>
      </c>
      <c r="K515" t="n">
        <v>0.047</v>
      </c>
      <c r="L515" t="n">
        <v>0.93</v>
      </c>
      <c r="M515" t="n">
        <v>0.023</v>
      </c>
    </row>
    <row r="516" spans="1:13">
      <c r="A516" s="1">
        <f>HYPERLINK("http://www.twitter.com/NathanBLawrence/status/998423811732230144", "998423811732230144")</f>
        <v/>
      </c>
      <c r="B516" s="2" t="n">
        <v>43241.19630787037</v>
      </c>
      <c r="C516" t="n">
        <v>0</v>
      </c>
      <c r="D516" t="n">
        <v>0</v>
      </c>
      <c r="E516" t="s">
        <v>521</v>
      </c>
      <c r="F516" t="s"/>
      <c r="G516" t="s"/>
      <c r="H516" t="s"/>
      <c r="I516" t="s"/>
      <c r="J516" t="n">
        <v>-0.4019</v>
      </c>
      <c r="K516" t="n">
        <v>0.058</v>
      </c>
      <c r="L516" t="n">
        <v>0.9419999999999999</v>
      </c>
      <c r="M516" t="n">
        <v>0</v>
      </c>
    </row>
    <row r="517" spans="1:13">
      <c r="A517" s="1">
        <f>HYPERLINK("http://www.twitter.com/NathanBLawrence/status/998423364971745280", "998423364971745280")</f>
        <v/>
      </c>
      <c r="B517" s="2" t="n">
        <v>43241.19506944445</v>
      </c>
      <c r="C517" t="n">
        <v>1</v>
      </c>
      <c r="D517" t="n">
        <v>0</v>
      </c>
      <c r="E517" t="s">
        <v>522</v>
      </c>
      <c r="F517" t="s"/>
      <c r="G517" t="s"/>
      <c r="H517" t="s"/>
      <c r="I517" t="s"/>
      <c r="J517" t="n">
        <v>0.0387</v>
      </c>
      <c r="K517" t="n">
        <v>0.064</v>
      </c>
      <c r="L517" t="n">
        <v>0.869</v>
      </c>
      <c r="M517" t="n">
        <v>0.067</v>
      </c>
    </row>
    <row r="518" spans="1:13">
      <c r="A518" s="1">
        <f>HYPERLINK("http://www.twitter.com/NathanBLawrence/status/998423150038802439", "998423150038802439")</f>
        <v/>
      </c>
      <c r="B518" s="2" t="n">
        <v>43241.19447916667</v>
      </c>
      <c r="C518" t="n">
        <v>0</v>
      </c>
      <c r="D518" t="n">
        <v>0</v>
      </c>
      <c r="E518" t="s">
        <v>523</v>
      </c>
      <c r="F518" t="s"/>
      <c r="G518" t="s"/>
      <c r="H518" t="s"/>
      <c r="I518" t="s"/>
      <c r="J518" t="n">
        <v>-0.9169</v>
      </c>
      <c r="K518" t="n">
        <v>0.254</v>
      </c>
      <c r="L518" t="n">
        <v>0.746</v>
      </c>
      <c r="M518" t="n">
        <v>0</v>
      </c>
    </row>
    <row r="519" spans="1:13">
      <c r="A519" s="1">
        <f>HYPERLINK("http://www.twitter.com/NathanBLawrence/status/998421553351200769", "998421553351200769")</f>
        <v/>
      </c>
      <c r="B519" s="2" t="n">
        <v>43241.19006944444</v>
      </c>
      <c r="C519" t="n">
        <v>1</v>
      </c>
      <c r="D519" t="n">
        <v>0</v>
      </c>
      <c r="E519" t="s">
        <v>524</v>
      </c>
      <c r="F519" t="s"/>
      <c r="G519" t="s"/>
      <c r="H519" t="s"/>
      <c r="I519" t="s"/>
      <c r="J519" t="n">
        <v>-0.7003</v>
      </c>
      <c r="K519" t="n">
        <v>0.158</v>
      </c>
      <c r="L519" t="n">
        <v>0.842</v>
      </c>
      <c r="M519" t="n">
        <v>0</v>
      </c>
    </row>
    <row r="520" spans="1:13">
      <c r="A520" s="1">
        <f>HYPERLINK("http://www.twitter.com/NathanBLawrence/status/998421377848836096", "998421377848836096")</f>
        <v/>
      </c>
      <c r="B520" s="2" t="n">
        <v>43241.18958333333</v>
      </c>
      <c r="C520" t="n">
        <v>1</v>
      </c>
      <c r="D520" t="n">
        <v>0</v>
      </c>
      <c r="E520" t="s">
        <v>525</v>
      </c>
      <c r="F520" t="s"/>
      <c r="G520" t="s"/>
      <c r="H520" t="s"/>
      <c r="I520" t="s"/>
      <c r="J520" t="n">
        <v>0</v>
      </c>
      <c r="K520" t="n">
        <v>0</v>
      </c>
      <c r="L520" t="n">
        <v>1</v>
      </c>
      <c r="M520" t="n">
        <v>0</v>
      </c>
    </row>
    <row r="521" spans="1:13">
      <c r="A521" s="1">
        <f>HYPERLINK("http://www.twitter.com/NathanBLawrence/status/998421339605295104", "998421339605295104")</f>
        <v/>
      </c>
      <c r="B521" s="2" t="n">
        <v>43241.18947916666</v>
      </c>
      <c r="C521" t="n">
        <v>1</v>
      </c>
      <c r="D521" t="n">
        <v>0</v>
      </c>
      <c r="E521" t="s">
        <v>526</v>
      </c>
      <c r="F521" t="s"/>
      <c r="G521" t="s"/>
      <c r="H521" t="s"/>
      <c r="I521" t="s"/>
      <c r="J521" t="n">
        <v>-0.481</v>
      </c>
      <c r="K521" t="n">
        <v>0.1</v>
      </c>
      <c r="L521" t="n">
        <v>0.9</v>
      </c>
      <c r="M521" t="n">
        <v>0</v>
      </c>
    </row>
    <row r="522" spans="1:13">
      <c r="A522" s="1">
        <f>HYPERLINK("http://www.twitter.com/NathanBLawrence/status/998420814415499264", "998420814415499264")</f>
        <v/>
      </c>
      <c r="B522" s="2" t="n">
        <v>43241.18803240741</v>
      </c>
      <c r="C522" t="n">
        <v>0</v>
      </c>
      <c r="D522" t="n">
        <v>419</v>
      </c>
      <c r="E522" t="s">
        <v>527</v>
      </c>
      <c r="F522">
        <f>HYPERLINK("http://pbs.twimg.com/media/Ddr2F8TUwAAQFTM.jpg", "http://pbs.twimg.com/media/Ddr2F8TUwAAQFTM.jpg")</f>
        <v/>
      </c>
      <c r="G522" t="s"/>
      <c r="H522" t="s"/>
      <c r="I522" t="s"/>
      <c r="J522" t="n">
        <v>-0.8957000000000001</v>
      </c>
      <c r="K522" t="n">
        <v>0.383</v>
      </c>
      <c r="L522" t="n">
        <v>0.617</v>
      </c>
      <c r="M522" t="n">
        <v>0</v>
      </c>
    </row>
    <row r="523" spans="1:13">
      <c r="A523" s="1">
        <f>HYPERLINK("http://www.twitter.com/NathanBLawrence/status/998414584716451846", "998414584716451846")</f>
        <v/>
      </c>
      <c r="B523" s="2" t="n">
        <v>43241.17084490741</v>
      </c>
      <c r="C523" t="n">
        <v>2</v>
      </c>
      <c r="D523" t="n">
        <v>2</v>
      </c>
      <c r="E523" t="s">
        <v>528</v>
      </c>
      <c r="F523" t="s"/>
      <c r="G523" t="s"/>
      <c r="H523" t="s"/>
      <c r="I523" t="s"/>
      <c r="J523" t="n">
        <v>-0.5574</v>
      </c>
      <c r="K523" t="n">
        <v>0.135</v>
      </c>
      <c r="L523" t="n">
        <v>0.767</v>
      </c>
      <c r="M523" t="n">
        <v>0.098</v>
      </c>
    </row>
    <row r="524" spans="1:13">
      <c r="A524" s="1">
        <f>HYPERLINK("http://www.twitter.com/NathanBLawrence/status/998414264254844928", "998414264254844928")</f>
        <v/>
      </c>
      <c r="B524" s="2" t="n">
        <v>43241.16995370371</v>
      </c>
      <c r="C524" t="n">
        <v>0</v>
      </c>
      <c r="D524" t="n">
        <v>17382</v>
      </c>
      <c r="E524" t="s">
        <v>529</v>
      </c>
      <c r="F524" t="s"/>
      <c r="G524" t="s"/>
      <c r="H524" t="s"/>
      <c r="I524" t="s"/>
      <c r="J524" t="n">
        <v>0.8779</v>
      </c>
      <c r="K524" t="n">
        <v>0</v>
      </c>
      <c r="L524" t="n">
        <v>0.627</v>
      </c>
      <c r="M524" t="n">
        <v>0.373</v>
      </c>
    </row>
    <row r="525" spans="1:13">
      <c r="A525" s="1">
        <f>HYPERLINK("http://www.twitter.com/NathanBLawrence/status/998414241190285312", "998414241190285312")</f>
        <v/>
      </c>
      <c r="B525" s="2" t="n">
        <v>43241.16989583334</v>
      </c>
      <c r="C525" t="n">
        <v>0</v>
      </c>
      <c r="D525" t="n">
        <v>12276</v>
      </c>
      <c r="E525" t="s">
        <v>530</v>
      </c>
      <c r="F525" t="s"/>
      <c r="G525" t="s"/>
      <c r="H525" t="s"/>
      <c r="I525" t="s"/>
      <c r="J525" t="n">
        <v>0.8401999999999999</v>
      </c>
      <c r="K525" t="n">
        <v>0</v>
      </c>
      <c r="L525" t="n">
        <v>0.733</v>
      </c>
      <c r="M525" t="n">
        <v>0.267</v>
      </c>
    </row>
    <row r="526" spans="1:13">
      <c r="A526" s="1">
        <f>HYPERLINK("http://www.twitter.com/NathanBLawrence/status/998414219493208064", "998414219493208064")</f>
        <v/>
      </c>
      <c r="B526" s="2" t="n">
        <v>43241.16983796296</v>
      </c>
      <c r="C526" t="n">
        <v>0</v>
      </c>
      <c r="D526" t="n">
        <v>8397</v>
      </c>
      <c r="E526" t="s">
        <v>531</v>
      </c>
      <c r="F526" t="s"/>
      <c r="G526" t="s"/>
      <c r="H526" t="s"/>
      <c r="I526" t="s"/>
      <c r="J526" t="n">
        <v>0.25</v>
      </c>
      <c r="K526" t="n">
        <v>0.09</v>
      </c>
      <c r="L526" t="n">
        <v>0.781</v>
      </c>
      <c r="M526" t="n">
        <v>0.129</v>
      </c>
    </row>
    <row r="527" spans="1:13">
      <c r="A527" s="1">
        <f>HYPERLINK("http://www.twitter.com/NathanBLawrence/status/998414180020563969", "998414180020563969")</f>
        <v/>
      </c>
      <c r="B527" s="2" t="n">
        <v>43241.16972222222</v>
      </c>
      <c r="C527" t="n">
        <v>0</v>
      </c>
      <c r="D527" t="n">
        <v>712</v>
      </c>
      <c r="E527" t="s">
        <v>532</v>
      </c>
      <c r="F527" t="s"/>
      <c r="G527" t="s"/>
      <c r="H527" t="s"/>
      <c r="I527" t="s"/>
      <c r="J527" t="n">
        <v>-0.3612</v>
      </c>
      <c r="K527" t="n">
        <v>0.217</v>
      </c>
      <c r="L527" t="n">
        <v>0.783</v>
      </c>
      <c r="M527" t="n">
        <v>0</v>
      </c>
    </row>
    <row r="528" spans="1:13">
      <c r="A528" s="1">
        <f>HYPERLINK("http://www.twitter.com/NathanBLawrence/status/998414170176581632", "998414170176581632")</f>
        <v/>
      </c>
      <c r="B528" s="2" t="n">
        <v>43241.16969907407</v>
      </c>
      <c r="C528" t="n">
        <v>0</v>
      </c>
      <c r="D528" t="n">
        <v>7764</v>
      </c>
      <c r="E528" t="s">
        <v>533</v>
      </c>
      <c r="F528" t="s"/>
      <c r="G528" t="s"/>
      <c r="H528" t="s"/>
      <c r="I528" t="s"/>
      <c r="J528" t="n">
        <v>-0.7906</v>
      </c>
      <c r="K528" t="n">
        <v>0.259</v>
      </c>
      <c r="L528" t="n">
        <v>0.741</v>
      </c>
      <c r="M528" t="n">
        <v>0</v>
      </c>
    </row>
    <row r="529" spans="1:13">
      <c r="A529" s="1">
        <f>HYPERLINK("http://www.twitter.com/NathanBLawrence/status/998414145660833792", "998414145660833792")</f>
        <v/>
      </c>
      <c r="B529" s="2" t="n">
        <v>43241.16962962963</v>
      </c>
      <c r="C529" t="n">
        <v>0</v>
      </c>
      <c r="D529" t="n">
        <v>6360</v>
      </c>
      <c r="E529" t="s">
        <v>534</v>
      </c>
      <c r="F529" t="s"/>
      <c r="G529" t="s"/>
      <c r="H529" t="s"/>
      <c r="I529" t="s"/>
      <c r="J529" t="n">
        <v>-0.7322</v>
      </c>
      <c r="K529" t="n">
        <v>0.251</v>
      </c>
      <c r="L529" t="n">
        <v>0.672</v>
      </c>
      <c r="M529" t="n">
        <v>0.077</v>
      </c>
    </row>
    <row r="530" spans="1:13">
      <c r="A530" s="1">
        <f>HYPERLINK("http://www.twitter.com/NathanBLawrence/status/998414085875224576", "998414085875224576")</f>
        <v/>
      </c>
      <c r="B530" s="2" t="n">
        <v>43241.16946759259</v>
      </c>
      <c r="C530" t="n">
        <v>0</v>
      </c>
      <c r="D530" t="n">
        <v>287</v>
      </c>
      <c r="E530" t="s">
        <v>535</v>
      </c>
      <c r="F530" t="s"/>
      <c r="G530" t="s"/>
      <c r="H530" t="s"/>
      <c r="I530" t="s"/>
      <c r="J530" t="n">
        <v>-0.0258</v>
      </c>
      <c r="K530" t="n">
        <v>0.126</v>
      </c>
      <c r="L530" t="n">
        <v>0.751</v>
      </c>
      <c r="M530" t="n">
        <v>0.123</v>
      </c>
    </row>
    <row r="531" spans="1:13">
      <c r="A531" s="1">
        <f>HYPERLINK("http://www.twitter.com/NathanBLawrence/status/998413954975240192", "998413954975240192")</f>
        <v/>
      </c>
      <c r="B531" s="2" t="n">
        <v>43241.1691087963</v>
      </c>
      <c r="C531" t="n">
        <v>0</v>
      </c>
      <c r="D531" t="n">
        <v>807</v>
      </c>
      <c r="E531" t="s">
        <v>536</v>
      </c>
      <c r="F531" t="s"/>
      <c r="G531" t="s"/>
      <c r="H531" t="s"/>
      <c r="I531" t="s"/>
      <c r="J531" t="n">
        <v>-0.8126</v>
      </c>
      <c r="K531" t="n">
        <v>0.381</v>
      </c>
      <c r="L531" t="n">
        <v>0.619</v>
      </c>
      <c r="M531" t="n">
        <v>0</v>
      </c>
    </row>
    <row r="532" spans="1:13">
      <c r="A532" s="1">
        <f>HYPERLINK("http://www.twitter.com/NathanBLawrence/status/998413932829315073", "998413932829315073")</f>
        <v/>
      </c>
      <c r="B532" s="2" t="n">
        <v>43241.16903935185</v>
      </c>
      <c r="C532" t="n">
        <v>0</v>
      </c>
      <c r="D532" t="n">
        <v>675</v>
      </c>
      <c r="E532" t="s">
        <v>537</v>
      </c>
      <c r="F532">
        <f>HYPERLINK("http://pbs.twimg.com/media/DdWyI-CVAAEWUM8.jpg", "http://pbs.twimg.com/media/DdWyI-CVAAEWUM8.jpg")</f>
        <v/>
      </c>
      <c r="G532">
        <f>HYPERLINK("http://pbs.twimg.com/media/DdWyJJcVAAE-1ye.jpg", "http://pbs.twimg.com/media/DdWyJJcVAAE-1ye.jpg")</f>
        <v/>
      </c>
      <c r="H532" t="s"/>
      <c r="I532" t="s"/>
      <c r="J532" t="n">
        <v>0.5423</v>
      </c>
      <c r="K532" t="n">
        <v>0</v>
      </c>
      <c r="L532" t="n">
        <v>0.829</v>
      </c>
      <c r="M532" t="n">
        <v>0.171</v>
      </c>
    </row>
    <row r="533" spans="1:13">
      <c r="A533" s="1">
        <f>HYPERLINK("http://www.twitter.com/NathanBLawrence/status/998413908074553349", "998413908074553349")</f>
        <v/>
      </c>
      <c r="B533" s="2" t="n">
        <v>43241.1689699074</v>
      </c>
      <c r="C533" t="n">
        <v>0</v>
      </c>
      <c r="D533" t="n">
        <v>214</v>
      </c>
      <c r="E533" t="s">
        <v>538</v>
      </c>
      <c r="F533">
        <f>HYPERLINK("http://pbs.twimg.com/media/DdWM104W4AApmLS.jpg", "http://pbs.twimg.com/media/DdWM104W4AApmLS.jpg")</f>
        <v/>
      </c>
      <c r="G533">
        <f>HYPERLINK("http://pbs.twimg.com/media/DdWNJzcW0AAF7tW.jpg", "http://pbs.twimg.com/media/DdWNJzcW0AAF7tW.jpg")</f>
        <v/>
      </c>
      <c r="H533" t="s"/>
      <c r="I533" t="s"/>
      <c r="J533" t="n">
        <v>0</v>
      </c>
      <c r="K533" t="n">
        <v>0</v>
      </c>
      <c r="L533" t="n">
        <v>1</v>
      </c>
      <c r="M533" t="n">
        <v>0</v>
      </c>
    </row>
    <row r="534" spans="1:13">
      <c r="A534" s="1">
        <f>HYPERLINK("http://www.twitter.com/NathanBLawrence/status/998413758627221504", "998413758627221504")</f>
        <v/>
      </c>
      <c r="B534" s="2" t="n">
        <v>43241.16856481481</v>
      </c>
      <c r="C534" t="n">
        <v>0</v>
      </c>
      <c r="D534" t="n">
        <v>0</v>
      </c>
      <c r="E534" t="s">
        <v>539</v>
      </c>
      <c r="F534" t="s"/>
      <c r="G534" t="s"/>
      <c r="H534" t="s"/>
      <c r="I534" t="s"/>
      <c r="J534" t="n">
        <v>-0.7096</v>
      </c>
      <c r="K534" t="n">
        <v>0.414</v>
      </c>
      <c r="L534" t="n">
        <v>0.464</v>
      </c>
      <c r="M534" t="n">
        <v>0.122</v>
      </c>
    </row>
    <row r="535" spans="1:13">
      <c r="A535" s="1">
        <f>HYPERLINK("http://www.twitter.com/NathanBLawrence/status/998412738463502336", "998412738463502336")</f>
        <v/>
      </c>
      <c r="B535" s="2" t="n">
        <v>43241.16575231482</v>
      </c>
      <c r="C535" t="n">
        <v>0</v>
      </c>
      <c r="D535" t="n">
        <v>6</v>
      </c>
      <c r="E535" t="s">
        <v>540</v>
      </c>
      <c r="F535" t="s"/>
      <c r="G535" t="s"/>
      <c r="H535" t="s"/>
      <c r="I535" t="s"/>
      <c r="J535" t="n">
        <v>0</v>
      </c>
      <c r="K535" t="n">
        <v>0</v>
      </c>
      <c r="L535" t="n">
        <v>1</v>
      </c>
      <c r="M535" t="n">
        <v>0</v>
      </c>
    </row>
    <row r="536" spans="1:13">
      <c r="A536" s="1">
        <f>HYPERLINK("http://www.twitter.com/NathanBLawrence/status/998411876512956416", "998411876512956416")</f>
        <v/>
      </c>
      <c r="B536" s="2" t="n">
        <v>43241.16336805555</v>
      </c>
      <c r="C536" t="n">
        <v>0</v>
      </c>
      <c r="D536" t="n">
        <v>0</v>
      </c>
      <c r="E536" t="s">
        <v>541</v>
      </c>
      <c r="F536" t="s"/>
      <c r="G536" t="s"/>
      <c r="H536" t="s"/>
      <c r="I536" t="s"/>
      <c r="J536" t="n">
        <v>0.3818</v>
      </c>
      <c r="K536" t="n">
        <v>0</v>
      </c>
      <c r="L536" t="n">
        <v>0.867</v>
      </c>
      <c r="M536" t="n">
        <v>0.133</v>
      </c>
    </row>
    <row r="537" spans="1:13">
      <c r="A537" s="1">
        <f>HYPERLINK("http://www.twitter.com/NathanBLawrence/status/998411839586390017", "998411839586390017")</f>
        <v/>
      </c>
      <c r="B537" s="2" t="n">
        <v>43241.16326388889</v>
      </c>
      <c r="C537" t="n">
        <v>0</v>
      </c>
      <c r="D537" t="n">
        <v>0</v>
      </c>
      <c r="E537" t="s">
        <v>542</v>
      </c>
      <c r="F537" t="s"/>
      <c r="G537" t="s"/>
      <c r="H537" t="s"/>
      <c r="I537" t="s"/>
      <c r="J537" t="n">
        <v>0.3559</v>
      </c>
      <c r="K537" t="n">
        <v>0.063</v>
      </c>
      <c r="L537" t="n">
        <v>0.825</v>
      </c>
      <c r="M537" t="n">
        <v>0.113</v>
      </c>
    </row>
    <row r="538" spans="1:13">
      <c r="A538" s="1">
        <f>HYPERLINK("http://www.twitter.com/NathanBLawrence/status/998411326279045121", "998411326279045121")</f>
        <v/>
      </c>
      <c r="B538" s="2" t="n">
        <v>43241.16185185185</v>
      </c>
      <c r="C538" t="n">
        <v>2</v>
      </c>
      <c r="D538" t="n">
        <v>0</v>
      </c>
      <c r="E538" t="s">
        <v>543</v>
      </c>
      <c r="F538" t="s"/>
      <c r="G538" t="s"/>
      <c r="H538" t="s"/>
      <c r="I538" t="s"/>
      <c r="J538" t="n">
        <v>-0.7096</v>
      </c>
      <c r="K538" t="n">
        <v>0.141</v>
      </c>
      <c r="L538" t="n">
        <v>0.859</v>
      </c>
      <c r="M538" t="n">
        <v>0</v>
      </c>
    </row>
    <row r="539" spans="1:13">
      <c r="A539" s="1">
        <f>HYPERLINK("http://www.twitter.com/NathanBLawrence/status/998411225116659712", "998411225116659712")</f>
        <v/>
      </c>
      <c r="B539" s="2" t="n">
        <v>43241.16157407407</v>
      </c>
      <c r="C539" t="n">
        <v>2</v>
      </c>
      <c r="D539" t="n">
        <v>0</v>
      </c>
      <c r="E539" t="s">
        <v>544</v>
      </c>
      <c r="F539" t="s"/>
      <c r="G539" t="s"/>
      <c r="H539" t="s"/>
      <c r="I539" t="s"/>
      <c r="J539" t="n">
        <v>-0.0516</v>
      </c>
      <c r="K539" t="n">
        <v>0.048</v>
      </c>
      <c r="L539" t="n">
        <v>0.907</v>
      </c>
      <c r="M539" t="n">
        <v>0.044</v>
      </c>
    </row>
    <row r="540" spans="1:13">
      <c r="A540" s="1">
        <f>HYPERLINK("http://www.twitter.com/NathanBLawrence/status/998410990818660353", "998410990818660353")</f>
        <v/>
      </c>
      <c r="B540" s="2" t="n">
        <v>43241.16092592593</v>
      </c>
      <c r="C540" t="n">
        <v>1</v>
      </c>
      <c r="D540" t="n">
        <v>0</v>
      </c>
      <c r="E540" t="s">
        <v>545</v>
      </c>
      <c r="F540" t="s"/>
      <c r="G540" t="s"/>
      <c r="H540" t="s"/>
      <c r="I540" t="s"/>
      <c r="J540" t="n">
        <v>-0.7096</v>
      </c>
      <c r="K540" t="n">
        <v>0.144</v>
      </c>
      <c r="L540" t="n">
        <v>0.856</v>
      </c>
      <c r="M540" t="n">
        <v>0</v>
      </c>
    </row>
    <row r="541" spans="1:13">
      <c r="A541" s="1">
        <f>HYPERLINK("http://www.twitter.com/NathanBLawrence/status/998410763793510401", "998410763793510401")</f>
        <v/>
      </c>
      <c r="B541" s="2" t="n">
        <v>43241.16030092593</v>
      </c>
      <c r="C541" t="n">
        <v>0</v>
      </c>
      <c r="D541" t="n">
        <v>0</v>
      </c>
      <c r="E541" t="s">
        <v>546</v>
      </c>
      <c r="F541" t="s"/>
      <c r="G541" t="s"/>
      <c r="H541" t="s"/>
      <c r="I541" t="s"/>
      <c r="J541" t="n">
        <v>0</v>
      </c>
      <c r="K541" t="n">
        <v>0</v>
      </c>
      <c r="L541" t="n">
        <v>1</v>
      </c>
      <c r="M541" t="n">
        <v>0</v>
      </c>
    </row>
    <row r="542" spans="1:13">
      <c r="A542" s="1">
        <f>HYPERLINK("http://www.twitter.com/NathanBLawrence/status/998410702909005824", "998410702909005824")</f>
        <v/>
      </c>
      <c r="B542" s="2" t="n">
        <v>43241.16012731481</v>
      </c>
      <c r="C542" t="n">
        <v>1</v>
      </c>
      <c r="D542" t="n">
        <v>0</v>
      </c>
      <c r="E542" t="s">
        <v>547</v>
      </c>
      <c r="F542" t="s"/>
      <c r="G542" t="s"/>
      <c r="H542" t="s"/>
      <c r="I542" t="s"/>
      <c r="J542" t="n">
        <v>-0.0516</v>
      </c>
      <c r="K542" t="n">
        <v>0.051</v>
      </c>
      <c r="L542" t="n">
        <v>0.902</v>
      </c>
      <c r="M542" t="n">
        <v>0.047</v>
      </c>
    </row>
    <row r="543" spans="1:13">
      <c r="A543" s="1">
        <f>HYPERLINK("http://www.twitter.com/NathanBLawrence/status/998410142407327745", "998410142407327745")</f>
        <v/>
      </c>
      <c r="B543" s="2" t="n">
        <v>43241.15858796296</v>
      </c>
      <c r="C543" t="n">
        <v>0</v>
      </c>
      <c r="D543" t="n">
        <v>4161</v>
      </c>
      <c r="E543" t="s">
        <v>548</v>
      </c>
      <c r="F543" t="s"/>
      <c r="G543" t="s"/>
      <c r="H543" t="s"/>
      <c r="I543" t="s"/>
      <c r="J543" t="n">
        <v>-0.0516</v>
      </c>
      <c r="K543" t="n">
        <v>0.175</v>
      </c>
      <c r="L543" t="n">
        <v>0.657</v>
      </c>
      <c r="M543" t="n">
        <v>0.168</v>
      </c>
    </row>
    <row r="544" spans="1:13">
      <c r="A544" s="1">
        <f>HYPERLINK("http://www.twitter.com/NathanBLawrence/status/998410128532656130", "998410128532656130")</f>
        <v/>
      </c>
      <c r="B544" s="2" t="n">
        <v>43241.15854166666</v>
      </c>
      <c r="C544" t="n">
        <v>0</v>
      </c>
      <c r="D544" t="n">
        <v>1588</v>
      </c>
      <c r="E544" t="s">
        <v>549</v>
      </c>
      <c r="F544" t="s"/>
      <c r="G544" t="s"/>
      <c r="H544" t="s"/>
      <c r="I544" t="s"/>
      <c r="J544" t="n">
        <v>-0.4939</v>
      </c>
      <c r="K544" t="n">
        <v>0.313</v>
      </c>
      <c r="L544" t="n">
        <v>0.549</v>
      </c>
      <c r="M544" t="n">
        <v>0.137</v>
      </c>
    </row>
    <row r="545" spans="1:13">
      <c r="A545" s="1">
        <f>HYPERLINK("http://www.twitter.com/NathanBLawrence/status/998410024744620032", "998410024744620032")</f>
        <v/>
      </c>
      <c r="B545" s="2" t="n">
        <v>43241.15826388889</v>
      </c>
      <c r="C545" t="n">
        <v>0</v>
      </c>
      <c r="D545" t="n">
        <v>436</v>
      </c>
      <c r="E545" t="s">
        <v>550</v>
      </c>
      <c r="F545">
        <f>HYPERLINK("http://pbs.twimg.com/media/DdrY6cCVAAErNDS.jpg", "http://pbs.twimg.com/media/DdrY6cCVAAErNDS.jpg")</f>
        <v/>
      </c>
      <c r="G545" t="s"/>
      <c r="H545" t="s"/>
      <c r="I545" t="s"/>
      <c r="J545" t="n">
        <v>0.3195</v>
      </c>
      <c r="K545" t="n">
        <v>0.115</v>
      </c>
      <c r="L545" t="n">
        <v>0.6860000000000001</v>
      </c>
      <c r="M545" t="n">
        <v>0.199</v>
      </c>
    </row>
    <row r="546" spans="1:13">
      <c r="A546" s="1">
        <f>HYPERLINK("http://www.twitter.com/NathanBLawrence/status/998409882146672640", "998409882146672640")</f>
        <v/>
      </c>
      <c r="B546" s="2" t="n">
        <v>43241.15787037037</v>
      </c>
      <c r="C546" t="n">
        <v>0</v>
      </c>
      <c r="D546" t="n">
        <v>2503</v>
      </c>
      <c r="E546" t="s">
        <v>551</v>
      </c>
      <c r="F546" t="s"/>
      <c r="G546" t="s"/>
      <c r="H546" t="s"/>
      <c r="I546" t="s"/>
      <c r="J546" t="n">
        <v>-0.2023</v>
      </c>
      <c r="K546" t="n">
        <v>0.094</v>
      </c>
      <c r="L546" t="n">
        <v>0.839</v>
      </c>
      <c r="M546" t="n">
        <v>0.066</v>
      </c>
    </row>
    <row r="547" spans="1:13">
      <c r="A547" s="1">
        <f>HYPERLINK("http://www.twitter.com/NathanBLawrence/status/998409838274273281", "998409838274273281")</f>
        <v/>
      </c>
      <c r="B547" s="2" t="n">
        <v>43241.15774305556</v>
      </c>
      <c r="C547" t="n">
        <v>0</v>
      </c>
      <c r="D547" t="n">
        <v>5711</v>
      </c>
      <c r="E547" t="s">
        <v>552</v>
      </c>
      <c r="F547" t="s"/>
      <c r="G547" t="s"/>
      <c r="H547" t="s"/>
      <c r="I547" t="s"/>
      <c r="J547" t="n">
        <v>-0.6369</v>
      </c>
      <c r="K547" t="n">
        <v>0.234</v>
      </c>
      <c r="L547" t="n">
        <v>0.766</v>
      </c>
      <c r="M547" t="n">
        <v>0</v>
      </c>
    </row>
    <row r="548" spans="1:13">
      <c r="A548" s="1">
        <f>HYPERLINK("http://www.twitter.com/NathanBLawrence/status/998409802614263808", "998409802614263808")</f>
        <v/>
      </c>
      <c r="B548" s="2" t="n">
        <v>43241.15765046296</v>
      </c>
      <c r="C548" t="n">
        <v>0</v>
      </c>
      <c r="D548" t="n">
        <v>2900</v>
      </c>
      <c r="E548" t="s">
        <v>553</v>
      </c>
      <c r="F548" t="s"/>
      <c r="G548" t="s"/>
      <c r="H548" t="s"/>
      <c r="I548" t="s"/>
      <c r="J548" t="n">
        <v>0</v>
      </c>
      <c r="K548" t="n">
        <v>0</v>
      </c>
      <c r="L548" t="n">
        <v>1</v>
      </c>
      <c r="M548" t="n">
        <v>0</v>
      </c>
    </row>
    <row r="549" spans="1:13">
      <c r="A549" s="1">
        <f>HYPERLINK("http://www.twitter.com/NathanBLawrence/status/998409764576088064", "998409764576088064")</f>
        <v/>
      </c>
      <c r="B549" s="2" t="n">
        <v>43241.15754629629</v>
      </c>
      <c r="C549" t="n">
        <v>0</v>
      </c>
      <c r="D549" t="n">
        <v>4370</v>
      </c>
      <c r="E549" t="s">
        <v>554</v>
      </c>
      <c r="F549" t="s"/>
      <c r="G549" t="s"/>
      <c r="H549" t="s"/>
      <c r="I549" t="s"/>
      <c r="J549" t="n">
        <v>-0.7783</v>
      </c>
      <c r="K549" t="n">
        <v>0.236</v>
      </c>
      <c r="L549" t="n">
        <v>0.764</v>
      </c>
      <c r="M549" t="n">
        <v>0</v>
      </c>
    </row>
    <row r="550" spans="1:13">
      <c r="A550" s="1">
        <f>HYPERLINK("http://www.twitter.com/NathanBLawrence/status/998409751246573568", "998409751246573568")</f>
        <v/>
      </c>
      <c r="B550" s="2" t="n">
        <v>43241.1575</v>
      </c>
      <c r="C550" t="n">
        <v>0</v>
      </c>
      <c r="D550" t="n">
        <v>4957</v>
      </c>
      <c r="E550" t="s">
        <v>555</v>
      </c>
      <c r="F550" t="s"/>
      <c r="G550" t="s"/>
      <c r="H550" t="s"/>
      <c r="I550" t="s"/>
      <c r="J550" t="n">
        <v>-0.7886</v>
      </c>
      <c r="K550" t="n">
        <v>0.354</v>
      </c>
      <c r="L550" t="n">
        <v>0.548</v>
      </c>
      <c r="M550" t="n">
        <v>0.098</v>
      </c>
    </row>
    <row r="551" spans="1:13">
      <c r="A551" s="1">
        <f>HYPERLINK("http://www.twitter.com/NathanBLawrence/status/998409723799113728", "998409723799113728")</f>
        <v/>
      </c>
      <c r="B551" s="2" t="n">
        <v>43241.15743055556</v>
      </c>
      <c r="C551" t="n">
        <v>0</v>
      </c>
      <c r="D551" t="n">
        <v>6740</v>
      </c>
      <c r="E551" t="s">
        <v>556</v>
      </c>
      <c r="F551" t="s"/>
      <c r="G551" t="s"/>
      <c r="H551" t="s"/>
      <c r="I551" t="s"/>
      <c r="J551" t="n">
        <v>-0.6369</v>
      </c>
      <c r="K551" t="n">
        <v>0.206</v>
      </c>
      <c r="L551" t="n">
        <v>0.794</v>
      </c>
      <c r="M551" t="n">
        <v>0</v>
      </c>
    </row>
    <row r="552" spans="1:13">
      <c r="A552" s="1">
        <f>HYPERLINK("http://www.twitter.com/NathanBLawrence/status/998396530359984128", "998396530359984128")</f>
        <v/>
      </c>
      <c r="B552" s="2" t="n">
        <v>43241.12101851852</v>
      </c>
      <c r="C552" t="n">
        <v>0</v>
      </c>
      <c r="D552" t="n">
        <v>308</v>
      </c>
      <c r="E552" t="s">
        <v>557</v>
      </c>
      <c r="F552" t="s"/>
      <c r="G552" t="s"/>
      <c r="H552" t="s"/>
      <c r="I552" t="s"/>
      <c r="J552" t="n">
        <v>0.6929</v>
      </c>
      <c r="K552" t="n">
        <v>0.136</v>
      </c>
      <c r="L552" t="n">
        <v>0.554</v>
      </c>
      <c r="M552" t="n">
        <v>0.31</v>
      </c>
    </row>
    <row r="553" spans="1:13">
      <c r="A553" s="1">
        <f>HYPERLINK("http://www.twitter.com/NathanBLawrence/status/998395970638491651", "998395970638491651")</f>
        <v/>
      </c>
      <c r="B553" s="2" t="n">
        <v>43241.11947916666</v>
      </c>
      <c r="C553" t="n">
        <v>0</v>
      </c>
      <c r="D553" t="n">
        <v>2802</v>
      </c>
      <c r="E553" t="s">
        <v>558</v>
      </c>
      <c r="F553" t="s"/>
      <c r="G553" t="s"/>
      <c r="H553" t="s"/>
      <c r="I553" t="s"/>
      <c r="J553" t="n">
        <v>0.7339</v>
      </c>
      <c r="K553" t="n">
        <v>0</v>
      </c>
      <c r="L553" t="n">
        <v>0.772</v>
      </c>
      <c r="M553" t="n">
        <v>0.228</v>
      </c>
    </row>
    <row r="554" spans="1:13">
      <c r="A554" s="1">
        <f>HYPERLINK("http://www.twitter.com/NathanBLawrence/status/998361356704329729", "998361356704329729")</f>
        <v/>
      </c>
      <c r="B554" s="2" t="n">
        <v>43241.02395833333</v>
      </c>
      <c r="C554" t="n">
        <v>0</v>
      </c>
      <c r="D554" t="n">
        <v>165</v>
      </c>
      <c r="E554" t="s">
        <v>559</v>
      </c>
      <c r="F554" t="s"/>
      <c r="G554" t="s"/>
      <c r="H554" t="s"/>
      <c r="I554" t="s"/>
      <c r="J554" t="n">
        <v>-0.0772</v>
      </c>
      <c r="K554" t="n">
        <v>0.061</v>
      </c>
      <c r="L554" t="n">
        <v>0.9389999999999999</v>
      </c>
      <c r="M554" t="n">
        <v>0</v>
      </c>
    </row>
    <row r="555" spans="1:13">
      <c r="A555" s="1">
        <f>HYPERLINK("http://www.twitter.com/NathanBLawrence/status/998343684314812417", "998343684314812417")</f>
        <v/>
      </c>
      <c r="B555" s="2" t="n">
        <v>43240.97519675926</v>
      </c>
      <c r="C555" t="n">
        <v>0</v>
      </c>
      <c r="D555" t="n">
        <v>672</v>
      </c>
      <c r="E555" t="s">
        <v>560</v>
      </c>
      <c r="F555" t="s"/>
      <c r="G555" t="s"/>
      <c r="H555" t="s"/>
      <c r="I555" t="s"/>
      <c r="J555" t="n">
        <v>0.3164</v>
      </c>
      <c r="K555" t="n">
        <v>0.067</v>
      </c>
      <c r="L555" t="n">
        <v>0.8070000000000001</v>
      </c>
      <c r="M555" t="n">
        <v>0.125</v>
      </c>
    </row>
    <row r="556" spans="1:13">
      <c r="A556" s="1">
        <f>HYPERLINK("http://www.twitter.com/NathanBLawrence/status/998343679084519424", "998343679084519424")</f>
        <v/>
      </c>
      <c r="B556" s="2" t="n">
        <v>43240.97518518518</v>
      </c>
      <c r="C556" t="n">
        <v>0</v>
      </c>
      <c r="D556" t="n">
        <v>9300</v>
      </c>
      <c r="E556" t="s">
        <v>561</v>
      </c>
      <c r="F556" t="s"/>
      <c r="G556" t="s"/>
      <c r="H556" t="s"/>
      <c r="I556" t="s"/>
      <c r="J556" t="n">
        <v>-0.765</v>
      </c>
      <c r="K556" t="n">
        <v>0.252</v>
      </c>
      <c r="L556" t="n">
        <v>0.645</v>
      </c>
      <c r="M556" t="n">
        <v>0.103</v>
      </c>
    </row>
    <row r="557" spans="1:13">
      <c r="A557" s="1">
        <f>HYPERLINK("http://www.twitter.com/NathanBLawrence/status/998343625779089408", "998343625779089408")</f>
        <v/>
      </c>
      <c r="B557" s="2" t="n">
        <v>43240.97503472222</v>
      </c>
      <c r="C557" t="n">
        <v>0</v>
      </c>
      <c r="D557" t="n">
        <v>386</v>
      </c>
      <c r="E557" t="s">
        <v>562</v>
      </c>
      <c r="F557" t="s"/>
      <c r="G557" t="s"/>
      <c r="H557" t="s"/>
      <c r="I557" t="s"/>
      <c r="J557" t="n">
        <v>0</v>
      </c>
      <c r="K557" t="n">
        <v>0</v>
      </c>
      <c r="L557" t="n">
        <v>1</v>
      </c>
      <c r="M557" t="n">
        <v>0</v>
      </c>
    </row>
    <row r="558" spans="1:13">
      <c r="A558" s="1">
        <f>HYPERLINK("http://www.twitter.com/NathanBLawrence/status/998308407751868416", "998308407751868416")</f>
        <v/>
      </c>
      <c r="B558" s="2" t="n">
        <v>43240.87784722223</v>
      </c>
      <c r="C558" t="n">
        <v>0</v>
      </c>
      <c r="D558" t="n">
        <v>8</v>
      </c>
      <c r="E558" t="s">
        <v>563</v>
      </c>
      <c r="F558">
        <f>HYPERLINK("http://pbs.twimg.com/media/DdqkfBfU8AAPylr.jpg", "http://pbs.twimg.com/media/DdqkfBfU8AAPylr.jpg")</f>
        <v/>
      </c>
      <c r="G558" t="s"/>
      <c r="H558" t="s"/>
      <c r="I558" t="s"/>
      <c r="J558" t="n">
        <v>0</v>
      </c>
      <c r="K558" t="n">
        <v>0</v>
      </c>
      <c r="L558" t="n">
        <v>1</v>
      </c>
      <c r="M558" t="n">
        <v>0</v>
      </c>
    </row>
    <row r="559" spans="1:13">
      <c r="A559" s="1">
        <f>HYPERLINK("http://www.twitter.com/NathanBLawrence/status/998291143321366528", "998291143321366528")</f>
        <v/>
      </c>
      <c r="B559" s="2" t="n">
        <v>43240.83020833333</v>
      </c>
      <c r="C559" t="n">
        <v>13</v>
      </c>
      <c r="D559" t="n">
        <v>8</v>
      </c>
      <c r="E559" t="s">
        <v>564</v>
      </c>
      <c r="F559">
        <f>HYPERLINK("http://pbs.twimg.com/media/DdqkfBfU8AAPylr.jpg", "http://pbs.twimg.com/media/DdqkfBfU8AAPylr.jpg")</f>
        <v/>
      </c>
      <c r="G559" t="s"/>
      <c r="H559" t="s"/>
      <c r="I559" t="s"/>
      <c r="J559" t="n">
        <v>0.4501</v>
      </c>
      <c r="K559" t="n">
        <v>0</v>
      </c>
      <c r="L559" t="n">
        <v>0.928</v>
      </c>
      <c r="M559" t="n">
        <v>0.07199999999999999</v>
      </c>
    </row>
    <row r="560" spans="1:13">
      <c r="A560" s="1">
        <f>HYPERLINK("http://www.twitter.com/NathanBLawrence/status/998290841180532736", "998290841180532736")</f>
        <v/>
      </c>
      <c r="B560" s="2" t="n">
        <v>43240.829375</v>
      </c>
      <c r="C560" t="n">
        <v>0</v>
      </c>
      <c r="D560" t="n">
        <v>3</v>
      </c>
      <c r="E560" t="s">
        <v>565</v>
      </c>
      <c r="F560" t="s"/>
      <c r="G560" t="s"/>
      <c r="H560" t="s"/>
      <c r="I560" t="s"/>
      <c r="J560" t="n">
        <v>0.3612</v>
      </c>
      <c r="K560" t="n">
        <v>0</v>
      </c>
      <c r="L560" t="n">
        <v>0.894</v>
      </c>
      <c r="M560" t="n">
        <v>0.106</v>
      </c>
    </row>
    <row r="561" spans="1:13">
      <c r="A561" s="1">
        <f>HYPERLINK("http://www.twitter.com/NathanBLawrence/status/998290827762917381", "998290827762917381")</f>
        <v/>
      </c>
      <c r="B561" s="2" t="n">
        <v>43240.82934027778</v>
      </c>
      <c r="C561" t="n">
        <v>1</v>
      </c>
      <c r="D561" t="n">
        <v>0</v>
      </c>
      <c r="E561" t="s">
        <v>566</v>
      </c>
      <c r="F561" t="s"/>
      <c r="G561" t="s"/>
      <c r="H561" t="s"/>
      <c r="I561" t="s"/>
      <c r="J561" t="n">
        <v>0</v>
      </c>
      <c r="K561" t="n">
        <v>0</v>
      </c>
      <c r="L561" t="n">
        <v>1</v>
      </c>
      <c r="M561" t="n">
        <v>0</v>
      </c>
    </row>
    <row r="562" spans="1:13">
      <c r="A562" s="1">
        <f>HYPERLINK("http://www.twitter.com/NathanBLawrence/status/998281535685120000", "998281535685120000")</f>
        <v/>
      </c>
      <c r="B562" s="2" t="n">
        <v>43240.80369212963</v>
      </c>
      <c r="C562" t="n">
        <v>0</v>
      </c>
      <c r="D562" t="n">
        <v>8</v>
      </c>
      <c r="E562" t="s">
        <v>567</v>
      </c>
      <c r="F562" t="s"/>
      <c r="G562" t="s"/>
      <c r="H562" t="s"/>
      <c r="I562" t="s"/>
      <c r="J562" t="n">
        <v>0</v>
      </c>
      <c r="K562" t="n">
        <v>0</v>
      </c>
      <c r="L562" t="n">
        <v>1</v>
      </c>
      <c r="M562" t="n">
        <v>0</v>
      </c>
    </row>
    <row r="563" spans="1:13">
      <c r="A563" s="1">
        <f>HYPERLINK("http://www.twitter.com/NathanBLawrence/status/998281494840991746", "998281494840991746")</f>
        <v/>
      </c>
      <c r="B563" s="2" t="n">
        <v>43240.80358796296</v>
      </c>
      <c r="C563" t="n">
        <v>0</v>
      </c>
      <c r="D563" t="n">
        <v>12</v>
      </c>
      <c r="E563" t="s">
        <v>568</v>
      </c>
      <c r="F563" t="s"/>
      <c r="G563" t="s"/>
      <c r="H563" t="s"/>
      <c r="I563" t="s"/>
      <c r="J563" t="n">
        <v>0</v>
      </c>
      <c r="K563" t="n">
        <v>0</v>
      </c>
      <c r="L563" t="n">
        <v>1</v>
      </c>
      <c r="M563" t="n">
        <v>0</v>
      </c>
    </row>
    <row r="564" spans="1:13">
      <c r="A564" s="1">
        <f>HYPERLINK("http://www.twitter.com/NathanBLawrence/status/998281478550315008", "998281478550315008")</f>
        <v/>
      </c>
      <c r="B564" s="2" t="n">
        <v>43240.80354166667</v>
      </c>
      <c r="C564" t="n">
        <v>0</v>
      </c>
      <c r="D564" t="n">
        <v>2</v>
      </c>
      <c r="E564" t="s">
        <v>569</v>
      </c>
      <c r="F564" t="s"/>
      <c r="G564" t="s"/>
      <c r="H564" t="s"/>
      <c r="I564" t="s"/>
      <c r="J564" t="n">
        <v>-0.7351</v>
      </c>
      <c r="K564" t="n">
        <v>0.256</v>
      </c>
      <c r="L564" t="n">
        <v>0.744</v>
      </c>
      <c r="M564" t="n">
        <v>0</v>
      </c>
    </row>
    <row r="565" spans="1:13">
      <c r="A565" s="1">
        <f>HYPERLINK("http://www.twitter.com/NathanBLawrence/status/998281465245954048", "998281465245954048")</f>
        <v/>
      </c>
      <c r="B565" s="2" t="n">
        <v>43240.80350694444</v>
      </c>
      <c r="C565" t="n">
        <v>0</v>
      </c>
      <c r="D565" t="n">
        <v>8</v>
      </c>
      <c r="E565" t="s">
        <v>570</v>
      </c>
      <c r="F565" t="s"/>
      <c r="G565" t="s"/>
      <c r="H565" t="s"/>
      <c r="I565" t="s"/>
      <c r="J565" t="n">
        <v>-0.7579</v>
      </c>
      <c r="K565" t="n">
        <v>0.319</v>
      </c>
      <c r="L565" t="n">
        <v>0.681</v>
      </c>
      <c r="M565" t="n">
        <v>0</v>
      </c>
    </row>
    <row r="566" spans="1:13">
      <c r="A566" s="1">
        <f>HYPERLINK("http://www.twitter.com/NathanBLawrence/status/998271613140455425", "998271613140455425")</f>
        <v/>
      </c>
      <c r="B566" s="2" t="n">
        <v>43240.77631944444</v>
      </c>
      <c r="C566" t="n">
        <v>0</v>
      </c>
      <c r="D566" t="n">
        <v>87</v>
      </c>
      <c r="E566" t="s">
        <v>571</v>
      </c>
      <c r="F566" t="s"/>
      <c r="G566" t="s"/>
      <c r="H566" t="s"/>
      <c r="I566" t="s"/>
      <c r="J566" t="n">
        <v>0.4168</v>
      </c>
      <c r="K566" t="n">
        <v>0</v>
      </c>
      <c r="L566" t="n">
        <v>0.86</v>
      </c>
      <c r="M566" t="n">
        <v>0.14</v>
      </c>
    </row>
    <row r="567" spans="1:13">
      <c r="A567" s="1">
        <f>HYPERLINK("http://www.twitter.com/NathanBLawrence/status/998271484329152512", "998271484329152512")</f>
        <v/>
      </c>
      <c r="B567" s="2" t="n">
        <v>43240.77596064815</v>
      </c>
      <c r="C567" t="n">
        <v>0</v>
      </c>
      <c r="D567" t="n">
        <v>9</v>
      </c>
      <c r="E567" t="s">
        <v>572</v>
      </c>
      <c r="F567">
        <f>HYPERLINK("http://pbs.twimg.com/media/DdqQ52GUwAAh-K0.jpg", "http://pbs.twimg.com/media/DdqQ52GUwAAh-K0.jpg")</f>
        <v/>
      </c>
      <c r="G567" t="s"/>
      <c r="H567" t="s"/>
      <c r="I567" t="s"/>
      <c r="J567" t="n">
        <v>-0.4574</v>
      </c>
      <c r="K567" t="n">
        <v>0.13</v>
      </c>
      <c r="L567" t="n">
        <v>0.87</v>
      </c>
      <c r="M567" t="n">
        <v>0</v>
      </c>
    </row>
    <row r="568" spans="1:13">
      <c r="A568" s="1">
        <f>HYPERLINK("http://www.twitter.com/NathanBLawrence/status/998259616755707904", "998259616755707904")</f>
        <v/>
      </c>
      <c r="B568" s="2" t="n">
        <v>43240.74321759259</v>
      </c>
      <c r="C568" t="n">
        <v>0</v>
      </c>
      <c r="D568" t="n">
        <v>7</v>
      </c>
      <c r="E568" t="s">
        <v>573</v>
      </c>
      <c r="F568" t="s"/>
      <c r="G568" t="s"/>
      <c r="H568" t="s"/>
      <c r="I568" t="s"/>
      <c r="J568" t="n">
        <v>-0.6067</v>
      </c>
      <c r="K568" t="n">
        <v>0.236</v>
      </c>
      <c r="L568" t="n">
        <v>0.764</v>
      </c>
      <c r="M568" t="n">
        <v>0</v>
      </c>
    </row>
    <row r="569" spans="1:13">
      <c r="A569" s="1">
        <f>HYPERLINK("http://www.twitter.com/NathanBLawrence/status/998259595285065729", "998259595285065729")</f>
        <v/>
      </c>
      <c r="B569" s="2" t="n">
        <v>43240.74314814815</v>
      </c>
      <c r="C569" t="n">
        <v>0</v>
      </c>
      <c r="D569" t="n">
        <v>3</v>
      </c>
      <c r="E569" t="s">
        <v>574</v>
      </c>
      <c r="F569">
        <f>HYPERLINK("http://pbs.twimg.com/media/DdnGeyGV4AA28XN.jpg", "http://pbs.twimg.com/media/DdnGeyGV4AA28XN.jpg")</f>
        <v/>
      </c>
      <c r="G569" t="s"/>
      <c r="H569" t="s"/>
      <c r="I569" t="s"/>
      <c r="J569" t="n">
        <v>0.4215</v>
      </c>
      <c r="K569" t="n">
        <v>0</v>
      </c>
      <c r="L569" t="n">
        <v>0.833</v>
      </c>
      <c r="M569" t="n">
        <v>0.167</v>
      </c>
    </row>
    <row r="570" spans="1:13">
      <c r="A570" s="1">
        <f>HYPERLINK("http://www.twitter.com/NathanBLawrence/status/998259370663215115", "998259370663215115")</f>
        <v/>
      </c>
      <c r="B570" s="2" t="n">
        <v>43240.74253472222</v>
      </c>
      <c r="C570" t="n">
        <v>0</v>
      </c>
      <c r="D570" t="n">
        <v>24</v>
      </c>
      <c r="E570" t="s">
        <v>575</v>
      </c>
      <c r="F570" t="s"/>
      <c r="G570" t="s"/>
      <c r="H570" t="s"/>
      <c r="I570" t="s"/>
      <c r="J570" t="n">
        <v>0.25</v>
      </c>
      <c r="K570" t="n">
        <v>0.102</v>
      </c>
      <c r="L570" t="n">
        <v>0.72</v>
      </c>
      <c r="M570" t="n">
        <v>0.178</v>
      </c>
    </row>
    <row r="571" spans="1:13">
      <c r="A571" s="1">
        <f>HYPERLINK("http://www.twitter.com/NathanBLawrence/status/998259312798691328", "998259312798691328")</f>
        <v/>
      </c>
      <c r="B571" s="2" t="n">
        <v>43240.74237268518</v>
      </c>
      <c r="C571" t="n">
        <v>0</v>
      </c>
      <c r="D571" t="n">
        <v>8</v>
      </c>
      <c r="E571" t="s">
        <v>576</v>
      </c>
      <c r="F571" t="s"/>
      <c r="G571" t="s"/>
      <c r="H571" t="s"/>
      <c r="I571" t="s"/>
      <c r="J571" t="n">
        <v>0</v>
      </c>
      <c r="K571" t="n">
        <v>0</v>
      </c>
      <c r="L571" t="n">
        <v>1</v>
      </c>
      <c r="M571" t="n">
        <v>0</v>
      </c>
    </row>
    <row r="572" spans="1:13">
      <c r="A572" s="1">
        <f>HYPERLINK("http://www.twitter.com/NathanBLawrence/status/998259287154659335", "998259287154659335")</f>
        <v/>
      </c>
      <c r="B572" s="2" t="n">
        <v>43240.74230324074</v>
      </c>
      <c r="C572" t="n">
        <v>3</v>
      </c>
      <c r="D572" t="n">
        <v>2</v>
      </c>
      <c r="E572" t="s">
        <v>577</v>
      </c>
      <c r="F572" t="s"/>
      <c r="G572" t="s"/>
      <c r="H572" t="s"/>
      <c r="I572" t="s"/>
      <c r="J572" t="n">
        <v>0</v>
      </c>
      <c r="K572" t="n">
        <v>0</v>
      </c>
      <c r="L572" t="n">
        <v>1</v>
      </c>
      <c r="M572" t="n">
        <v>0</v>
      </c>
    </row>
    <row r="573" spans="1:13">
      <c r="A573" s="1">
        <f>HYPERLINK("http://www.twitter.com/NathanBLawrence/status/998259053620072450", "998259053620072450")</f>
        <v/>
      </c>
      <c r="B573" s="2" t="n">
        <v>43240.74165509259</v>
      </c>
      <c r="C573" t="n">
        <v>0</v>
      </c>
      <c r="D573" t="n">
        <v>10</v>
      </c>
      <c r="E573" t="s">
        <v>578</v>
      </c>
      <c r="F573" t="s"/>
      <c r="G573" t="s"/>
      <c r="H573" t="s"/>
      <c r="I573" t="s"/>
      <c r="J573" t="n">
        <v>-0.6808</v>
      </c>
      <c r="K573" t="n">
        <v>0.18</v>
      </c>
      <c r="L573" t="n">
        <v>0.82</v>
      </c>
      <c r="M573" t="n">
        <v>0</v>
      </c>
    </row>
    <row r="574" spans="1:13">
      <c r="A574" s="1">
        <f>HYPERLINK("http://www.twitter.com/NathanBLawrence/status/998259003279970305", "998259003279970305")</f>
        <v/>
      </c>
      <c r="B574" s="2" t="n">
        <v>43240.74151620371</v>
      </c>
      <c r="C574" t="n">
        <v>0</v>
      </c>
      <c r="D574" t="n">
        <v>3</v>
      </c>
      <c r="E574" t="s">
        <v>579</v>
      </c>
      <c r="F574" t="s"/>
      <c r="G574" t="s"/>
      <c r="H574" t="s"/>
      <c r="I574" t="s"/>
      <c r="J574" t="n">
        <v>0.4404</v>
      </c>
      <c r="K574" t="n">
        <v>0.08400000000000001</v>
      </c>
      <c r="L574" t="n">
        <v>0.76</v>
      </c>
      <c r="M574" t="n">
        <v>0.156</v>
      </c>
    </row>
    <row r="575" spans="1:13">
      <c r="A575" s="1">
        <f>HYPERLINK("http://www.twitter.com/NathanBLawrence/status/998258981104701441", "998258981104701441")</f>
        <v/>
      </c>
      <c r="B575" s="2" t="n">
        <v>43240.74145833333</v>
      </c>
      <c r="C575" t="n">
        <v>0</v>
      </c>
      <c r="D575" t="n">
        <v>4</v>
      </c>
      <c r="E575" t="s">
        <v>580</v>
      </c>
      <c r="F575" t="s"/>
      <c r="G575" t="s"/>
      <c r="H575" t="s"/>
      <c r="I575" t="s"/>
      <c r="J575" t="n">
        <v>0.4019</v>
      </c>
      <c r="K575" t="n">
        <v>0</v>
      </c>
      <c r="L575" t="n">
        <v>0.87</v>
      </c>
      <c r="M575" t="n">
        <v>0.13</v>
      </c>
    </row>
    <row r="576" spans="1:13">
      <c r="A576" s="1">
        <f>HYPERLINK("http://www.twitter.com/NathanBLawrence/status/998258959671873537", "998258959671873537")</f>
        <v/>
      </c>
      <c r="B576" s="2" t="n">
        <v>43240.74140046296</v>
      </c>
      <c r="C576" t="n">
        <v>0</v>
      </c>
      <c r="D576" t="n">
        <v>11</v>
      </c>
      <c r="E576" t="s">
        <v>581</v>
      </c>
      <c r="F576">
        <f>HYPERLINK("http://pbs.twimg.com/media/DdptqP7VMAAcr-H.jpg", "http://pbs.twimg.com/media/DdptqP7VMAAcr-H.jpg")</f>
        <v/>
      </c>
      <c r="G576">
        <f>HYPERLINK("http://pbs.twimg.com/media/DdptqP7VwAAEjTy.jpg", "http://pbs.twimg.com/media/DdptqP7VwAAEjTy.jpg")</f>
        <v/>
      </c>
      <c r="H576" t="s"/>
      <c r="I576" t="s"/>
      <c r="J576" t="n">
        <v>-0.4648</v>
      </c>
      <c r="K576" t="n">
        <v>0.117</v>
      </c>
      <c r="L576" t="n">
        <v>0.827</v>
      </c>
      <c r="M576" t="n">
        <v>0.055</v>
      </c>
    </row>
    <row r="577" spans="1:13">
      <c r="A577" s="1">
        <f>HYPERLINK("http://www.twitter.com/NathanBLawrence/status/998258946182873089", "998258946182873089")</f>
        <v/>
      </c>
      <c r="B577" s="2" t="n">
        <v>43240.74136574074</v>
      </c>
      <c r="C577" t="n">
        <v>0</v>
      </c>
      <c r="D577" t="n">
        <v>72</v>
      </c>
      <c r="E577" t="s">
        <v>582</v>
      </c>
      <c r="F577" t="s"/>
      <c r="G577" t="s"/>
      <c r="H577" t="s"/>
      <c r="I577" t="s"/>
      <c r="J577" t="n">
        <v>0.34</v>
      </c>
      <c r="K577" t="n">
        <v>0.115</v>
      </c>
      <c r="L577" t="n">
        <v>0.65</v>
      </c>
      <c r="M577" t="n">
        <v>0.235</v>
      </c>
    </row>
    <row r="578" spans="1:13">
      <c r="A578" s="1">
        <f>HYPERLINK("http://www.twitter.com/NathanBLawrence/status/998258919045763072", "998258919045763072")</f>
        <v/>
      </c>
      <c r="B578" s="2" t="n">
        <v>43240.74128472222</v>
      </c>
      <c r="C578" t="n">
        <v>0</v>
      </c>
      <c r="D578" t="n">
        <v>15</v>
      </c>
      <c r="E578" t="s">
        <v>583</v>
      </c>
      <c r="F578" t="s"/>
      <c r="G578" t="s"/>
      <c r="H578" t="s"/>
      <c r="I578" t="s"/>
      <c r="J578" t="n">
        <v>0.0516</v>
      </c>
      <c r="K578" t="n">
        <v>0.097</v>
      </c>
      <c r="L578" t="n">
        <v>0.798</v>
      </c>
      <c r="M578" t="n">
        <v>0.105</v>
      </c>
    </row>
    <row r="579" spans="1:13">
      <c r="A579" s="1">
        <f>HYPERLINK("http://www.twitter.com/NathanBLawrence/status/998258886758096896", "998258886758096896")</f>
        <v/>
      </c>
      <c r="B579" s="2" t="n">
        <v>43240.74120370371</v>
      </c>
      <c r="C579" t="n">
        <v>0</v>
      </c>
      <c r="D579" t="n">
        <v>7</v>
      </c>
      <c r="E579" t="s">
        <v>584</v>
      </c>
      <c r="F579" t="s"/>
      <c r="G579" t="s"/>
      <c r="H579" t="s"/>
      <c r="I579" t="s"/>
      <c r="J579" t="n">
        <v>0.1007</v>
      </c>
      <c r="K579" t="n">
        <v>0.097</v>
      </c>
      <c r="L579" t="n">
        <v>0.792</v>
      </c>
      <c r="M579" t="n">
        <v>0.111</v>
      </c>
    </row>
    <row r="580" spans="1:13">
      <c r="A580" s="1">
        <f>HYPERLINK("http://www.twitter.com/NathanBLawrence/status/998258873390813184", "998258873390813184")</f>
        <v/>
      </c>
      <c r="B580" s="2" t="n">
        <v>43240.74115740741</v>
      </c>
      <c r="C580" t="n">
        <v>0</v>
      </c>
      <c r="D580" t="n">
        <v>15</v>
      </c>
      <c r="E580" t="s">
        <v>585</v>
      </c>
      <c r="F580" t="s"/>
      <c r="G580" t="s"/>
      <c r="H580" t="s"/>
      <c r="I580" t="s"/>
      <c r="J580" t="n">
        <v>0.2878</v>
      </c>
      <c r="K580" t="n">
        <v>0</v>
      </c>
      <c r="L580" t="n">
        <v>0.902</v>
      </c>
      <c r="M580" t="n">
        <v>0.098</v>
      </c>
    </row>
    <row r="581" spans="1:13">
      <c r="A581" s="1">
        <f>HYPERLINK("http://www.twitter.com/NathanBLawrence/status/998258859604107264", "998258859604107264")</f>
        <v/>
      </c>
      <c r="B581" s="2" t="n">
        <v>43240.74112268518</v>
      </c>
      <c r="C581" t="n">
        <v>0</v>
      </c>
      <c r="D581" t="n">
        <v>11</v>
      </c>
      <c r="E581" t="s">
        <v>586</v>
      </c>
      <c r="F581" t="s"/>
      <c r="G581" t="s"/>
      <c r="H581" t="s"/>
      <c r="I581" t="s"/>
      <c r="J581" t="n">
        <v>0.4939</v>
      </c>
      <c r="K581" t="n">
        <v>0</v>
      </c>
      <c r="L581" t="n">
        <v>0.856</v>
      </c>
      <c r="M581" t="n">
        <v>0.144</v>
      </c>
    </row>
    <row r="582" spans="1:13">
      <c r="A582" s="1">
        <f>HYPERLINK("http://www.twitter.com/NathanBLawrence/status/998258814309806080", "998258814309806080")</f>
        <v/>
      </c>
      <c r="B582" s="2" t="n">
        <v>43240.74099537037</v>
      </c>
      <c r="C582" t="n">
        <v>0</v>
      </c>
      <c r="D582" t="n">
        <v>8</v>
      </c>
      <c r="E582" t="s">
        <v>587</v>
      </c>
      <c r="F582" t="s"/>
      <c r="G582" t="s"/>
      <c r="H582" t="s"/>
      <c r="I582" t="s"/>
      <c r="J582" t="n">
        <v>0</v>
      </c>
      <c r="K582" t="n">
        <v>0</v>
      </c>
      <c r="L582" t="n">
        <v>1</v>
      </c>
      <c r="M582" t="n">
        <v>0</v>
      </c>
    </row>
    <row r="583" spans="1:13">
      <c r="A583" s="1">
        <f>HYPERLINK("http://www.twitter.com/NathanBLawrence/status/998234523182788608", "998234523182788608")</f>
        <v/>
      </c>
      <c r="B583" s="2" t="n">
        <v>43240.67396990741</v>
      </c>
      <c r="C583" t="n">
        <v>2</v>
      </c>
      <c r="D583" t="n">
        <v>1</v>
      </c>
      <c r="E583" t="s">
        <v>588</v>
      </c>
      <c r="F583" t="s"/>
      <c r="G583" t="s"/>
      <c r="H583" t="s"/>
      <c r="I583" t="s"/>
      <c r="J583" t="n">
        <v>0</v>
      </c>
      <c r="K583" t="n">
        <v>0</v>
      </c>
      <c r="L583" t="n">
        <v>1</v>
      </c>
      <c r="M583" t="n">
        <v>0</v>
      </c>
    </row>
    <row r="584" spans="1:13">
      <c r="A584" s="1">
        <f>HYPERLINK("http://www.twitter.com/NathanBLawrence/status/998233480768172032", "998233480768172032")</f>
        <v/>
      </c>
      <c r="B584" s="2" t="n">
        <v>43240.67108796296</v>
      </c>
      <c r="C584" t="n">
        <v>0</v>
      </c>
      <c r="D584" t="n">
        <v>4</v>
      </c>
      <c r="E584" t="s">
        <v>589</v>
      </c>
      <c r="F584" t="s"/>
      <c r="G584" t="s"/>
      <c r="H584" t="s"/>
      <c r="I584" t="s"/>
      <c r="J584" t="n">
        <v>0</v>
      </c>
      <c r="K584" t="n">
        <v>0</v>
      </c>
      <c r="L584" t="n">
        <v>1</v>
      </c>
      <c r="M584" t="n">
        <v>0</v>
      </c>
    </row>
    <row r="585" spans="1:13">
      <c r="A585" s="1">
        <f>HYPERLINK("http://www.twitter.com/NathanBLawrence/status/998228243298816000", "998228243298816000")</f>
        <v/>
      </c>
      <c r="B585" s="2" t="n">
        <v>43240.65664351852</v>
      </c>
      <c r="C585" t="n">
        <v>1</v>
      </c>
      <c r="D585" t="n">
        <v>1</v>
      </c>
      <c r="E585" t="s">
        <v>590</v>
      </c>
      <c r="F585" t="s"/>
      <c r="G585" t="s"/>
      <c r="H585" t="s"/>
      <c r="I585" t="s"/>
      <c r="J585" t="n">
        <v>0</v>
      </c>
      <c r="K585" t="n">
        <v>0</v>
      </c>
      <c r="L585" t="n">
        <v>1</v>
      </c>
      <c r="M585" t="n">
        <v>0</v>
      </c>
    </row>
    <row r="586" spans="1:13">
      <c r="A586" s="1">
        <f>HYPERLINK("http://www.twitter.com/NathanBLawrence/status/998228046418235392", "998228046418235392")</f>
        <v/>
      </c>
      <c r="B586" s="2" t="n">
        <v>43240.65609953704</v>
      </c>
      <c r="C586" t="n">
        <v>2</v>
      </c>
      <c r="D586" t="n">
        <v>1</v>
      </c>
      <c r="E586" t="s">
        <v>309</v>
      </c>
      <c r="F586" t="s"/>
      <c r="G586" t="s"/>
      <c r="H586" t="s"/>
      <c r="I586" t="s"/>
      <c r="J586" t="n">
        <v>0</v>
      </c>
      <c r="K586" t="n">
        <v>0</v>
      </c>
      <c r="L586" t="n">
        <v>1</v>
      </c>
      <c r="M586" t="n">
        <v>0</v>
      </c>
    </row>
    <row r="587" spans="1:13">
      <c r="A587" s="1">
        <f>HYPERLINK("http://www.twitter.com/NathanBLawrence/status/998227842180755456", "998227842180755456")</f>
        <v/>
      </c>
      <c r="B587" s="2" t="n">
        <v>43240.65553240741</v>
      </c>
      <c r="C587" t="n">
        <v>3</v>
      </c>
      <c r="D587" t="n">
        <v>1</v>
      </c>
      <c r="E587" t="s">
        <v>311</v>
      </c>
      <c r="F587" t="s"/>
      <c r="G587" t="s"/>
      <c r="H587" t="s"/>
      <c r="I587" t="s"/>
      <c r="J587" t="n">
        <v>0</v>
      </c>
      <c r="K587" t="n">
        <v>0</v>
      </c>
      <c r="L587" t="n">
        <v>1</v>
      </c>
      <c r="M587" t="n">
        <v>0</v>
      </c>
    </row>
    <row r="588" spans="1:13">
      <c r="A588" s="1">
        <f>HYPERLINK("http://www.twitter.com/NathanBLawrence/status/998227652195573760", "998227652195573760")</f>
        <v/>
      </c>
      <c r="B588" s="2" t="n">
        <v>43240.65501157408</v>
      </c>
      <c r="C588" t="n">
        <v>0</v>
      </c>
      <c r="D588" t="n">
        <v>5</v>
      </c>
      <c r="E588" t="s">
        <v>591</v>
      </c>
      <c r="F588" t="s"/>
      <c r="G588" t="s"/>
      <c r="H588" t="s"/>
      <c r="I588" t="s"/>
      <c r="J588" t="n">
        <v>0.5266999999999999</v>
      </c>
      <c r="K588" t="n">
        <v>0</v>
      </c>
      <c r="L588" t="n">
        <v>0.764</v>
      </c>
      <c r="M588" t="n">
        <v>0.236</v>
      </c>
    </row>
    <row r="589" spans="1:13">
      <c r="A589" s="1">
        <f>HYPERLINK("http://www.twitter.com/NathanBLawrence/status/998226853830807552", "998226853830807552")</f>
        <v/>
      </c>
      <c r="B589" s="2" t="n">
        <v>43240.65280092593</v>
      </c>
      <c r="C589" t="n">
        <v>2</v>
      </c>
      <c r="D589" t="n">
        <v>0</v>
      </c>
      <c r="E589" t="s">
        <v>592</v>
      </c>
      <c r="F589">
        <f>HYPERLINK("http://pbs.twimg.com/media/DdpqB1MVAAAfExP.jpg", "http://pbs.twimg.com/media/DdpqB1MVAAAfExP.jpg")</f>
        <v/>
      </c>
      <c r="G589" t="s"/>
      <c r="H589" t="s"/>
      <c r="I589" t="s"/>
      <c r="J589" t="n">
        <v>0</v>
      </c>
      <c r="K589" t="n">
        <v>0</v>
      </c>
      <c r="L589" t="n">
        <v>1</v>
      </c>
      <c r="M589" t="n">
        <v>0</v>
      </c>
    </row>
    <row r="590" spans="1:13">
      <c r="A590" s="1">
        <f>HYPERLINK("http://www.twitter.com/NathanBLawrence/status/998060754191429632", "998060754191429632")</f>
        <v/>
      </c>
      <c r="B590" s="2" t="n">
        <v>43240.19445601852</v>
      </c>
      <c r="C590" t="n">
        <v>0</v>
      </c>
      <c r="D590" t="n">
        <v>27</v>
      </c>
      <c r="E590" t="s">
        <v>593</v>
      </c>
      <c r="F590" t="s"/>
      <c r="G590" t="s"/>
      <c r="H590" t="s"/>
      <c r="I590" t="s"/>
      <c r="J590" t="n">
        <v>0.6705</v>
      </c>
      <c r="K590" t="n">
        <v>0</v>
      </c>
      <c r="L590" t="n">
        <v>0.756</v>
      </c>
      <c r="M590" t="n">
        <v>0.244</v>
      </c>
    </row>
    <row r="591" spans="1:13">
      <c r="A591" s="1">
        <f>HYPERLINK("http://www.twitter.com/NathanBLawrence/status/998060696536604672", "998060696536604672")</f>
        <v/>
      </c>
      <c r="B591" s="2" t="n">
        <v>43240.19429398148</v>
      </c>
      <c r="C591" t="n">
        <v>0</v>
      </c>
      <c r="D591" t="n">
        <v>14</v>
      </c>
      <c r="E591" t="s">
        <v>594</v>
      </c>
      <c r="F591" t="s"/>
      <c r="G591" t="s"/>
      <c r="H591" t="s"/>
      <c r="I591" t="s"/>
      <c r="J591" t="n">
        <v>0</v>
      </c>
      <c r="K591" t="n">
        <v>0</v>
      </c>
      <c r="L591" t="n">
        <v>1</v>
      </c>
      <c r="M591" t="n">
        <v>0</v>
      </c>
    </row>
    <row r="592" spans="1:13">
      <c r="A592" s="1">
        <f>HYPERLINK("http://www.twitter.com/NathanBLawrence/status/998060458253971456", "998060458253971456")</f>
        <v/>
      </c>
      <c r="B592" s="2" t="n">
        <v>43240.19363425926</v>
      </c>
      <c r="C592" t="n">
        <v>0</v>
      </c>
      <c r="D592" t="n">
        <v>639</v>
      </c>
      <c r="E592" t="s">
        <v>595</v>
      </c>
      <c r="F592">
        <f>HYPERLINK("http://pbs.twimg.com/media/DdmiG0-U0AIrnh8.jpg", "http://pbs.twimg.com/media/DdmiG0-U0AIrnh8.jpg")</f>
        <v/>
      </c>
      <c r="G592" t="s"/>
      <c r="H592" t="s"/>
      <c r="I592" t="s"/>
      <c r="J592" t="n">
        <v>0</v>
      </c>
      <c r="K592" t="n">
        <v>0</v>
      </c>
      <c r="L592" t="n">
        <v>1</v>
      </c>
      <c r="M592" t="n">
        <v>0</v>
      </c>
    </row>
    <row r="593" spans="1:13">
      <c r="A593" s="1">
        <f>HYPERLINK("http://www.twitter.com/NathanBLawrence/status/998052480335450112", "998052480335450112")</f>
        <v/>
      </c>
      <c r="B593" s="2" t="n">
        <v>43240.17162037037</v>
      </c>
      <c r="C593" t="n">
        <v>0</v>
      </c>
      <c r="D593" t="n">
        <v>2671</v>
      </c>
      <c r="E593" t="s">
        <v>596</v>
      </c>
      <c r="F593" t="s"/>
      <c r="G593" t="s"/>
      <c r="H593" t="s"/>
      <c r="I593" t="s"/>
      <c r="J593" t="n">
        <v>0.34</v>
      </c>
      <c r="K593" t="n">
        <v>0</v>
      </c>
      <c r="L593" t="n">
        <v>0.897</v>
      </c>
      <c r="M593" t="n">
        <v>0.103</v>
      </c>
    </row>
    <row r="594" spans="1:13">
      <c r="A594" s="1">
        <f>HYPERLINK("http://www.twitter.com/NathanBLawrence/status/998052441030643712", "998052441030643712")</f>
        <v/>
      </c>
      <c r="B594" s="2" t="n">
        <v>43240.17151620371</v>
      </c>
      <c r="C594" t="n">
        <v>0</v>
      </c>
      <c r="D594" t="n">
        <v>5880</v>
      </c>
      <c r="E594" t="s">
        <v>597</v>
      </c>
      <c r="F594" t="s"/>
      <c r="G594" t="s"/>
      <c r="H594" t="s"/>
      <c r="I594" t="s"/>
      <c r="J594" t="n">
        <v>0</v>
      </c>
      <c r="K594" t="n">
        <v>0</v>
      </c>
      <c r="L594" t="n">
        <v>1</v>
      </c>
      <c r="M594" t="n">
        <v>0</v>
      </c>
    </row>
    <row r="595" spans="1:13">
      <c r="A595" s="1">
        <f>HYPERLINK("http://www.twitter.com/NathanBLawrence/status/998052406565928960", "998052406565928960")</f>
        <v/>
      </c>
      <c r="B595" s="2" t="n">
        <v>43240.17142361111</v>
      </c>
      <c r="C595" t="n">
        <v>0</v>
      </c>
      <c r="D595" t="n">
        <v>1525</v>
      </c>
      <c r="E595" t="s">
        <v>598</v>
      </c>
      <c r="F595" t="s"/>
      <c r="G595" t="s"/>
      <c r="H595" t="s"/>
      <c r="I595" t="s"/>
      <c r="J595" t="n">
        <v>-0.7906</v>
      </c>
      <c r="K595" t="n">
        <v>0.333</v>
      </c>
      <c r="L595" t="n">
        <v>0.667</v>
      </c>
      <c r="M595" t="n">
        <v>0</v>
      </c>
    </row>
    <row r="596" spans="1:13">
      <c r="A596" s="1">
        <f>HYPERLINK("http://www.twitter.com/NathanBLawrence/status/998051549028012033", "998051549028012033")</f>
        <v/>
      </c>
      <c r="B596" s="2" t="n">
        <v>43240.16905092593</v>
      </c>
      <c r="C596" t="n">
        <v>0</v>
      </c>
      <c r="D596" t="n">
        <v>22</v>
      </c>
      <c r="E596" t="s">
        <v>599</v>
      </c>
      <c r="F596">
        <f>HYPERLINK("http://pbs.twimg.com/media/DdnKggXU0AIkJrN.jpg", "http://pbs.twimg.com/media/DdnKggXU0AIkJrN.jpg")</f>
        <v/>
      </c>
      <c r="G596" t="s"/>
      <c r="H596" t="s"/>
      <c r="I596" t="s"/>
      <c r="J596" t="n">
        <v>-0.6124000000000001</v>
      </c>
      <c r="K596" t="n">
        <v>0.248</v>
      </c>
      <c r="L596" t="n">
        <v>0.647</v>
      </c>
      <c r="M596" t="n">
        <v>0.104</v>
      </c>
    </row>
    <row r="597" spans="1:13">
      <c r="A597" s="1">
        <f>HYPERLINK("http://www.twitter.com/NathanBLawrence/status/998051461945839617", "998051461945839617")</f>
        <v/>
      </c>
      <c r="B597" s="2" t="n">
        <v>43240.16881944444</v>
      </c>
      <c r="C597" t="n">
        <v>25</v>
      </c>
      <c r="D597" t="n">
        <v>22</v>
      </c>
      <c r="E597" t="s">
        <v>600</v>
      </c>
      <c r="F597">
        <f>HYPERLINK("http://pbs.twimg.com/media/DdnKggXU0AIkJrN.jpg", "http://pbs.twimg.com/media/DdnKggXU0AIkJrN.jpg")</f>
        <v/>
      </c>
      <c r="G597" t="s"/>
      <c r="H597" t="s"/>
      <c r="I597" t="s"/>
      <c r="J597" t="n">
        <v>-0.8472</v>
      </c>
      <c r="K597" t="n">
        <v>0.236</v>
      </c>
      <c r="L597" t="n">
        <v>0.672</v>
      </c>
      <c r="M597" t="n">
        <v>0.092</v>
      </c>
    </row>
    <row r="598" spans="1:13">
      <c r="A598" s="1">
        <f>HYPERLINK("http://www.twitter.com/NathanBLawrence/status/998050745529327616", "998050745529327616")</f>
        <v/>
      </c>
      <c r="B598" s="2" t="n">
        <v>43240.16684027778</v>
      </c>
      <c r="C598" t="n">
        <v>0</v>
      </c>
      <c r="D598" t="n">
        <v>28</v>
      </c>
      <c r="E598" t="s">
        <v>563</v>
      </c>
      <c r="F598">
        <f>HYPERLINK("http://pbs.twimg.com/media/DdnJwjCVQAAXKjJ.jpg", "http://pbs.twimg.com/media/DdnJwjCVQAAXKjJ.jpg")</f>
        <v/>
      </c>
      <c r="G598" t="s"/>
      <c r="H598" t="s"/>
      <c r="I598" t="s"/>
      <c r="J598" t="n">
        <v>0</v>
      </c>
      <c r="K598" t="n">
        <v>0</v>
      </c>
      <c r="L598" t="n">
        <v>1</v>
      </c>
      <c r="M598" t="n">
        <v>0</v>
      </c>
    </row>
    <row r="599" spans="1:13">
      <c r="A599" s="1">
        <f>HYPERLINK("http://www.twitter.com/NathanBLawrence/status/998050637811249152", "998050637811249152")</f>
        <v/>
      </c>
      <c r="B599" s="2" t="n">
        <v>43240.16653935185</v>
      </c>
      <c r="C599" t="n">
        <v>40</v>
      </c>
      <c r="D599" t="n">
        <v>28</v>
      </c>
      <c r="E599" t="s">
        <v>601</v>
      </c>
      <c r="F599">
        <f>HYPERLINK("http://pbs.twimg.com/media/DdnJwjCVQAAXKjJ.jpg", "http://pbs.twimg.com/media/DdnJwjCVQAAXKjJ.jpg")</f>
        <v/>
      </c>
      <c r="G599" t="s"/>
      <c r="H599" t="s"/>
      <c r="I599" t="s"/>
      <c r="J599" t="n">
        <v>0.4501</v>
      </c>
      <c r="K599" t="n">
        <v>0</v>
      </c>
      <c r="L599" t="n">
        <v>0.928</v>
      </c>
      <c r="M599" t="n">
        <v>0.07199999999999999</v>
      </c>
    </row>
    <row r="600" spans="1:13">
      <c r="A600" s="1">
        <f>HYPERLINK("http://www.twitter.com/NathanBLawrence/status/997963689088159745", "997963689088159745")</f>
        <v/>
      </c>
      <c r="B600" s="2" t="n">
        <v>43239.9266087963</v>
      </c>
      <c r="C600" t="n">
        <v>7</v>
      </c>
      <c r="D600" t="n">
        <v>4</v>
      </c>
      <c r="E600" t="s">
        <v>602</v>
      </c>
      <c r="F600">
        <f>HYPERLINK("http://pbs.twimg.com/media/Ddl6rVJV4AA-V5d.jpg", "http://pbs.twimg.com/media/Ddl6rVJV4AA-V5d.jpg")</f>
        <v/>
      </c>
      <c r="G600" t="s"/>
      <c r="H600" t="s"/>
      <c r="I600" t="s"/>
      <c r="J600" t="n">
        <v>0</v>
      </c>
      <c r="K600" t="n">
        <v>0</v>
      </c>
      <c r="L600" t="n">
        <v>1</v>
      </c>
      <c r="M600" t="n">
        <v>0</v>
      </c>
    </row>
    <row r="601" spans="1:13">
      <c r="A601" s="1">
        <f>HYPERLINK("http://www.twitter.com/NathanBLawrence/status/997956957146435585", "997956957146435585")</f>
        <v/>
      </c>
      <c r="B601" s="2" t="n">
        <v>43239.90803240741</v>
      </c>
      <c r="C601" t="n">
        <v>0</v>
      </c>
      <c r="D601" t="n">
        <v>9</v>
      </c>
      <c r="E601" t="s">
        <v>603</v>
      </c>
      <c r="F601" t="s"/>
      <c r="G601" t="s"/>
      <c r="H601" t="s"/>
      <c r="I601" t="s"/>
      <c r="J601" t="n">
        <v>0.5321</v>
      </c>
      <c r="K601" t="n">
        <v>0.067</v>
      </c>
      <c r="L601" t="n">
        <v>0.727</v>
      </c>
      <c r="M601" t="n">
        <v>0.206</v>
      </c>
    </row>
    <row r="602" spans="1:13">
      <c r="A602" s="1">
        <f>HYPERLINK("http://www.twitter.com/NathanBLawrence/status/997956944756342784", "997956944756342784")</f>
        <v/>
      </c>
      <c r="B602" s="2" t="n">
        <v>43239.90799768519</v>
      </c>
      <c r="C602" t="n">
        <v>0</v>
      </c>
      <c r="D602" t="n">
        <v>11</v>
      </c>
      <c r="E602" t="s">
        <v>604</v>
      </c>
      <c r="F602" t="s"/>
      <c r="G602" t="s"/>
      <c r="H602" t="s"/>
      <c r="I602" t="s"/>
      <c r="J602" t="n">
        <v>-0.34</v>
      </c>
      <c r="K602" t="n">
        <v>0.175</v>
      </c>
      <c r="L602" t="n">
        <v>0.825</v>
      </c>
      <c r="M602" t="n">
        <v>0</v>
      </c>
    </row>
    <row r="603" spans="1:13">
      <c r="A603" s="1">
        <f>HYPERLINK("http://www.twitter.com/NathanBLawrence/status/997956442438209536", "997956442438209536")</f>
        <v/>
      </c>
      <c r="B603" s="2" t="n">
        <v>43239.90660879629</v>
      </c>
      <c r="C603" t="n">
        <v>8</v>
      </c>
      <c r="D603" t="n">
        <v>5</v>
      </c>
      <c r="E603" t="s">
        <v>605</v>
      </c>
      <c r="F603" t="s"/>
      <c r="G603" t="s"/>
      <c r="H603" t="s"/>
      <c r="I603" t="s"/>
      <c r="J603" t="n">
        <v>-0.3254</v>
      </c>
      <c r="K603" t="n">
        <v>0.145</v>
      </c>
      <c r="L603" t="n">
        <v>0.719</v>
      </c>
      <c r="M603" t="n">
        <v>0.136</v>
      </c>
    </row>
    <row r="604" spans="1:13">
      <c r="A604" s="1">
        <f>HYPERLINK("http://www.twitter.com/NathanBLawrence/status/997956167598051329", "997956167598051329")</f>
        <v/>
      </c>
      <c r="B604" s="2" t="n">
        <v>43239.90585648148</v>
      </c>
      <c r="C604" t="n">
        <v>0</v>
      </c>
      <c r="D604" t="n">
        <v>13</v>
      </c>
      <c r="E604" t="s">
        <v>606</v>
      </c>
      <c r="F604">
        <f>HYPERLINK("http://pbs.twimg.com/media/Ddlxeb7U8AAIKe2.jpg", "http://pbs.twimg.com/media/Ddlxeb7U8AAIKe2.jpg")</f>
        <v/>
      </c>
      <c r="G604" t="s"/>
      <c r="H604" t="s"/>
      <c r="I604" t="s"/>
      <c r="J604" t="n">
        <v>0.4404</v>
      </c>
      <c r="K604" t="n">
        <v>0</v>
      </c>
      <c r="L604" t="n">
        <v>0.892</v>
      </c>
      <c r="M604" t="n">
        <v>0.108</v>
      </c>
    </row>
    <row r="605" spans="1:13">
      <c r="A605" s="1">
        <f>HYPERLINK("http://www.twitter.com/NathanBLawrence/status/997954672706146304", "997954672706146304")</f>
        <v/>
      </c>
      <c r="B605" s="2" t="n">
        <v>43239.90172453703</v>
      </c>
      <c r="C605" t="n">
        <v>12</v>
      </c>
      <c r="D605" t="n">
        <v>11</v>
      </c>
      <c r="E605" t="s">
        <v>607</v>
      </c>
      <c r="F605" t="s"/>
      <c r="G605" t="s"/>
      <c r="H605" t="s"/>
      <c r="I605" t="s"/>
      <c r="J605" t="n">
        <v>-0.34</v>
      </c>
      <c r="K605" t="n">
        <v>0.195</v>
      </c>
      <c r="L605" t="n">
        <v>0.805</v>
      </c>
      <c r="M605" t="n">
        <v>0</v>
      </c>
    </row>
    <row r="606" spans="1:13">
      <c r="A606" s="1">
        <f>HYPERLINK("http://www.twitter.com/NathanBLawrence/status/997954493244411905", "997954493244411905")</f>
        <v/>
      </c>
      <c r="B606" s="2" t="n">
        <v>43239.90122685185</v>
      </c>
      <c r="C606" t="n">
        <v>0</v>
      </c>
      <c r="D606" t="n">
        <v>2</v>
      </c>
      <c r="E606" t="s">
        <v>608</v>
      </c>
      <c r="F606" t="s"/>
      <c r="G606" t="s"/>
      <c r="H606" t="s"/>
      <c r="I606" t="s"/>
      <c r="J606" t="n">
        <v>0</v>
      </c>
      <c r="K606" t="n">
        <v>0</v>
      </c>
      <c r="L606" t="n">
        <v>1</v>
      </c>
      <c r="M606" t="n">
        <v>0</v>
      </c>
    </row>
    <row r="607" spans="1:13">
      <c r="A607" s="1">
        <f>HYPERLINK("http://www.twitter.com/NathanBLawrence/status/997954437153984514", "997954437153984514")</f>
        <v/>
      </c>
      <c r="B607" s="2" t="n">
        <v>43239.90107638889</v>
      </c>
      <c r="C607" t="n">
        <v>0</v>
      </c>
      <c r="D607" t="n">
        <v>3</v>
      </c>
      <c r="E607" t="s">
        <v>609</v>
      </c>
      <c r="F607" t="s"/>
      <c r="G607" t="s"/>
      <c r="H607" t="s"/>
      <c r="I607" t="s"/>
      <c r="J607" t="n">
        <v>0.4404</v>
      </c>
      <c r="K607" t="n">
        <v>0</v>
      </c>
      <c r="L607" t="n">
        <v>0.861</v>
      </c>
      <c r="M607" t="n">
        <v>0.139</v>
      </c>
    </row>
    <row r="608" spans="1:13">
      <c r="A608" s="1">
        <f>HYPERLINK("http://www.twitter.com/NathanBLawrence/status/997954403930910720", "997954403930910720")</f>
        <v/>
      </c>
      <c r="B608" s="2" t="n">
        <v>43239.90098379629</v>
      </c>
      <c r="C608" t="n">
        <v>14</v>
      </c>
      <c r="D608" t="n">
        <v>9</v>
      </c>
      <c r="E608" t="s">
        <v>610</v>
      </c>
      <c r="F608" t="s"/>
      <c r="G608" t="s"/>
      <c r="H608" t="s"/>
      <c r="I608" t="s"/>
      <c r="J608" t="n">
        <v>0.6524</v>
      </c>
      <c r="K608" t="n">
        <v>0.034</v>
      </c>
      <c r="L608" t="n">
        <v>0.826</v>
      </c>
      <c r="M608" t="n">
        <v>0.141</v>
      </c>
    </row>
    <row r="609" spans="1:13">
      <c r="A609" s="1">
        <f>HYPERLINK("http://www.twitter.com/NathanBLawrence/status/997953570937991168", "997953570937991168")</f>
        <v/>
      </c>
      <c r="B609" s="2" t="n">
        <v>43239.89869212963</v>
      </c>
      <c r="C609" t="n">
        <v>15</v>
      </c>
      <c r="D609" t="n">
        <v>13</v>
      </c>
      <c r="E609" t="s">
        <v>611</v>
      </c>
      <c r="F609">
        <f>HYPERLINK("http://pbs.twimg.com/media/Ddlxeb7U8AAIKe2.jpg", "http://pbs.twimg.com/media/Ddlxeb7U8AAIKe2.jpg")</f>
        <v/>
      </c>
      <c r="G609" t="s"/>
      <c r="H609" t="s"/>
      <c r="I609" t="s"/>
      <c r="J609" t="n">
        <v>0.5399</v>
      </c>
      <c r="K609" t="n">
        <v>0</v>
      </c>
      <c r="L609" t="n">
        <v>0.922</v>
      </c>
      <c r="M609" t="n">
        <v>0.078</v>
      </c>
    </row>
    <row r="610" spans="1:13">
      <c r="A610" s="1">
        <f>HYPERLINK("http://www.twitter.com/NathanBLawrence/status/997953020217487362", "997953020217487362")</f>
        <v/>
      </c>
      <c r="B610" s="2" t="n">
        <v>43239.89716435185</v>
      </c>
      <c r="C610" t="n">
        <v>0</v>
      </c>
      <c r="D610" t="n">
        <v>6</v>
      </c>
      <c r="E610" t="s">
        <v>612</v>
      </c>
      <c r="F610" t="s"/>
      <c r="G610" t="s"/>
      <c r="H610" t="s"/>
      <c r="I610" t="s"/>
      <c r="J610" t="n">
        <v>-0.3595</v>
      </c>
      <c r="K610" t="n">
        <v>0.135</v>
      </c>
      <c r="L610" t="n">
        <v>0.865</v>
      </c>
      <c r="M610" t="n">
        <v>0</v>
      </c>
    </row>
    <row r="611" spans="1:13">
      <c r="A611" s="1">
        <f>HYPERLINK("http://www.twitter.com/NathanBLawrence/status/997952879515328513", "997952879515328513")</f>
        <v/>
      </c>
      <c r="B611" s="2" t="n">
        <v>43239.89678240741</v>
      </c>
      <c r="C611" t="n">
        <v>0</v>
      </c>
      <c r="D611" t="n">
        <v>9</v>
      </c>
      <c r="E611" t="s">
        <v>613</v>
      </c>
      <c r="F611" t="s"/>
      <c r="G611" t="s"/>
      <c r="H611" t="s"/>
      <c r="I611" t="s"/>
      <c r="J611" t="n">
        <v>0.5719</v>
      </c>
      <c r="K611" t="n">
        <v>0.107</v>
      </c>
      <c r="L611" t="n">
        <v>0.657</v>
      </c>
      <c r="M611" t="n">
        <v>0.235</v>
      </c>
    </row>
    <row r="612" spans="1:13">
      <c r="A612" s="1">
        <f>HYPERLINK("http://www.twitter.com/NathanBLawrence/status/997952797655085058", "997952797655085058")</f>
        <v/>
      </c>
      <c r="B612" s="2" t="n">
        <v>43239.89655092593</v>
      </c>
      <c r="C612" t="n">
        <v>0</v>
      </c>
      <c r="D612" t="n">
        <v>5</v>
      </c>
      <c r="E612" t="s">
        <v>614</v>
      </c>
      <c r="F612" t="s"/>
      <c r="G612" t="s"/>
      <c r="H612" t="s"/>
      <c r="I612" t="s"/>
      <c r="J612" t="n">
        <v>0.34</v>
      </c>
      <c r="K612" t="n">
        <v>0</v>
      </c>
      <c r="L612" t="n">
        <v>0.906</v>
      </c>
      <c r="M612" t="n">
        <v>0.094</v>
      </c>
    </row>
    <row r="613" spans="1:13">
      <c r="A613" s="1">
        <f>HYPERLINK("http://www.twitter.com/NathanBLawrence/status/997952735491362817", "997952735491362817")</f>
        <v/>
      </c>
      <c r="B613" s="2" t="n">
        <v>43239.89637731481</v>
      </c>
      <c r="C613" t="n">
        <v>0</v>
      </c>
      <c r="D613" t="n">
        <v>11</v>
      </c>
      <c r="E613" t="s">
        <v>615</v>
      </c>
      <c r="F613" t="s"/>
      <c r="G613" t="s"/>
      <c r="H613" t="s"/>
      <c r="I613" t="s"/>
      <c r="J613" t="n">
        <v>0.4572</v>
      </c>
      <c r="K613" t="n">
        <v>0</v>
      </c>
      <c r="L613" t="n">
        <v>0.88</v>
      </c>
      <c r="M613" t="n">
        <v>0.12</v>
      </c>
    </row>
    <row r="614" spans="1:13">
      <c r="A614" s="1">
        <f>HYPERLINK("http://www.twitter.com/NathanBLawrence/status/997952682039152640", "997952682039152640")</f>
        <v/>
      </c>
      <c r="B614" s="2" t="n">
        <v>43239.89623842593</v>
      </c>
      <c r="C614" t="n">
        <v>0</v>
      </c>
      <c r="D614" t="n">
        <v>2</v>
      </c>
      <c r="E614" t="s">
        <v>616</v>
      </c>
      <c r="F614" t="s"/>
      <c r="G614" t="s"/>
      <c r="H614" t="s"/>
      <c r="I614" t="s"/>
      <c r="J614" t="n">
        <v>-0.2462</v>
      </c>
      <c r="K614" t="n">
        <v>0.135</v>
      </c>
      <c r="L614" t="n">
        <v>0.777</v>
      </c>
      <c r="M614" t="n">
        <v>0.08699999999999999</v>
      </c>
    </row>
    <row r="615" spans="1:13">
      <c r="A615" s="1">
        <f>HYPERLINK("http://www.twitter.com/NathanBLawrence/status/997952669691019265", "997952669691019265")</f>
        <v/>
      </c>
      <c r="B615" s="2" t="n">
        <v>43239.89620370371</v>
      </c>
      <c r="C615" t="n">
        <v>0</v>
      </c>
      <c r="D615" t="n">
        <v>11</v>
      </c>
      <c r="E615" t="s">
        <v>617</v>
      </c>
      <c r="F615">
        <f>HYPERLINK("http://pbs.twimg.com/media/DdlMSqYXkAEi4Ll.jpg", "http://pbs.twimg.com/media/DdlMSqYXkAEi4Ll.jpg")</f>
        <v/>
      </c>
      <c r="G615" t="s"/>
      <c r="H615" t="s"/>
      <c r="I615" t="s"/>
      <c r="J615" t="n">
        <v>-0.5213</v>
      </c>
      <c r="K615" t="n">
        <v>0.179</v>
      </c>
      <c r="L615" t="n">
        <v>0.821</v>
      </c>
      <c r="M615" t="n">
        <v>0</v>
      </c>
    </row>
    <row r="616" spans="1:13">
      <c r="A616" s="1">
        <f>HYPERLINK("http://www.twitter.com/NathanBLawrence/status/997952508889837569", "997952508889837569")</f>
        <v/>
      </c>
      <c r="B616" s="2" t="n">
        <v>43239.89575231481</v>
      </c>
      <c r="C616" t="n">
        <v>7</v>
      </c>
      <c r="D616" t="n">
        <v>5</v>
      </c>
      <c r="E616" t="s">
        <v>618</v>
      </c>
      <c r="F616" t="s"/>
      <c r="G616" t="s"/>
      <c r="H616" t="s"/>
      <c r="I616" t="s"/>
      <c r="J616" t="n">
        <v>-0.7302999999999999</v>
      </c>
      <c r="K616" t="n">
        <v>0.165</v>
      </c>
      <c r="L616" t="n">
        <v>0.756</v>
      </c>
      <c r="M616" t="n">
        <v>0.079</v>
      </c>
    </row>
    <row r="617" spans="1:13">
      <c r="A617" s="1">
        <f>HYPERLINK("http://www.twitter.com/NathanBLawrence/status/997951833380392960", "997951833380392960")</f>
        <v/>
      </c>
      <c r="B617" s="2" t="n">
        <v>43239.89388888889</v>
      </c>
      <c r="C617" t="n">
        <v>0</v>
      </c>
      <c r="D617" t="n">
        <v>6</v>
      </c>
      <c r="E617" t="s">
        <v>619</v>
      </c>
      <c r="F617" t="s"/>
      <c r="G617" t="s"/>
      <c r="H617" t="s"/>
      <c r="I617" t="s"/>
      <c r="J617" t="n">
        <v>0.34</v>
      </c>
      <c r="K617" t="n">
        <v>0</v>
      </c>
      <c r="L617" t="n">
        <v>0.87</v>
      </c>
      <c r="M617" t="n">
        <v>0.13</v>
      </c>
    </row>
    <row r="618" spans="1:13">
      <c r="A618" s="1">
        <f>HYPERLINK("http://www.twitter.com/NathanBLawrence/status/997951800228577280", "997951800228577280")</f>
        <v/>
      </c>
      <c r="B618" s="2" t="n">
        <v>43239.8937962963</v>
      </c>
      <c r="C618" t="n">
        <v>0</v>
      </c>
      <c r="D618" t="n">
        <v>17</v>
      </c>
      <c r="E618" t="s">
        <v>620</v>
      </c>
      <c r="F618" t="s"/>
      <c r="G618" t="s"/>
      <c r="H618" t="s"/>
      <c r="I618" t="s"/>
      <c r="J618" t="n">
        <v>0.6705</v>
      </c>
      <c r="K618" t="n">
        <v>0</v>
      </c>
      <c r="L618" t="n">
        <v>0.776</v>
      </c>
      <c r="M618" t="n">
        <v>0.224</v>
      </c>
    </row>
    <row r="619" spans="1:13">
      <c r="A619" s="1">
        <f>HYPERLINK("http://www.twitter.com/NathanBLawrence/status/997951776941903872", "997951776941903872")</f>
        <v/>
      </c>
      <c r="B619" s="2" t="n">
        <v>43239.89373842593</v>
      </c>
      <c r="C619" t="n">
        <v>0</v>
      </c>
      <c r="D619" t="n">
        <v>5</v>
      </c>
      <c r="E619" t="s">
        <v>621</v>
      </c>
      <c r="F619" t="s"/>
      <c r="G619" t="s"/>
      <c r="H619" t="s"/>
      <c r="I619" t="s"/>
      <c r="J619" t="n">
        <v>-0.6239</v>
      </c>
      <c r="K619" t="n">
        <v>0.214</v>
      </c>
      <c r="L619" t="n">
        <v>0.786</v>
      </c>
      <c r="M619" t="n">
        <v>0</v>
      </c>
    </row>
    <row r="620" spans="1:13">
      <c r="A620" s="1">
        <f>HYPERLINK("http://www.twitter.com/NathanBLawrence/status/997951659107119111", "997951659107119111")</f>
        <v/>
      </c>
      <c r="B620" s="2" t="n">
        <v>43239.89341435185</v>
      </c>
      <c r="C620" t="n">
        <v>0</v>
      </c>
      <c r="D620" t="n">
        <v>4</v>
      </c>
      <c r="E620" t="s">
        <v>622</v>
      </c>
      <c r="F620" t="s"/>
      <c r="G620" t="s"/>
      <c r="H620" t="s"/>
      <c r="I620" t="s"/>
      <c r="J620" t="n">
        <v>-0.5106000000000001</v>
      </c>
      <c r="K620" t="n">
        <v>0.17</v>
      </c>
      <c r="L620" t="n">
        <v>0.83</v>
      </c>
      <c r="M620" t="n">
        <v>0</v>
      </c>
    </row>
    <row r="621" spans="1:13">
      <c r="A621" s="1">
        <f>HYPERLINK("http://www.twitter.com/NathanBLawrence/status/997951610469920778", "997951610469920778")</f>
        <v/>
      </c>
      <c r="B621" s="2" t="n">
        <v>43239.89327546296</v>
      </c>
      <c r="C621" t="n">
        <v>0</v>
      </c>
      <c r="D621" t="n">
        <v>4</v>
      </c>
      <c r="E621" t="s">
        <v>623</v>
      </c>
      <c r="F621" t="s"/>
      <c r="G621" t="s"/>
      <c r="H621" t="s"/>
      <c r="I621" t="s"/>
      <c r="J621" t="n">
        <v>0.7068</v>
      </c>
      <c r="K621" t="n">
        <v>0.05</v>
      </c>
      <c r="L621" t="n">
        <v>0.658</v>
      </c>
      <c r="M621" t="n">
        <v>0.292</v>
      </c>
    </row>
    <row r="622" spans="1:13">
      <c r="A622" s="1">
        <f>HYPERLINK("http://www.twitter.com/NathanBLawrence/status/997948419082739712", "997948419082739712")</f>
        <v/>
      </c>
      <c r="B622" s="2" t="n">
        <v>43239.88446759259</v>
      </c>
      <c r="C622" t="n">
        <v>0</v>
      </c>
      <c r="D622" t="n">
        <v>11892</v>
      </c>
      <c r="E622" t="s">
        <v>624</v>
      </c>
      <c r="F622" t="s"/>
      <c r="G622" t="s"/>
      <c r="H622" t="s"/>
      <c r="I622" t="s"/>
      <c r="J622" t="n">
        <v>0.2682</v>
      </c>
      <c r="K622" t="n">
        <v>0</v>
      </c>
      <c r="L622" t="n">
        <v>0.914</v>
      </c>
      <c r="M622" t="n">
        <v>0.08599999999999999</v>
      </c>
    </row>
    <row r="623" spans="1:13">
      <c r="A623" s="1">
        <f>HYPERLINK("http://www.twitter.com/NathanBLawrence/status/997905013073694720", "997905013073694720")</f>
        <v/>
      </c>
      <c r="B623" s="2" t="n">
        <v>43239.7646875</v>
      </c>
      <c r="C623" t="n">
        <v>0</v>
      </c>
      <c r="D623" t="n">
        <v>16</v>
      </c>
      <c r="E623" t="s">
        <v>625</v>
      </c>
      <c r="F623" t="s"/>
      <c r="G623" t="s"/>
      <c r="H623" t="s"/>
      <c r="I623" t="s"/>
      <c r="J623" t="n">
        <v>0.1969</v>
      </c>
      <c r="K623" t="n">
        <v>0.055</v>
      </c>
      <c r="L623" t="n">
        <v>0.855</v>
      </c>
      <c r="M623" t="n">
        <v>0.09</v>
      </c>
    </row>
    <row r="624" spans="1:13">
      <c r="A624" s="1">
        <f>HYPERLINK("http://www.twitter.com/NathanBLawrence/status/997905004915843078", "997905004915843078")</f>
        <v/>
      </c>
      <c r="B624" s="2" t="n">
        <v>43239.76467592592</v>
      </c>
      <c r="C624" t="n">
        <v>0</v>
      </c>
      <c r="D624" t="n">
        <v>4</v>
      </c>
      <c r="E624" t="s">
        <v>626</v>
      </c>
      <c r="F624" t="s"/>
      <c r="G624" t="s"/>
      <c r="H624" t="s"/>
      <c r="I624" t="s"/>
      <c r="J624" t="n">
        <v>0.1154</v>
      </c>
      <c r="K624" t="n">
        <v>0.07000000000000001</v>
      </c>
      <c r="L624" t="n">
        <v>0.802</v>
      </c>
      <c r="M624" t="n">
        <v>0.128</v>
      </c>
    </row>
    <row r="625" spans="1:13">
      <c r="A625" s="1">
        <f>HYPERLINK("http://www.twitter.com/NathanBLawrence/status/997725845925056512", "997725845925056512")</f>
        <v/>
      </c>
      <c r="B625" s="2" t="n">
        <v>43239.27028935185</v>
      </c>
      <c r="C625" t="n">
        <v>0</v>
      </c>
      <c r="D625" t="n">
        <v>15</v>
      </c>
      <c r="E625" t="s">
        <v>627</v>
      </c>
      <c r="F625" t="s"/>
      <c r="G625" t="s"/>
      <c r="H625" t="s"/>
      <c r="I625" t="s"/>
      <c r="J625" t="n">
        <v>-0.5423</v>
      </c>
      <c r="K625" t="n">
        <v>0.153</v>
      </c>
      <c r="L625" t="n">
        <v>0.847</v>
      </c>
      <c r="M625" t="n">
        <v>0</v>
      </c>
    </row>
    <row r="626" spans="1:13">
      <c r="A626" s="1">
        <f>HYPERLINK("http://www.twitter.com/NathanBLawrence/status/997725791625588736", "997725791625588736")</f>
        <v/>
      </c>
      <c r="B626" s="2" t="n">
        <v>43239.27013888889</v>
      </c>
      <c r="C626" t="n">
        <v>0</v>
      </c>
      <c r="D626" t="n">
        <v>3230</v>
      </c>
      <c r="E626" t="s">
        <v>628</v>
      </c>
      <c r="F626" t="s"/>
      <c r="G626" t="s"/>
      <c r="H626" t="s"/>
      <c r="I626" t="s"/>
      <c r="J626" t="n">
        <v>-0.6627999999999999</v>
      </c>
      <c r="K626" t="n">
        <v>0.218</v>
      </c>
      <c r="L626" t="n">
        <v>0.782</v>
      </c>
      <c r="M626" t="n">
        <v>0</v>
      </c>
    </row>
    <row r="627" spans="1:13">
      <c r="A627" s="1">
        <f>HYPERLINK("http://www.twitter.com/NathanBLawrence/status/997725756464787456", "997725756464787456")</f>
        <v/>
      </c>
      <c r="B627" s="2" t="n">
        <v>43239.27003472222</v>
      </c>
      <c r="C627" t="n">
        <v>0</v>
      </c>
      <c r="D627" t="n">
        <v>1530</v>
      </c>
      <c r="E627" t="s">
        <v>629</v>
      </c>
      <c r="F627" t="s"/>
      <c r="G627" t="s"/>
      <c r="H627" t="s"/>
      <c r="I627" t="s"/>
      <c r="J627" t="n">
        <v>0</v>
      </c>
      <c r="K627" t="n">
        <v>0</v>
      </c>
      <c r="L627" t="n">
        <v>1</v>
      </c>
      <c r="M627" t="n">
        <v>0</v>
      </c>
    </row>
    <row r="628" spans="1:13">
      <c r="A628" s="1">
        <f>HYPERLINK("http://www.twitter.com/NathanBLawrence/status/997725741881221121", "997725741881221121")</f>
        <v/>
      </c>
      <c r="B628" s="2" t="n">
        <v>43239.27</v>
      </c>
      <c r="C628" t="n">
        <v>0</v>
      </c>
      <c r="D628" t="n">
        <v>43363</v>
      </c>
      <c r="E628" t="s">
        <v>630</v>
      </c>
      <c r="F628" t="s"/>
      <c r="G628" t="s"/>
      <c r="H628" t="s"/>
      <c r="I628" t="s"/>
      <c r="J628" t="n">
        <v>-0.92</v>
      </c>
      <c r="K628" t="n">
        <v>0.45</v>
      </c>
      <c r="L628" t="n">
        <v>0.55</v>
      </c>
      <c r="M628" t="n">
        <v>0</v>
      </c>
    </row>
    <row r="629" spans="1:13">
      <c r="A629" s="1">
        <f>HYPERLINK("http://www.twitter.com/NathanBLawrence/status/997725680593985537", "997725680593985537")</f>
        <v/>
      </c>
      <c r="B629" s="2" t="n">
        <v>43239.26982638889</v>
      </c>
      <c r="C629" t="n">
        <v>0</v>
      </c>
      <c r="D629" t="n">
        <v>5037</v>
      </c>
      <c r="E629" t="s">
        <v>631</v>
      </c>
      <c r="F629" t="s"/>
      <c r="G629" t="s"/>
      <c r="H629" t="s"/>
      <c r="I629" t="s"/>
      <c r="J629" t="n">
        <v>0.3327</v>
      </c>
      <c r="K629" t="n">
        <v>0</v>
      </c>
      <c r="L629" t="n">
        <v>0.91</v>
      </c>
      <c r="M629" t="n">
        <v>0.09</v>
      </c>
    </row>
    <row r="630" spans="1:13">
      <c r="A630" s="1">
        <f>HYPERLINK("http://www.twitter.com/NathanBLawrence/status/997725634150436864", "997725634150436864")</f>
        <v/>
      </c>
      <c r="B630" s="2" t="n">
        <v>43239.26969907407</v>
      </c>
      <c r="C630" t="n">
        <v>0</v>
      </c>
      <c r="D630" t="n">
        <v>17</v>
      </c>
      <c r="E630" t="s">
        <v>632</v>
      </c>
      <c r="F630" t="s"/>
      <c r="G630" t="s"/>
      <c r="H630" t="s"/>
      <c r="I630" t="s"/>
      <c r="J630" t="n">
        <v>0</v>
      </c>
      <c r="K630" t="n">
        <v>0</v>
      </c>
      <c r="L630" t="n">
        <v>1</v>
      </c>
      <c r="M630" t="n">
        <v>0</v>
      </c>
    </row>
    <row r="631" spans="1:13">
      <c r="A631" s="1">
        <f>HYPERLINK("http://www.twitter.com/NathanBLawrence/status/997725491770609664", "997725491770609664")</f>
        <v/>
      </c>
      <c r="B631" s="2" t="n">
        <v>43239.26930555556</v>
      </c>
      <c r="C631" t="n">
        <v>0</v>
      </c>
      <c r="D631" t="n">
        <v>7420</v>
      </c>
      <c r="E631" t="s">
        <v>633</v>
      </c>
      <c r="F631" t="s"/>
      <c r="G631" t="s"/>
      <c r="H631" t="s"/>
      <c r="I631" t="s"/>
      <c r="J631" t="n">
        <v>-0.3612</v>
      </c>
      <c r="K631" t="n">
        <v>0.106</v>
      </c>
      <c r="L631" t="n">
        <v>0.894</v>
      </c>
      <c r="M631" t="n">
        <v>0</v>
      </c>
    </row>
    <row r="632" spans="1:13">
      <c r="A632" s="1">
        <f>HYPERLINK("http://www.twitter.com/NathanBLawrence/status/997725450150535168", "997725450150535168")</f>
        <v/>
      </c>
      <c r="B632" s="2" t="n">
        <v>43239.26918981481</v>
      </c>
      <c r="C632" t="n">
        <v>0</v>
      </c>
      <c r="D632" t="n">
        <v>2750</v>
      </c>
      <c r="E632" t="s">
        <v>634</v>
      </c>
      <c r="F632" t="s"/>
      <c r="G632" t="s"/>
      <c r="H632" t="s"/>
      <c r="I632" t="s"/>
      <c r="J632" t="n">
        <v>-0.5707</v>
      </c>
      <c r="K632" t="n">
        <v>0.15</v>
      </c>
      <c r="L632" t="n">
        <v>0.85</v>
      </c>
      <c r="M632" t="n">
        <v>0</v>
      </c>
    </row>
    <row r="633" spans="1:13">
      <c r="A633" s="1">
        <f>HYPERLINK("http://www.twitter.com/NathanBLawrence/status/997713272366301185", "997713272366301185")</f>
        <v/>
      </c>
      <c r="B633" s="2" t="n">
        <v>43239.23559027778</v>
      </c>
      <c r="C633" t="n">
        <v>0</v>
      </c>
      <c r="D633" t="n">
        <v>7</v>
      </c>
      <c r="E633" t="s">
        <v>635</v>
      </c>
      <c r="F633" t="s"/>
      <c r="G633" t="s"/>
      <c r="H633" t="s"/>
      <c r="I633" t="s"/>
      <c r="J633" t="n">
        <v>0.4201</v>
      </c>
      <c r="K633" t="n">
        <v>0</v>
      </c>
      <c r="L633" t="n">
        <v>0.887</v>
      </c>
      <c r="M633" t="n">
        <v>0.113</v>
      </c>
    </row>
    <row r="634" spans="1:13">
      <c r="A634" s="1">
        <f>HYPERLINK("http://www.twitter.com/NathanBLawrence/status/997713137049665536", "997713137049665536")</f>
        <v/>
      </c>
      <c r="B634" s="2" t="n">
        <v>43239.23521990741</v>
      </c>
      <c r="C634" t="n">
        <v>0</v>
      </c>
      <c r="D634" t="n">
        <v>5</v>
      </c>
      <c r="E634" t="s">
        <v>636</v>
      </c>
      <c r="F634">
        <f>HYPERLINK("http://pbs.twimg.com/media/DdgzYWEX4AEozNk.jpg", "http://pbs.twimg.com/media/DdgzYWEX4AEozNk.jpg")</f>
        <v/>
      </c>
      <c r="G634" t="s"/>
      <c r="H634" t="s"/>
      <c r="I634" t="s"/>
      <c r="J634" t="n">
        <v>0</v>
      </c>
      <c r="K634" t="n">
        <v>0</v>
      </c>
      <c r="L634" t="n">
        <v>1</v>
      </c>
      <c r="M634" t="n">
        <v>0</v>
      </c>
    </row>
    <row r="635" spans="1:13">
      <c r="A635" s="1">
        <f>HYPERLINK("http://www.twitter.com/NathanBLawrence/status/997713030753521664", "997713030753521664")</f>
        <v/>
      </c>
      <c r="B635" s="2" t="n">
        <v>43239.23491898148</v>
      </c>
      <c r="C635" t="n">
        <v>0</v>
      </c>
      <c r="D635" t="n">
        <v>7</v>
      </c>
      <c r="E635" t="s">
        <v>637</v>
      </c>
      <c r="F635" t="s"/>
      <c r="G635" t="s"/>
      <c r="H635" t="s"/>
      <c r="I635" t="s"/>
      <c r="J635" t="n">
        <v>0.7088</v>
      </c>
      <c r="K635" t="n">
        <v>0</v>
      </c>
      <c r="L635" t="n">
        <v>0.796</v>
      </c>
      <c r="M635" t="n">
        <v>0.204</v>
      </c>
    </row>
    <row r="636" spans="1:13">
      <c r="A636" s="1">
        <f>HYPERLINK("http://www.twitter.com/NathanBLawrence/status/997713019038822400", "997713019038822400")</f>
        <v/>
      </c>
      <c r="B636" s="2" t="n">
        <v>43239.23489583333</v>
      </c>
      <c r="C636" t="n">
        <v>0</v>
      </c>
      <c r="D636" t="n">
        <v>1</v>
      </c>
      <c r="E636" t="s">
        <v>638</v>
      </c>
      <c r="F636" t="s"/>
      <c r="G636" t="s"/>
      <c r="H636" t="s"/>
      <c r="I636" t="s"/>
      <c r="J636" t="n">
        <v>0</v>
      </c>
      <c r="K636" t="n">
        <v>0</v>
      </c>
      <c r="L636" t="n">
        <v>1</v>
      </c>
      <c r="M636" t="n">
        <v>0</v>
      </c>
    </row>
    <row r="637" spans="1:13">
      <c r="A637" s="1">
        <f>HYPERLINK("http://www.twitter.com/NathanBLawrence/status/997711168952291328", "997711168952291328")</f>
        <v/>
      </c>
      <c r="B637" s="2" t="n">
        <v>43239.2297800926</v>
      </c>
      <c r="C637" t="n">
        <v>0</v>
      </c>
      <c r="D637" t="n">
        <v>4</v>
      </c>
      <c r="E637" t="s">
        <v>639</v>
      </c>
      <c r="F637" t="s"/>
      <c r="G637" t="s"/>
      <c r="H637" t="s"/>
      <c r="I637" t="s"/>
      <c r="J637" t="n">
        <v>-0.3254</v>
      </c>
      <c r="K637" t="n">
        <v>0.188</v>
      </c>
      <c r="L637" t="n">
        <v>0.673</v>
      </c>
      <c r="M637" t="n">
        <v>0.138</v>
      </c>
    </row>
    <row r="638" spans="1:13">
      <c r="A638" s="1">
        <f>HYPERLINK("http://www.twitter.com/NathanBLawrence/status/997710459213090816", "997710459213090816")</f>
        <v/>
      </c>
      <c r="B638" s="2" t="n">
        <v>43239.22782407407</v>
      </c>
      <c r="C638" t="n">
        <v>0</v>
      </c>
      <c r="D638" t="n">
        <v>1</v>
      </c>
      <c r="E638" t="s">
        <v>640</v>
      </c>
      <c r="F638" t="s"/>
      <c r="G638" t="s"/>
      <c r="H638" t="s"/>
      <c r="I638" t="s"/>
      <c r="J638" t="n">
        <v>-0.296</v>
      </c>
      <c r="K638" t="n">
        <v>0.18</v>
      </c>
      <c r="L638" t="n">
        <v>0.82</v>
      </c>
      <c r="M638" t="n">
        <v>0</v>
      </c>
    </row>
    <row r="639" spans="1:13">
      <c r="A639" s="1">
        <f>HYPERLINK("http://www.twitter.com/NathanBLawrence/status/997709857800310785", "997709857800310785")</f>
        <v/>
      </c>
      <c r="B639" s="2" t="n">
        <v>43239.22616898148</v>
      </c>
      <c r="C639" t="n">
        <v>0</v>
      </c>
      <c r="D639" t="n">
        <v>14</v>
      </c>
      <c r="E639" t="s">
        <v>641</v>
      </c>
      <c r="F639">
        <f>HYPERLINK("http://pbs.twimg.com/media/DdiLNLrVwAA7uNN.jpg", "http://pbs.twimg.com/media/DdiLNLrVwAA7uNN.jpg")</f>
        <v/>
      </c>
      <c r="G639" t="s"/>
      <c r="H639" t="s"/>
      <c r="I639" t="s"/>
      <c r="J639" t="n">
        <v>-0.3382</v>
      </c>
      <c r="K639" t="n">
        <v>0.098</v>
      </c>
      <c r="L639" t="n">
        <v>0.902</v>
      </c>
      <c r="M639" t="n">
        <v>0</v>
      </c>
    </row>
    <row r="640" spans="1:13">
      <c r="A640" s="1">
        <f>HYPERLINK("http://www.twitter.com/NathanBLawrence/status/997673079261233155", "997673079261233155")</f>
        <v/>
      </c>
      <c r="B640" s="2" t="n">
        <v>43239.12467592592</v>
      </c>
      <c r="C640" t="n">
        <v>0</v>
      </c>
      <c r="D640" t="n">
        <v>11</v>
      </c>
      <c r="E640" t="s">
        <v>642</v>
      </c>
      <c r="F640" t="s"/>
      <c r="G640" t="s"/>
      <c r="H640" t="s"/>
      <c r="I640" t="s"/>
      <c r="J640" t="n">
        <v>0.4767</v>
      </c>
      <c r="K640" t="n">
        <v>0</v>
      </c>
      <c r="L640" t="n">
        <v>0.876</v>
      </c>
      <c r="M640" t="n">
        <v>0.124</v>
      </c>
    </row>
    <row r="641" spans="1:13">
      <c r="A641" s="1">
        <f>HYPERLINK("http://www.twitter.com/NathanBLawrence/status/997672782111571968", "997672782111571968")</f>
        <v/>
      </c>
      <c r="B641" s="2" t="n">
        <v>43239.12385416667</v>
      </c>
      <c r="C641" t="n">
        <v>0</v>
      </c>
      <c r="D641" t="n">
        <v>8</v>
      </c>
      <c r="E641" t="s">
        <v>643</v>
      </c>
      <c r="F641">
        <f>HYPERLINK("http://pbs.twimg.com/media/DdhKmJ6VQAAyz4r.jpg", "http://pbs.twimg.com/media/DdhKmJ6VQAAyz4r.jpg")</f>
        <v/>
      </c>
      <c r="G641" t="s"/>
      <c r="H641" t="s"/>
      <c r="I641" t="s"/>
      <c r="J641" t="n">
        <v>-0.4199</v>
      </c>
      <c r="K641" t="n">
        <v>0.117</v>
      </c>
      <c r="L641" t="n">
        <v>0.883</v>
      </c>
      <c r="M641" t="n">
        <v>0</v>
      </c>
    </row>
    <row r="642" spans="1:13">
      <c r="A642" s="1">
        <f>HYPERLINK("http://www.twitter.com/NathanBLawrence/status/997672718144241665", "997672718144241665")</f>
        <v/>
      </c>
      <c r="B642" s="2" t="n">
        <v>43239.12368055555</v>
      </c>
      <c r="C642" t="n">
        <v>0</v>
      </c>
      <c r="D642" t="n">
        <v>0</v>
      </c>
      <c r="E642" t="s">
        <v>644</v>
      </c>
      <c r="F642" t="s"/>
      <c r="G642" t="s"/>
      <c r="H642" t="s"/>
      <c r="I642" t="s"/>
      <c r="J642" t="n">
        <v>-0.3412</v>
      </c>
      <c r="K642" t="n">
        <v>0.325</v>
      </c>
      <c r="L642" t="n">
        <v>0.675</v>
      </c>
      <c r="M642" t="n">
        <v>0</v>
      </c>
    </row>
    <row r="643" spans="1:13">
      <c r="A643" s="1">
        <f>HYPERLINK("http://www.twitter.com/NathanBLawrence/status/997672159421091840", "997672159421091840")</f>
        <v/>
      </c>
      <c r="B643" s="2" t="n">
        <v>43239.1221412037</v>
      </c>
      <c r="C643" t="n">
        <v>0</v>
      </c>
      <c r="D643" t="n">
        <v>33</v>
      </c>
      <c r="E643" t="s">
        <v>645</v>
      </c>
      <c r="F643" t="s"/>
      <c r="G643" t="s"/>
      <c r="H643" t="s"/>
      <c r="I643" t="s"/>
      <c r="J643" t="n">
        <v>0.0772</v>
      </c>
      <c r="K643" t="n">
        <v>0</v>
      </c>
      <c r="L643" t="n">
        <v>0.86</v>
      </c>
      <c r="M643" t="n">
        <v>0.14</v>
      </c>
    </row>
    <row r="644" spans="1:13">
      <c r="A644" s="1">
        <f>HYPERLINK("http://www.twitter.com/NathanBLawrence/status/997652385420972032", "997652385420972032")</f>
        <v/>
      </c>
      <c r="B644" s="2" t="n">
        <v>43239.06756944444</v>
      </c>
      <c r="C644" t="n">
        <v>0</v>
      </c>
      <c r="D644" t="n">
        <v>4</v>
      </c>
      <c r="E644" t="s">
        <v>646</v>
      </c>
      <c r="F644" t="s"/>
      <c r="G644" t="s"/>
      <c r="H644" t="s"/>
      <c r="I644" t="s"/>
      <c r="J644" t="n">
        <v>0.5106000000000001</v>
      </c>
      <c r="K644" t="n">
        <v>0.076</v>
      </c>
      <c r="L644" t="n">
        <v>0.727</v>
      </c>
      <c r="M644" t="n">
        <v>0.196</v>
      </c>
    </row>
    <row r="645" spans="1:13">
      <c r="A645" s="1">
        <f>HYPERLINK("http://www.twitter.com/NathanBLawrence/status/997626476370518016", "997626476370518016")</f>
        <v/>
      </c>
      <c r="B645" s="2" t="n">
        <v>43238.99607638889</v>
      </c>
      <c r="C645" t="n">
        <v>2</v>
      </c>
      <c r="D645" t="n">
        <v>0</v>
      </c>
      <c r="E645" t="s">
        <v>647</v>
      </c>
      <c r="F645" t="s"/>
      <c r="G645" t="s"/>
      <c r="H645" t="s"/>
      <c r="I645" t="s"/>
      <c r="J645" t="n">
        <v>0.6879</v>
      </c>
      <c r="K645" t="n">
        <v>0.112</v>
      </c>
      <c r="L645" t="n">
        <v>0.513</v>
      </c>
      <c r="M645" t="n">
        <v>0.376</v>
      </c>
    </row>
    <row r="646" spans="1:13">
      <c r="A646" s="1">
        <f>HYPERLINK("http://www.twitter.com/NathanBLawrence/status/997621456925229056", "997621456925229056")</f>
        <v/>
      </c>
      <c r="B646" s="2" t="n">
        <v>43238.98222222222</v>
      </c>
      <c r="C646" t="n">
        <v>11</v>
      </c>
      <c r="D646" t="n">
        <v>8</v>
      </c>
      <c r="E646" t="s">
        <v>648</v>
      </c>
      <c r="F646">
        <f>HYPERLINK("http://pbs.twimg.com/media/DdhDbMEXkAYtzFS.jpg", "http://pbs.twimg.com/media/DdhDbMEXkAYtzFS.jpg")</f>
        <v/>
      </c>
      <c r="G646" t="s"/>
      <c r="H646" t="s"/>
      <c r="I646" t="s"/>
      <c r="J646" t="n">
        <v>0</v>
      </c>
      <c r="K646" t="n">
        <v>0</v>
      </c>
      <c r="L646" t="n">
        <v>1</v>
      </c>
      <c r="M646" t="n">
        <v>0</v>
      </c>
    </row>
    <row r="647" spans="1:13">
      <c r="A647" s="1">
        <f>HYPERLINK("http://www.twitter.com/NathanBLawrence/status/997621325144510464", "997621325144510464")</f>
        <v/>
      </c>
      <c r="B647" s="2" t="n">
        <v>43238.98186342593</v>
      </c>
      <c r="C647" t="n">
        <v>4</v>
      </c>
      <c r="D647" t="n">
        <v>0</v>
      </c>
      <c r="E647" t="s">
        <v>649</v>
      </c>
      <c r="F647">
        <f>HYPERLINK("http://pbs.twimg.com/media/DdhDTa0WsAADV76.jpg", "http://pbs.twimg.com/media/DdhDTa0WsAADV76.jpg")</f>
        <v/>
      </c>
      <c r="G647" t="s"/>
      <c r="H647" t="s"/>
      <c r="I647" t="s"/>
      <c r="J647" t="n">
        <v>0</v>
      </c>
      <c r="K647" t="n">
        <v>0</v>
      </c>
      <c r="L647" t="n">
        <v>1</v>
      </c>
      <c r="M647" t="n">
        <v>0</v>
      </c>
    </row>
    <row r="648" spans="1:13">
      <c r="A648" s="1">
        <f>HYPERLINK("http://www.twitter.com/NathanBLawrence/status/997621104125628417", "997621104125628417")</f>
        <v/>
      </c>
      <c r="B648" s="2" t="n">
        <v>43238.98125</v>
      </c>
      <c r="C648" t="n">
        <v>32</v>
      </c>
      <c r="D648" t="n">
        <v>13</v>
      </c>
      <c r="E648" t="s">
        <v>650</v>
      </c>
      <c r="F648">
        <f>HYPERLINK("http://pbs.twimg.com/media/DdhDGqOXcAIZH-l.jpg", "http://pbs.twimg.com/media/DdhDGqOXcAIZH-l.jpg")</f>
        <v/>
      </c>
      <c r="G648" t="s"/>
      <c r="H648" t="s"/>
      <c r="I648" t="s"/>
      <c r="J648" t="n">
        <v>0</v>
      </c>
      <c r="K648" t="n">
        <v>0</v>
      </c>
      <c r="L648" t="n">
        <v>1</v>
      </c>
      <c r="M648" t="n">
        <v>0</v>
      </c>
    </row>
    <row r="649" spans="1:13">
      <c r="A649" s="1">
        <f>HYPERLINK("http://www.twitter.com/NathanBLawrence/status/997615782199812096", "997615782199812096")</f>
        <v/>
      </c>
      <c r="B649" s="2" t="n">
        <v>43238.9665625</v>
      </c>
      <c r="C649" t="n">
        <v>0</v>
      </c>
      <c r="D649" t="n">
        <v>4</v>
      </c>
      <c r="E649" t="s">
        <v>651</v>
      </c>
      <c r="F649" t="s"/>
      <c r="G649" t="s"/>
      <c r="H649" t="s"/>
      <c r="I649" t="s"/>
      <c r="J649" t="n">
        <v>0.296</v>
      </c>
      <c r="K649" t="n">
        <v>0</v>
      </c>
      <c r="L649" t="n">
        <v>0.862</v>
      </c>
      <c r="M649" t="n">
        <v>0.138</v>
      </c>
    </row>
    <row r="650" spans="1:13">
      <c r="A650" s="1">
        <f>HYPERLINK("http://www.twitter.com/NathanBLawrence/status/997615471720566784", "997615471720566784")</f>
        <v/>
      </c>
      <c r="B650" s="2" t="n">
        <v>43238.96570601852</v>
      </c>
      <c r="C650" t="n">
        <v>0</v>
      </c>
      <c r="D650" t="n">
        <v>4</v>
      </c>
      <c r="E650" t="s">
        <v>652</v>
      </c>
      <c r="F650" t="s"/>
      <c r="G650" t="s"/>
      <c r="H650" t="s"/>
      <c r="I650" t="s"/>
      <c r="J650" t="n">
        <v>-0.5719</v>
      </c>
      <c r="K650" t="n">
        <v>0.198</v>
      </c>
      <c r="L650" t="n">
        <v>0.802</v>
      </c>
      <c r="M650" t="n">
        <v>0</v>
      </c>
    </row>
    <row r="651" spans="1:13">
      <c r="A651" s="1">
        <f>HYPERLINK("http://www.twitter.com/NathanBLawrence/status/997615458730893315", "997615458730893315")</f>
        <v/>
      </c>
      <c r="B651" s="2" t="n">
        <v>43238.9656712963</v>
      </c>
      <c r="C651" t="n">
        <v>0</v>
      </c>
      <c r="D651" t="n">
        <v>0</v>
      </c>
      <c r="E651" t="s">
        <v>653</v>
      </c>
      <c r="F651" t="s"/>
      <c r="G651" t="s"/>
      <c r="H651" t="s"/>
      <c r="I651" t="s"/>
      <c r="J651" t="n">
        <v>0</v>
      </c>
      <c r="K651" t="n">
        <v>0</v>
      </c>
      <c r="L651" t="n">
        <v>1</v>
      </c>
      <c r="M651" t="n">
        <v>0</v>
      </c>
    </row>
    <row r="652" spans="1:13">
      <c r="A652" s="1">
        <f>HYPERLINK("http://www.twitter.com/NathanBLawrence/status/997614496481972224", "997614496481972224")</f>
        <v/>
      </c>
      <c r="B652" s="2" t="n">
        <v>43238.96302083333</v>
      </c>
      <c r="C652" t="n">
        <v>5</v>
      </c>
      <c r="D652" t="n">
        <v>4</v>
      </c>
      <c r="E652" t="s">
        <v>654</v>
      </c>
      <c r="F652" t="s"/>
      <c r="G652" t="s"/>
      <c r="H652" t="s"/>
      <c r="I652" t="s"/>
      <c r="J652" t="n">
        <v>-0.128</v>
      </c>
      <c r="K652" t="n">
        <v>0.073</v>
      </c>
      <c r="L652" t="n">
        <v>0.84</v>
      </c>
      <c r="M652" t="n">
        <v>0.08699999999999999</v>
      </c>
    </row>
    <row r="653" spans="1:13">
      <c r="A653" s="1">
        <f>HYPERLINK("http://www.twitter.com/NathanBLawrence/status/997612132312256513", "997612132312256513")</f>
        <v/>
      </c>
      <c r="B653" s="2" t="n">
        <v>43238.95649305556</v>
      </c>
      <c r="C653" t="n">
        <v>6</v>
      </c>
      <c r="D653" t="n">
        <v>4</v>
      </c>
      <c r="E653" t="s">
        <v>655</v>
      </c>
      <c r="F653" t="s"/>
      <c r="G653" t="s"/>
      <c r="H653" t="s"/>
      <c r="I653" t="s"/>
      <c r="J653" t="n">
        <v>-0.6153999999999999</v>
      </c>
      <c r="K653" t="n">
        <v>0.183</v>
      </c>
      <c r="L653" t="n">
        <v>0.719</v>
      </c>
      <c r="M653" t="n">
        <v>0.097</v>
      </c>
    </row>
    <row r="654" spans="1:13">
      <c r="A654" s="1">
        <f>HYPERLINK("http://www.twitter.com/NathanBLawrence/status/997611293816303616", "997611293816303616")</f>
        <v/>
      </c>
      <c r="B654" s="2" t="n">
        <v>43238.95417824074</v>
      </c>
      <c r="C654" t="n">
        <v>9</v>
      </c>
      <c r="D654" t="n">
        <v>4</v>
      </c>
      <c r="E654" t="s">
        <v>656</v>
      </c>
      <c r="F654" t="s"/>
      <c r="G654" t="s"/>
      <c r="H654" t="s"/>
      <c r="I654" t="s"/>
      <c r="J654" t="n">
        <v>-0.5709</v>
      </c>
      <c r="K654" t="n">
        <v>0.199</v>
      </c>
      <c r="L654" t="n">
        <v>0.701</v>
      </c>
      <c r="M654" t="n">
        <v>0.1</v>
      </c>
    </row>
    <row r="655" spans="1:13">
      <c r="A655" s="1">
        <f>HYPERLINK("http://www.twitter.com/NathanBLawrence/status/997609391682662401", "997609391682662401")</f>
        <v/>
      </c>
      <c r="B655" s="2" t="n">
        <v>43238.94893518519</v>
      </c>
      <c r="C655" t="n">
        <v>13</v>
      </c>
      <c r="D655" t="n">
        <v>9</v>
      </c>
      <c r="E655" t="s">
        <v>657</v>
      </c>
      <c r="F655" t="s"/>
      <c r="G655" t="s"/>
      <c r="H655" t="s"/>
      <c r="I655" t="s"/>
      <c r="J655" t="n">
        <v>0.7579</v>
      </c>
      <c r="K655" t="n">
        <v>0.119</v>
      </c>
      <c r="L655" t="n">
        <v>0.64</v>
      </c>
      <c r="M655" t="n">
        <v>0.241</v>
      </c>
    </row>
    <row r="656" spans="1:13">
      <c r="A656" s="1">
        <f>HYPERLINK("http://www.twitter.com/NathanBLawrence/status/997608677740818433", "997608677740818433")</f>
        <v/>
      </c>
      <c r="B656" s="2" t="n">
        <v>43238.94696759259</v>
      </c>
      <c r="C656" t="n">
        <v>8</v>
      </c>
      <c r="D656" t="n">
        <v>4</v>
      </c>
      <c r="E656" t="s">
        <v>658</v>
      </c>
      <c r="F656" t="s"/>
      <c r="G656" t="s"/>
      <c r="H656" t="s"/>
      <c r="I656" t="s"/>
      <c r="J656" t="n">
        <v>0.6103</v>
      </c>
      <c r="K656" t="n">
        <v>0.118</v>
      </c>
      <c r="L656" t="n">
        <v>0.706</v>
      </c>
      <c r="M656" t="n">
        <v>0.175</v>
      </c>
    </row>
    <row r="657" spans="1:13">
      <c r="A657" s="1">
        <f>HYPERLINK("http://www.twitter.com/NathanBLawrence/status/997607946124079104", "997607946124079104")</f>
        <v/>
      </c>
      <c r="B657" s="2" t="n">
        <v>43238.94494212963</v>
      </c>
      <c r="C657" t="n">
        <v>0</v>
      </c>
      <c r="D657" t="n">
        <v>2</v>
      </c>
      <c r="E657" t="s">
        <v>659</v>
      </c>
      <c r="F657" t="s"/>
      <c r="G657" t="s"/>
      <c r="H657" t="s"/>
      <c r="I657" t="s"/>
      <c r="J657" t="n">
        <v>0.2732</v>
      </c>
      <c r="K657" t="n">
        <v>0.08799999999999999</v>
      </c>
      <c r="L657" t="n">
        <v>0.779</v>
      </c>
      <c r="M657" t="n">
        <v>0.133</v>
      </c>
    </row>
    <row r="658" spans="1:13">
      <c r="A658" s="1">
        <f>HYPERLINK("http://www.twitter.com/NathanBLawrence/status/997607832320167936", "997607832320167936")</f>
        <v/>
      </c>
      <c r="B658" s="2" t="n">
        <v>43238.94462962963</v>
      </c>
      <c r="C658" t="n">
        <v>0</v>
      </c>
      <c r="D658" t="n">
        <v>5</v>
      </c>
      <c r="E658" t="s">
        <v>660</v>
      </c>
      <c r="F658" t="s"/>
      <c r="G658" t="s"/>
      <c r="H658" t="s"/>
      <c r="I658" t="s"/>
      <c r="J658" t="n">
        <v>0</v>
      </c>
      <c r="K658" t="n">
        <v>0</v>
      </c>
      <c r="L658" t="n">
        <v>1</v>
      </c>
      <c r="M658" t="n">
        <v>0</v>
      </c>
    </row>
    <row r="659" spans="1:13">
      <c r="A659" s="1">
        <f>HYPERLINK("http://www.twitter.com/NathanBLawrence/status/997607768075927552", "997607768075927552")</f>
        <v/>
      </c>
      <c r="B659" s="2" t="n">
        <v>43238.94445601852</v>
      </c>
      <c r="C659" t="n">
        <v>0</v>
      </c>
      <c r="D659" t="n">
        <v>5</v>
      </c>
      <c r="E659" t="s">
        <v>661</v>
      </c>
      <c r="F659" t="s"/>
      <c r="G659" t="s"/>
      <c r="H659" t="s"/>
      <c r="I659" t="s"/>
      <c r="J659" t="n">
        <v>-0.0772</v>
      </c>
      <c r="K659" t="n">
        <v>0.111</v>
      </c>
      <c r="L659" t="n">
        <v>0.791</v>
      </c>
      <c r="M659" t="n">
        <v>0.099</v>
      </c>
    </row>
    <row r="660" spans="1:13">
      <c r="A660" s="1">
        <f>HYPERLINK("http://www.twitter.com/NathanBLawrence/status/997607662224363520", "997607662224363520")</f>
        <v/>
      </c>
      <c r="B660" s="2" t="n">
        <v>43238.94415509259</v>
      </c>
      <c r="C660" t="n">
        <v>0</v>
      </c>
      <c r="D660" t="n">
        <v>24</v>
      </c>
      <c r="E660" t="s">
        <v>662</v>
      </c>
      <c r="F660" t="s"/>
      <c r="G660" t="s"/>
      <c r="H660" t="s"/>
      <c r="I660" t="s"/>
      <c r="J660" t="n">
        <v>0.4926</v>
      </c>
      <c r="K660" t="n">
        <v>0.054</v>
      </c>
      <c r="L660" t="n">
        <v>0.8080000000000001</v>
      </c>
      <c r="M660" t="n">
        <v>0.138</v>
      </c>
    </row>
    <row r="661" spans="1:13">
      <c r="A661" s="1">
        <f>HYPERLINK("http://www.twitter.com/NathanBLawrence/status/997607648265736192", "997607648265736192")</f>
        <v/>
      </c>
      <c r="B661" s="2" t="n">
        <v>43238.94412037037</v>
      </c>
      <c r="C661" t="n">
        <v>0</v>
      </c>
      <c r="D661" t="n">
        <v>25</v>
      </c>
      <c r="E661" t="s">
        <v>663</v>
      </c>
      <c r="F661" t="s"/>
      <c r="G661" t="s"/>
      <c r="H661" t="s"/>
      <c r="I661" t="s"/>
      <c r="J661" t="n">
        <v>0.5719</v>
      </c>
      <c r="K661" t="n">
        <v>0</v>
      </c>
      <c r="L661" t="n">
        <v>0.824</v>
      </c>
      <c r="M661" t="n">
        <v>0.176</v>
      </c>
    </row>
    <row r="662" spans="1:13">
      <c r="A662" s="1">
        <f>HYPERLINK("http://www.twitter.com/NathanBLawrence/status/997607634877509633", "997607634877509633")</f>
        <v/>
      </c>
      <c r="B662" s="2" t="n">
        <v>43238.94408564815</v>
      </c>
      <c r="C662" t="n">
        <v>0</v>
      </c>
      <c r="D662" t="n">
        <v>21</v>
      </c>
      <c r="E662" t="s">
        <v>664</v>
      </c>
      <c r="F662" t="s"/>
      <c r="G662" t="s"/>
      <c r="H662" t="s"/>
      <c r="I662" t="s"/>
      <c r="J662" t="n">
        <v>0.34</v>
      </c>
      <c r="K662" t="n">
        <v>0</v>
      </c>
      <c r="L662" t="n">
        <v>0.897</v>
      </c>
      <c r="M662" t="n">
        <v>0.103</v>
      </c>
    </row>
    <row r="663" spans="1:13">
      <c r="A663" s="1">
        <f>HYPERLINK("http://www.twitter.com/NathanBLawrence/status/997601890316816385", "997601890316816385")</f>
        <v/>
      </c>
      <c r="B663" s="2" t="n">
        <v>43238.92822916667</v>
      </c>
      <c r="C663" t="n">
        <v>8</v>
      </c>
      <c r="D663" t="n">
        <v>5</v>
      </c>
      <c r="E663" t="s">
        <v>665</v>
      </c>
      <c r="F663" t="s"/>
      <c r="G663" t="s"/>
      <c r="H663" t="s"/>
      <c r="I663" t="s"/>
      <c r="J663" t="n">
        <v>-0.168</v>
      </c>
      <c r="K663" t="n">
        <v>0.107</v>
      </c>
      <c r="L663" t="n">
        <v>0.8090000000000001</v>
      </c>
      <c r="M663" t="n">
        <v>0.08400000000000001</v>
      </c>
    </row>
    <row r="664" spans="1:13">
      <c r="A664" s="1">
        <f>HYPERLINK("http://www.twitter.com/NathanBLawrence/status/997601365349359616", "997601365349359616")</f>
        <v/>
      </c>
      <c r="B664" s="2" t="n">
        <v>43238.9267824074</v>
      </c>
      <c r="C664" t="n">
        <v>7</v>
      </c>
      <c r="D664" t="n">
        <v>4</v>
      </c>
      <c r="E664" t="s">
        <v>666</v>
      </c>
      <c r="F664" t="s"/>
      <c r="G664" t="s"/>
      <c r="H664" t="s"/>
      <c r="I664" t="s"/>
      <c r="J664" t="n">
        <v>-0.6486</v>
      </c>
      <c r="K664" t="n">
        <v>0.194</v>
      </c>
      <c r="L664" t="n">
        <v>0.806</v>
      </c>
      <c r="M664" t="n">
        <v>0</v>
      </c>
    </row>
    <row r="665" spans="1:13">
      <c r="A665" s="1">
        <f>HYPERLINK("http://www.twitter.com/NathanBLawrence/status/997596910142808064", "997596910142808064")</f>
        <v/>
      </c>
      <c r="B665" s="2" t="n">
        <v>43238.91449074074</v>
      </c>
      <c r="C665" t="n">
        <v>0</v>
      </c>
      <c r="D665" t="n">
        <v>16</v>
      </c>
      <c r="E665" t="s">
        <v>667</v>
      </c>
      <c r="F665">
        <f>HYPERLINK("http://pbs.twimg.com/media/DdgZjAKWsAAtKh8.jpg", "http://pbs.twimg.com/media/DdgZjAKWsAAtKh8.jpg")</f>
        <v/>
      </c>
      <c r="G665" t="s"/>
      <c r="H665" t="s"/>
      <c r="I665" t="s"/>
      <c r="J665" t="n">
        <v>-0.2387</v>
      </c>
      <c r="K665" t="n">
        <v>0.176</v>
      </c>
      <c r="L665" t="n">
        <v>0.6889999999999999</v>
      </c>
      <c r="M665" t="n">
        <v>0.135</v>
      </c>
    </row>
    <row r="666" spans="1:13">
      <c r="A666" s="1">
        <f>HYPERLINK("http://www.twitter.com/NathanBLawrence/status/997596690088685568", "997596690088685568")</f>
        <v/>
      </c>
      <c r="B666" s="2" t="n">
        <v>43238.91388888889</v>
      </c>
      <c r="C666" t="n">
        <v>0</v>
      </c>
      <c r="D666" t="n">
        <v>5</v>
      </c>
      <c r="E666" t="s">
        <v>668</v>
      </c>
      <c r="F666" t="s"/>
      <c r="G666" t="s"/>
      <c r="H666" t="s"/>
      <c r="I666" t="s"/>
      <c r="J666" t="n">
        <v>-0.296</v>
      </c>
      <c r="K666" t="n">
        <v>0.115</v>
      </c>
      <c r="L666" t="n">
        <v>0.885</v>
      </c>
      <c r="M666" t="n">
        <v>0</v>
      </c>
    </row>
    <row r="667" spans="1:13">
      <c r="A667" s="1">
        <f>HYPERLINK("http://www.twitter.com/NathanBLawrence/status/997596675219906561", "997596675219906561")</f>
        <v/>
      </c>
      <c r="B667" s="2" t="n">
        <v>43238.91384259259</v>
      </c>
      <c r="C667" t="n">
        <v>0</v>
      </c>
      <c r="D667" t="n">
        <v>3</v>
      </c>
      <c r="E667" t="s">
        <v>669</v>
      </c>
      <c r="F667" t="s"/>
      <c r="G667" t="s"/>
      <c r="H667" t="s"/>
      <c r="I667" t="s"/>
      <c r="J667" t="n">
        <v>0.7845</v>
      </c>
      <c r="K667" t="n">
        <v>0</v>
      </c>
      <c r="L667" t="n">
        <v>0.669</v>
      </c>
      <c r="M667" t="n">
        <v>0.331</v>
      </c>
    </row>
    <row r="668" spans="1:13">
      <c r="A668" s="1">
        <f>HYPERLINK("http://www.twitter.com/NathanBLawrence/status/997596561147355138", "997596561147355138")</f>
        <v/>
      </c>
      <c r="B668" s="2" t="n">
        <v>43238.91353009259</v>
      </c>
      <c r="C668" t="n">
        <v>0</v>
      </c>
      <c r="D668" t="n">
        <v>35</v>
      </c>
      <c r="E668" t="s">
        <v>670</v>
      </c>
      <c r="F668" t="s"/>
      <c r="G668" t="s"/>
      <c r="H668" t="s"/>
      <c r="I668" t="s"/>
      <c r="J668" t="n">
        <v>0.5943000000000001</v>
      </c>
      <c r="K668" t="n">
        <v>0</v>
      </c>
      <c r="L668" t="n">
        <v>0.825</v>
      </c>
      <c r="M668" t="n">
        <v>0.175</v>
      </c>
    </row>
    <row r="669" spans="1:13">
      <c r="A669" s="1">
        <f>HYPERLINK("http://www.twitter.com/NathanBLawrence/status/997572140902879233", "997572140902879233")</f>
        <v/>
      </c>
      <c r="B669" s="2" t="n">
        <v>43238.84614583333</v>
      </c>
      <c r="C669" t="n">
        <v>3</v>
      </c>
      <c r="D669" t="n">
        <v>2</v>
      </c>
      <c r="E669" t="s">
        <v>671</v>
      </c>
      <c r="F669" t="s"/>
      <c r="G669" t="s"/>
      <c r="H669" t="s"/>
      <c r="I669" t="s"/>
      <c r="J669" t="n">
        <v>0.1779</v>
      </c>
      <c r="K669" t="n">
        <v>0.078</v>
      </c>
      <c r="L669" t="n">
        <v>0.819</v>
      </c>
      <c r="M669" t="n">
        <v>0.103</v>
      </c>
    </row>
    <row r="670" spans="1:13">
      <c r="A670" s="1">
        <f>HYPERLINK("http://www.twitter.com/NathanBLawrence/status/997572002889326594", "997572002889326594")</f>
        <v/>
      </c>
      <c r="B670" s="2" t="n">
        <v>43238.84576388889</v>
      </c>
      <c r="C670" t="n">
        <v>0</v>
      </c>
      <c r="D670" t="n">
        <v>112</v>
      </c>
      <c r="E670" t="s">
        <v>672</v>
      </c>
      <c r="F670" t="s"/>
      <c r="G670" t="s"/>
      <c r="H670" t="s"/>
      <c r="I670" t="s"/>
      <c r="J670" t="n">
        <v>0.7423999999999999</v>
      </c>
      <c r="K670" t="n">
        <v>0</v>
      </c>
      <c r="L670" t="n">
        <v>0.552</v>
      </c>
      <c r="M670" t="n">
        <v>0.448</v>
      </c>
    </row>
    <row r="671" spans="1:13">
      <c r="A671" s="1">
        <f>HYPERLINK("http://www.twitter.com/NathanBLawrence/status/997571802082762753", "997571802082762753")</f>
        <v/>
      </c>
      <c r="B671" s="2" t="n">
        <v>43238.84520833333</v>
      </c>
      <c r="C671" t="n">
        <v>0</v>
      </c>
      <c r="D671" t="n">
        <v>379</v>
      </c>
      <c r="E671" t="s">
        <v>673</v>
      </c>
      <c r="F671" t="s"/>
      <c r="G671" t="s"/>
      <c r="H671" t="s"/>
      <c r="I671" t="s"/>
      <c r="J671" t="n">
        <v>-0.34</v>
      </c>
      <c r="K671" t="n">
        <v>0.107</v>
      </c>
      <c r="L671" t="n">
        <v>0.893</v>
      </c>
      <c r="M671" t="n">
        <v>0</v>
      </c>
    </row>
    <row r="672" spans="1:13">
      <c r="A672" s="1">
        <f>HYPERLINK("http://www.twitter.com/NathanBLawrence/status/997568921166385158", "997568921166385158")</f>
        <v/>
      </c>
      <c r="B672" s="2" t="n">
        <v>43238.83725694445</v>
      </c>
      <c r="C672" t="n">
        <v>0</v>
      </c>
      <c r="D672" t="n">
        <v>8</v>
      </c>
      <c r="E672" t="s">
        <v>674</v>
      </c>
      <c r="F672">
        <f>HYPERLINK("http://pbs.twimg.com/media/DdgScOVWAAIzHRE.jpg", "http://pbs.twimg.com/media/DdgScOVWAAIzHRE.jpg")</f>
        <v/>
      </c>
      <c r="G672" t="s"/>
      <c r="H672" t="s"/>
      <c r="I672" t="s"/>
      <c r="J672" t="n">
        <v>0.4329</v>
      </c>
      <c r="K672" t="n">
        <v>0</v>
      </c>
      <c r="L672" t="n">
        <v>0.885</v>
      </c>
      <c r="M672" t="n">
        <v>0.115</v>
      </c>
    </row>
    <row r="673" spans="1:13">
      <c r="A673" s="1">
        <f>HYPERLINK("http://www.twitter.com/NathanBLawrence/status/997567601235685376", "997567601235685376")</f>
        <v/>
      </c>
      <c r="B673" s="2" t="n">
        <v>43238.83361111111</v>
      </c>
      <c r="C673" t="n">
        <v>12</v>
      </c>
      <c r="D673" t="n">
        <v>8</v>
      </c>
      <c r="E673" t="s">
        <v>675</v>
      </c>
      <c r="F673">
        <f>HYPERLINK("http://pbs.twimg.com/media/DdgScOVWAAIzHRE.jpg", "http://pbs.twimg.com/media/DdgScOVWAAIzHRE.jpg")</f>
        <v/>
      </c>
      <c r="G673" t="s"/>
      <c r="H673" t="s"/>
      <c r="I673" t="s"/>
      <c r="J673" t="n">
        <v>0.466</v>
      </c>
      <c r="K673" t="n">
        <v>0</v>
      </c>
      <c r="L673" t="n">
        <v>0.929</v>
      </c>
      <c r="M673" t="n">
        <v>0.07099999999999999</v>
      </c>
    </row>
    <row r="674" spans="1:13">
      <c r="A674" s="1">
        <f>HYPERLINK("http://www.twitter.com/NathanBLawrence/status/997559679441096704", "997559679441096704")</f>
        <v/>
      </c>
      <c r="B674" s="2" t="n">
        <v>43238.81174768518</v>
      </c>
      <c r="C674" t="n">
        <v>3</v>
      </c>
      <c r="D674" t="n">
        <v>1</v>
      </c>
      <c r="E674" t="s">
        <v>676</v>
      </c>
      <c r="F674" t="s"/>
      <c r="G674" t="s"/>
      <c r="H674" t="s"/>
      <c r="I674" t="s"/>
      <c r="J674" t="n">
        <v>0.1372</v>
      </c>
      <c r="K674" t="n">
        <v>0.141</v>
      </c>
      <c r="L674" t="n">
        <v>0.642</v>
      </c>
      <c r="M674" t="n">
        <v>0.217</v>
      </c>
    </row>
    <row r="675" spans="1:13">
      <c r="A675" s="1">
        <f>HYPERLINK("http://www.twitter.com/NathanBLawrence/status/997559522720911361", "997559522720911361")</f>
        <v/>
      </c>
      <c r="B675" s="2" t="n">
        <v>43238.81131944444</v>
      </c>
      <c r="C675" t="n">
        <v>0</v>
      </c>
      <c r="D675" t="n">
        <v>10</v>
      </c>
      <c r="E675" t="s">
        <v>677</v>
      </c>
      <c r="F675" t="s"/>
      <c r="G675" t="s"/>
      <c r="H675" t="s"/>
      <c r="I675" t="s"/>
      <c r="J675" t="n">
        <v>-0.6908</v>
      </c>
      <c r="K675" t="n">
        <v>0.265</v>
      </c>
      <c r="L675" t="n">
        <v>0.671</v>
      </c>
      <c r="M675" t="n">
        <v>0.064</v>
      </c>
    </row>
    <row r="676" spans="1:13">
      <c r="A676" s="1">
        <f>HYPERLINK("http://www.twitter.com/NathanBLawrence/status/997559155140562944", "997559155140562944")</f>
        <v/>
      </c>
      <c r="B676" s="2" t="n">
        <v>43238.81030092593</v>
      </c>
      <c r="C676" t="n">
        <v>0</v>
      </c>
      <c r="D676" t="n">
        <v>11</v>
      </c>
      <c r="E676" t="s">
        <v>678</v>
      </c>
      <c r="F676" t="s"/>
      <c r="G676" t="s"/>
      <c r="H676" t="s"/>
      <c r="I676" t="s"/>
      <c r="J676" t="n">
        <v>-0.3182</v>
      </c>
      <c r="K676" t="n">
        <v>0.095</v>
      </c>
      <c r="L676" t="n">
        <v>0.905</v>
      </c>
      <c r="M676" t="n">
        <v>0</v>
      </c>
    </row>
    <row r="677" spans="1:13">
      <c r="A677" s="1">
        <f>HYPERLINK("http://www.twitter.com/NathanBLawrence/status/997543073784717312", "997543073784717312")</f>
        <v/>
      </c>
      <c r="B677" s="2" t="n">
        <v>43238.76592592592</v>
      </c>
      <c r="C677" t="n">
        <v>0</v>
      </c>
      <c r="D677" t="n">
        <v>4</v>
      </c>
      <c r="E677" t="s">
        <v>679</v>
      </c>
      <c r="F677" t="s"/>
      <c r="G677" t="s"/>
      <c r="H677" t="s"/>
      <c r="I677" t="s"/>
      <c r="J677" t="n">
        <v>0.2057</v>
      </c>
      <c r="K677" t="n">
        <v>0</v>
      </c>
      <c r="L677" t="n">
        <v>0.904</v>
      </c>
      <c r="M677" t="n">
        <v>0.096</v>
      </c>
    </row>
    <row r="678" spans="1:13">
      <c r="A678" s="1">
        <f>HYPERLINK("http://www.twitter.com/NathanBLawrence/status/997540028950736896", "997540028950736896")</f>
        <v/>
      </c>
      <c r="B678" s="2" t="n">
        <v>43238.75752314815</v>
      </c>
      <c r="C678" t="n">
        <v>8</v>
      </c>
      <c r="D678" t="n">
        <v>4</v>
      </c>
      <c r="E678" t="s">
        <v>680</v>
      </c>
      <c r="F678" t="s"/>
      <c r="G678" t="s"/>
      <c r="H678" t="s"/>
      <c r="I678" t="s"/>
      <c r="J678" t="n">
        <v>0.2057</v>
      </c>
      <c r="K678" t="n">
        <v>0</v>
      </c>
      <c r="L678" t="n">
        <v>0.892</v>
      </c>
      <c r="M678" t="n">
        <v>0.108</v>
      </c>
    </row>
    <row r="679" spans="1:13">
      <c r="A679" s="1">
        <f>HYPERLINK("http://www.twitter.com/NathanBLawrence/status/997539862583697408", "997539862583697408")</f>
        <v/>
      </c>
      <c r="B679" s="2" t="n">
        <v>43238.75707175926</v>
      </c>
      <c r="C679" t="n">
        <v>15</v>
      </c>
      <c r="D679" t="n">
        <v>11</v>
      </c>
      <c r="E679" t="s">
        <v>681</v>
      </c>
      <c r="F679" t="s"/>
      <c r="G679" t="s"/>
      <c r="H679" t="s"/>
      <c r="I679" t="s"/>
      <c r="J679" t="n">
        <v>-0.7003</v>
      </c>
      <c r="K679" t="n">
        <v>0.136</v>
      </c>
      <c r="L679" t="n">
        <v>0.864</v>
      </c>
      <c r="M679" t="n">
        <v>0</v>
      </c>
    </row>
    <row r="680" spans="1:13">
      <c r="A680" s="1">
        <f>HYPERLINK("http://www.twitter.com/NathanBLawrence/status/997525878237290496", "997525878237290496")</f>
        <v/>
      </c>
      <c r="B680" s="2" t="n">
        <v>43238.7184837963</v>
      </c>
      <c r="C680" t="n">
        <v>0</v>
      </c>
      <c r="D680" t="n">
        <v>7</v>
      </c>
      <c r="E680" t="s">
        <v>682</v>
      </c>
      <c r="F680" t="s"/>
      <c r="G680" t="s"/>
      <c r="H680" t="s"/>
      <c r="I680" t="s"/>
      <c r="J680" t="n">
        <v>0.6588000000000001</v>
      </c>
      <c r="K680" t="n">
        <v>0</v>
      </c>
      <c r="L680" t="n">
        <v>0.577</v>
      </c>
      <c r="M680" t="n">
        <v>0.423</v>
      </c>
    </row>
    <row r="681" spans="1:13">
      <c r="A681" s="1">
        <f>HYPERLINK("http://www.twitter.com/NathanBLawrence/status/997517591504711680", "997517591504711680")</f>
        <v/>
      </c>
      <c r="B681" s="2" t="n">
        <v>43238.69561342592</v>
      </c>
      <c r="C681" t="n">
        <v>2</v>
      </c>
      <c r="D681" t="n">
        <v>1</v>
      </c>
      <c r="E681" t="s">
        <v>683</v>
      </c>
      <c r="F681" t="s"/>
      <c r="G681" t="s"/>
      <c r="H681" t="s"/>
      <c r="I681" t="s"/>
      <c r="J681" t="n">
        <v>0.4588</v>
      </c>
      <c r="K681" t="n">
        <v>0.143</v>
      </c>
      <c r="L681" t="n">
        <v>0.584</v>
      </c>
      <c r="M681" t="n">
        <v>0.273</v>
      </c>
    </row>
    <row r="682" spans="1:13">
      <c r="A682" s="1">
        <f>HYPERLINK("http://www.twitter.com/NathanBLawrence/status/997514939333054466", "997514939333054466")</f>
        <v/>
      </c>
      <c r="B682" s="2" t="n">
        <v>43238.68829861111</v>
      </c>
      <c r="C682" t="n">
        <v>3</v>
      </c>
      <c r="D682" t="n">
        <v>0</v>
      </c>
      <c r="E682" t="s">
        <v>309</v>
      </c>
      <c r="F682" t="s"/>
      <c r="G682" t="s"/>
      <c r="H682" t="s"/>
      <c r="I682" t="s"/>
      <c r="J682" t="n">
        <v>0</v>
      </c>
      <c r="K682" t="n">
        <v>0</v>
      </c>
      <c r="L682" t="n">
        <v>1</v>
      </c>
      <c r="M682" t="n">
        <v>0</v>
      </c>
    </row>
    <row r="683" spans="1:13">
      <c r="A683" s="1">
        <f>HYPERLINK("http://www.twitter.com/NathanBLawrence/status/997514790183624705", "997514790183624705")</f>
        <v/>
      </c>
      <c r="B683" s="2" t="n">
        <v>43238.68788194445</v>
      </c>
      <c r="C683" t="n">
        <v>1</v>
      </c>
      <c r="D683" t="n">
        <v>0</v>
      </c>
      <c r="E683" t="s">
        <v>311</v>
      </c>
      <c r="F683" t="s"/>
      <c r="G683" t="s"/>
      <c r="H683" t="s"/>
      <c r="I683" t="s"/>
      <c r="J683" t="n">
        <v>0</v>
      </c>
      <c r="K683" t="n">
        <v>0</v>
      </c>
      <c r="L683" t="n">
        <v>1</v>
      </c>
      <c r="M683" t="n">
        <v>0</v>
      </c>
    </row>
    <row r="684" spans="1:13">
      <c r="A684" s="1">
        <f>HYPERLINK("http://www.twitter.com/NathanBLawrence/status/997514391867322368", "997514391867322368")</f>
        <v/>
      </c>
      <c r="B684" s="2" t="n">
        <v>43238.68678240741</v>
      </c>
      <c r="C684" t="n">
        <v>0</v>
      </c>
      <c r="D684" t="n">
        <v>8</v>
      </c>
      <c r="E684" t="s">
        <v>684</v>
      </c>
      <c r="F684">
        <f>HYPERLINK("http://pbs.twimg.com/media/DdfQ_e3UwAMar0N.jpg", "http://pbs.twimg.com/media/DdfQ_e3UwAMar0N.jpg")</f>
        <v/>
      </c>
      <c r="G684" t="s"/>
      <c r="H684" t="s"/>
      <c r="I684" t="s"/>
      <c r="J684" t="n">
        <v>-0.2942</v>
      </c>
      <c r="K684" t="n">
        <v>0.097</v>
      </c>
      <c r="L684" t="n">
        <v>0.853</v>
      </c>
      <c r="M684" t="n">
        <v>0.05</v>
      </c>
    </row>
    <row r="685" spans="1:13">
      <c r="A685" s="1">
        <f>HYPERLINK("http://www.twitter.com/NathanBLawrence/status/997514365665447937", "997514365665447937")</f>
        <v/>
      </c>
      <c r="B685" s="2" t="n">
        <v>43238.68671296296</v>
      </c>
      <c r="C685" t="n">
        <v>0</v>
      </c>
      <c r="D685" t="n">
        <v>21</v>
      </c>
      <c r="E685" t="s">
        <v>685</v>
      </c>
      <c r="F685" t="s"/>
      <c r="G685" t="s"/>
      <c r="H685" t="s"/>
      <c r="I685" t="s"/>
      <c r="J685" t="n">
        <v>0.1531</v>
      </c>
      <c r="K685" t="n">
        <v>0</v>
      </c>
      <c r="L685" t="n">
        <v>0.9379999999999999</v>
      </c>
      <c r="M685" t="n">
        <v>0.062</v>
      </c>
    </row>
    <row r="686" spans="1:13">
      <c r="A686" s="1">
        <f>HYPERLINK("http://www.twitter.com/NathanBLawrence/status/997514262120730626", "997514262120730626")</f>
        <v/>
      </c>
      <c r="B686" s="2" t="n">
        <v>43238.68642361111</v>
      </c>
      <c r="C686" t="n">
        <v>0</v>
      </c>
      <c r="D686" t="n">
        <v>6</v>
      </c>
      <c r="E686" t="s">
        <v>686</v>
      </c>
      <c r="F686" t="s"/>
      <c r="G686" t="s"/>
      <c r="H686" t="s"/>
      <c r="I686" t="s"/>
      <c r="J686" t="n">
        <v>0</v>
      </c>
      <c r="K686" t="n">
        <v>0</v>
      </c>
      <c r="L686" t="n">
        <v>1</v>
      </c>
      <c r="M686" t="n">
        <v>0</v>
      </c>
    </row>
    <row r="687" spans="1:13">
      <c r="A687" s="1">
        <f>HYPERLINK("http://www.twitter.com/NathanBLawrence/status/997514240192892930", "997514240192892930")</f>
        <v/>
      </c>
      <c r="B687" s="2" t="n">
        <v>43238.68636574074</v>
      </c>
      <c r="C687" t="n">
        <v>0</v>
      </c>
      <c r="D687" t="n">
        <v>2</v>
      </c>
      <c r="E687" t="s">
        <v>687</v>
      </c>
      <c r="F687" t="s"/>
      <c r="G687" t="s"/>
      <c r="H687" t="s"/>
      <c r="I687" t="s"/>
      <c r="J687" t="n">
        <v>0.4574</v>
      </c>
      <c r="K687" t="n">
        <v>0</v>
      </c>
      <c r="L687" t="n">
        <v>0.751</v>
      </c>
      <c r="M687" t="n">
        <v>0.249</v>
      </c>
    </row>
    <row r="688" spans="1:13">
      <c r="A688" s="1">
        <f>HYPERLINK("http://www.twitter.com/NathanBLawrence/status/997513955248570369", "997513955248570369")</f>
        <v/>
      </c>
      <c r="B688" s="2" t="n">
        <v>43238.68557870371</v>
      </c>
      <c r="C688" t="n">
        <v>0</v>
      </c>
      <c r="D688" t="n">
        <v>38</v>
      </c>
      <c r="E688" t="s">
        <v>688</v>
      </c>
      <c r="F688" t="s"/>
      <c r="G688" t="s"/>
      <c r="H688" t="s"/>
      <c r="I688" t="s"/>
      <c r="J688" t="n">
        <v>0.2732</v>
      </c>
      <c r="K688" t="n">
        <v>0</v>
      </c>
      <c r="L688" t="n">
        <v>0.877</v>
      </c>
      <c r="M688" t="n">
        <v>0.123</v>
      </c>
    </row>
    <row r="689" spans="1:13">
      <c r="A689" s="1">
        <f>HYPERLINK("http://www.twitter.com/NathanBLawrence/status/997513862319693825", "997513862319693825")</f>
        <v/>
      </c>
      <c r="B689" s="2" t="n">
        <v>43238.68532407407</v>
      </c>
      <c r="C689" t="n">
        <v>0</v>
      </c>
      <c r="D689" t="n">
        <v>5</v>
      </c>
      <c r="E689" t="s">
        <v>689</v>
      </c>
      <c r="F689">
        <f>HYPERLINK("http://pbs.twimg.com/media/DdfQOKYV0AETHwS.jpg", "http://pbs.twimg.com/media/DdfQOKYV0AETHwS.jpg")</f>
        <v/>
      </c>
      <c r="G689" t="s"/>
      <c r="H689" t="s"/>
      <c r="I689" t="s"/>
      <c r="J689" t="n">
        <v>-0.636</v>
      </c>
      <c r="K689" t="n">
        <v>0.189</v>
      </c>
      <c r="L689" t="n">
        <v>0.8110000000000001</v>
      </c>
      <c r="M689" t="n">
        <v>0</v>
      </c>
    </row>
    <row r="690" spans="1:13">
      <c r="A690" s="1">
        <f>HYPERLINK("http://www.twitter.com/NathanBLawrence/status/997494797962301442", "997494797962301442")</f>
        <v/>
      </c>
      <c r="B690" s="2" t="n">
        <v>43238.63271990741</v>
      </c>
      <c r="C690" t="n">
        <v>7</v>
      </c>
      <c r="D690" t="n">
        <v>5</v>
      </c>
      <c r="E690" t="s">
        <v>690</v>
      </c>
      <c r="F690">
        <f>HYPERLINK("http://pbs.twimg.com/media/DdfQOKYV0AETHwS.jpg", "http://pbs.twimg.com/media/DdfQOKYV0AETHwS.jpg")</f>
        <v/>
      </c>
      <c r="G690" t="s"/>
      <c r="H690" t="s"/>
      <c r="I690" t="s"/>
      <c r="J690" t="n">
        <v>-0.636</v>
      </c>
      <c r="K690" t="n">
        <v>0.166</v>
      </c>
      <c r="L690" t="n">
        <v>0.834</v>
      </c>
      <c r="M690" t="n">
        <v>0</v>
      </c>
    </row>
    <row r="691" spans="1:13">
      <c r="A691" s="1">
        <f>HYPERLINK("http://www.twitter.com/NathanBLawrence/status/997490988624105472", "997490988624105472")</f>
        <v/>
      </c>
      <c r="B691" s="2" t="n">
        <v>43238.62219907407</v>
      </c>
      <c r="C691" t="n">
        <v>0</v>
      </c>
      <c r="D691" t="n">
        <v>16</v>
      </c>
      <c r="E691" t="s">
        <v>691</v>
      </c>
      <c r="F691">
        <f>HYPERLINK("http://pbs.twimg.com/media/DdfJF3VU8AAJguQ.jpg", "http://pbs.twimg.com/media/DdfJF3VU8AAJguQ.jpg")</f>
        <v/>
      </c>
      <c r="G691" t="s"/>
      <c r="H691" t="s"/>
      <c r="I691" t="s"/>
      <c r="J691" t="n">
        <v>0.4404</v>
      </c>
      <c r="K691" t="n">
        <v>0</v>
      </c>
      <c r="L691" t="n">
        <v>0.892</v>
      </c>
      <c r="M691" t="n">
        <v>0.108</v>
      </c>
    </row>
    <row r="692" spans="1:13">
      <c r="A692" s="1">
        <f>HYPERLINK("http://www.twitter.com/NathanBLawrence/status/997486954383110149", "997486954383110149")</f>
        <v/>
      </c>
      <c r="B692" s="2" t="n">
        <v>43238.61106481482</v>
      </c>
      <c r="C692" t="n">
        <v>15</v>
      </c>
      <c r="D692" t="n">
        <v>16</v>
      </c>
      <c r="E692" t="s">
        <v>692</v>
      </c>
      <c r="F692">
        <f>HYPERLINK("http://pbs.twimg.com/media/DdfJF3VU8AAJguQ.jpg", "http://pbs.twimg.com/media/DdfJF3VU8AAJguQ.jpg")</f>
        <v/>
      </c>
      <c r="G692" t="s"/>
      <c r="H692" t="s"/>
      <c r="I692" t="s"/>
      <c r="J692" t="n">
        <v>0.644</v>
      </c>
      <c r="K692" t="n">
        <v>0.045</v>
      </c>
      <c r="L692" t="n">
        <v>0.8179999999999999</v>
      </c>
      <c r="M692" t="n">
        <v>0.137</v>
      </c>
    </row>
    <row r="693" spans="1:13">
      <c r="A693" s="1">
        <f>HYPERLINK("http://www.twitter.com/NathanBLawrence/status/997486143670312960", "997486143670312960")</f>
        <v/>
      </c>
      <c r="B693" s="2" t="n">
        <v>43238.60883101852</v>
      </c>
      <c r="C693" t="n">
        <v>0</v>
      </c>
      <c r="D693" t="n">
        <v>8</v>
      </c>
      <c r="E693" t="s">
        <v>693</v>
      </c>
      <c r="F693" t="s"/>
      <c r="G693" t="s"/>
      <c r="H693" t="s"/>
      <c r="I693" t="s"/>
      <c r="J693" t="n">
        <v>0</v>
      </c>
      <c r="K693" t="n">
        <v>0</v>
      </c>
      <c r="L693" t="n">
        <v>1</v>
      </c>
      <c r="M693" t="n">
        <v>0</v>
      </c>
    </row>
    <row r="694" spans="1:13">
      <c r="A694" s="1">
        <f>HYPERLINK("http://www.twitter.com/NathanBLawrence/status/997486016985468929", "997486016985468929")</f>
        <v/>
      </c>
      <c r="B694" s="2" t="n">
        <v>43238.6084837963</v>
      </c>
      <c r="C694" t="n">
        <v>0</v>
      </c>
      <c r="D694" t="n">
        <v>7</v>
      </c>
      <c r="E694" t="s">
        <v>694</v>
      </c>
      <c r="F694" t="s"/>
      <c r="G694" t="s"/>
      <c r="H694" t="s"/>
      <c r="I694" t="s"/>
      <c r="J694" t="n">
        <v>0.3612</v>
      </c>
      <c r="K694" t="n">
        <v>0</v>
      </c>
      <c r="L694" t="n">
        <v>0.884</v>
      </c>
      <c r="M694" t="n">
        <v>0.116</v>
      </c>
    </row>
    <row r="695" spans="1:13">
      <c r="A695" s="1">
        <f>HYPERLINK("http://www.twitter.com/NathanBLawrence/status/997348980806881280", "997348980806881280")</f>
        <v/>
      </c>
      <c r="B695" s="2" t="n">
        <v>43238.23033564815</v>
      </c>
      <c r="C695" t="n">
        <v>0</v>
      </c>
      <c r="D695" t="n">
        <v>0</v>
      </c>
      <c r="E695" t="s">
        <v>695</v>
      </c>
      <c r="F695">
        <f>HYPERLINK("http://pbs.twimg.com/media/DddLm1yX0AI4HQt.jpg", "http://pbs.twimg.com/media/DddLm1yX0AI4HQt.jpg")</f>
        <v/>
      </c>
      <c r="G695" t="s"/>
      <c r="H695" t="s"/>
      <c r="I695" t="s"/>
      <c r="J695" t="n">
        <v>0</v>
      </c>
      <c r="K695" t="n">
        <v>0</v>
      </c>
      <c r="L695" t="n">
        <v>1</v>
      </c>
      <c r="M695" t="n">
        <v>0</v>
      </c>
    </row>
    <row r="696" spans="1:13">
      <c r="A696" s="1">
        <f>HYPERLINK("http://www.twitter.com/NathanBLawrence/status/997333796730167296", "997333796730167296")</f>
        <v/>
      </c>
      <c r="B696" s="2" t="n">
        <v>43238.1884375</v>
      </c>
      <c r="C696" t="n">
        <v>0</v>
      </c>
      <c r="D696" t="n">
        <v>7</v>
      </c>
      <c r="E696" t="s">
        <v>696</v>
      </c>
      <c r="F696">
        <f>HYPERLINK("http://pbs.twimg.com/media/DdctlMzVMAAWInP.jpg", "http://pbs.twimg.com/media/DdctlMzVMAAWInP.jpg")</f>
        <v/>
      </c>
      <c r="G696" t="s"/>
      <c r="H696" t="s"/>
      <c r="I696" t="s"/>
      <c r="J696" t="n">
        <v>0.2263</v>
      </c>
      <c r="K696" t="n">
        <v>0</v>
      </c>
      <c r="L696" t="n">
        <v>0.917</v>
      </c>
      <c r="M696" t="n">
        <v>0.083</v>
      </c>
    </row>
    <row r="697" spans="1:13">
      <c r="A697" s="1">
        <f>HYPERLINK("http://www.twitter.com/NathanBLawrence/status/997333755470794752", "997333755470794752")</f>
        <v/>
      </c>
      <c r="B697" s="2" t="n">
        <v>43238.18832175926</v>
      </c>
      <c r="C697" t="n">
        <v>0</v>
      </c>
      <c r="D697" t="n">
        <v>11</v>
      </c>
      <c r="E697" t="s">
        <v>697</v>
      </c>
      <c r="F697">
        <f>HYPERLINK("http://pbs.twimg.com/media/DdcwKkOUQAAfQve.jpg", "http://pbs.twimg.com/media/DdcwKkOUQAAfQve.jpg")</f>
        <v/>
      </c>
      <c r="G697" t="s"/>
      <c r="H697" t="s"/>
      <c r="I697" t="s"/>
      <c r="J697" t="n">
        <v>-0.4767</v>
      </c>
      <c r="K697" t="n">
        <v>0.134</v>
      </c>
      <c r="L697" t="n">
        <v>0.866</v>
      </c>
      <c r="M697" t="n">
        <v>0</v>
      </c>
    </row>
    <row r="698" spans="1:13">
      <c r="A698" s="1">
        <f>HYPERLINK("http://www.twitter.com/NathanBLawrence/status/997328351390990336", "997328351390990336")</f>
        <v/>
      </c>
      <c r="B698" s="2" t="n">
        <v>43238.17341435186</v>
      </c>
      <c r="C698" t="n">
        <v>0</v>
      </c>
      <c r="D698" t="n">
        <v>8</v>
      </c>
      <c r="E698" t="s">
        <v>698</v>
      </c>
      <c r="F698" t="s"/>
      <c r="G698" t="s"/>
      <c r="H698" t="s"/>
      <c r="I698" t="s"/>
      <c r="J698" t="n">
        <v>0.0108</v>
      </c>
      <c r="K698" t="n">
        <v>0.08799999999999999</v>
      </c>
      <c r="L698" t="n">
        <v>0.822</v>
      </c>
      <c r="M698" t="n">
        <v>0.09</v>
      </c>
    </row>
    <row r="699" spans="1:13">
      <c r="A699" s="1">
        <f>HYPERLINK("http://www.twitter.com/NathanBLawrence/status/997328310962139136", "997328310962139136")</f>
        <v/>
      </c>
      <c r="B699" s="2" t="n">
        <v>43238.17329861111</v>
      </c>
      <c r="C699" t="n">
        <v>12</v>
      </c>
      <c r="D699" t="n">
        <v>8</v>
      </c>
      <c r="E699" t="s">
        <v>699</v>
      </c>
      <c r="F699" t="s"/>
      <c r="G699" t="s"/>
      <c r="H699" t="s"/>
      <c r="I699" t="s"/>
      <c r="J699" t="n">
        <v>0.0108</v>
      </c>
      <c r="K699" t="n">
        <v>0.047</v>
      </c>
      <c r="L699" t="n">
        <v>0.906</v>
      </c>
      <c r="M699" t="n">
        <v>0.047</v>
      </c>
    </row>
    <row r="700" spans="1:13">
      <c r="A700" s="1">
        <f>HYPERLINK("http://www.twitter.com/NathanBLawrence/status/997318359313256449", "997318359313256449")</f>
        <v/>
      </c>
      <c r="B700" s="2" t="n">
        <v>43238.14583333334</v>
      </c>
      <c r="C700" t="n">
        <v>0</v>
      </c>
      <c r="D700" t="n">
        <v>16775</v>
      </c>
      <c r="E700" t="s">
        <v>700</v>
      </c>
      <c r="F700" t="s"/>
      <c r="G700" t="s"/>
      <c r="H700" t="s"/>
      <c r="I700" t="s"/>
      <c r="J700" t="n">
        <v>0.8807</v>
      </c>
      <c r="K700" t="n">
        <v>0</v>
      </c>
      <c r="L700" t="n">
        <v>0.651</v>
      </c>
      <c r="M700" t="n">
        <v>0.349</v>
      </c>
    </row>
    <row r="701" spans="1:13">
      <c r="A701" s="1">
        <f>HYPERLINK("http://www.twitter.com/NathanBLawrence/status/997318334600409088", "997318334600409088")</f>
        <v/>
      </c>
      <c r="B701" s="2" t="n">
        <v>43238.14576388889</v>
      </c>
      <c r="C701" t="n">
        <v>0</v>
      </c>
      <c r="D701" t="n">
        <v>14</v>
      </c>
      <c r="E701" t="s">
        <v>701</v>
      </c>
      <c r="F701">
        <f>HYPERLINK("http://pbs.twimg.com/media/Ddcg6_xX0AAM5z8.jpg", "http://pbs.twimg.com/media/Ddcg6_xX0AAM5z8.jpg")</f>
        <v/>
      </c>
      <c r="G701" t="s"/>
      <c r="H701" t="s"/>
      <c r="I701" t="s"/>
      <c r="J701" t="n">
        <v>0</v>
      </c>
      <c r="K701" t="n">
        <v>0</v>
      </c>
      <c r="L701" t="n">
        <v>1</v>
      </c>
      <c r="M701" t="n">
        <v>0</v>
      </c>
    </row>
    <row r="702" spans="1:13">
      <c r="A702" s="1">
        <f>HYPERLINK("http://www.twitter.com/NathanBLawrence/status/997318320817868803", "997318320817868803")</f>
        <v/>
      </c>
      <c r="B702" s="2" t="n">
        <v>43238.14572916667</v>
      </c>
      <c r="C702" t="n">
        <v>0</v>
      </c>
      <c r="D702" t="n">
        <v>2689</v>
      </c>
      <c r="E702" t="s">
        <v>702</v>
      </c>
      <c r="F702" t="s"/>
      <c r="G702" t="s"/>
      <c r="H702" t="s"/>
      <c r="I702" t="s"/>
      <c r="J702" t="n">
        <v>-0.5106000000000001</v>
      </c>
      <c r="K702" t="n">
        <v>0.129</v>
      </c>
      <c r="L702" t="n">
        <v>0.824</v>
      </c>
      <c r="M702" t="n">
        <v>0.047</v>
      </c>
    </row>
    <row r="703" spans="1:13">
      <c r="A703" s="1">
        <f>HYPERLINK("http://www.twitter.com/NathanBLawrence/status/997318276408627200", "997318276408627200")</f>
        <v/>
      </c>
      <c r="B703" s="2" t="n">
        <v>43238.14561342593</v>
      </c>
      <c r="C703" t="n">
        <v>0</v>
      </c>
      <c r="D703" t="n">
        <v>3313</v>
      </c>
      <c r="E703" t="s">
        <v>703</v>
      </c>
      <c r="F703" t="s"/>
      <c r="G703" t="s"/>
      <c r="H703" t="s"/>
      <c r="I703" t="s"/>
      <c r="J703" t="n">
        <v>0.6187</v>
      </c>
      <c r="K703" t="n">
        <v>0</v>
      </c>
      <c r="L703" t="n">
        <v>0.784</v>
      </c>
      <c r="M703" t="n">
        <v>0.216</v>
      </c>
    </row>
    <row r="704" spans="1:13">
      <c r="A704" s="1">
        <f>HYPERLINK("http://www.twitter.com/NathanBLawrence/status/997318170162720768", "997318170162720768")</f>
        <v/>
      </c>
      <c r="B704" s="2" t="n">
        <v>43238.1453125</v>
      </c>
      <c r="C704" t="n">
        <v>0</v>
      </c>
      <c r="D704" t="n">
        <v>8749</v>
      </c>
      <c r="E704" t="s">
        <v>704</v>
      </c>
      <c r="F704" t="s"/>
      <c r="G704" t="s"/>
      <c r="H704" t="s"/>
      <c r="I704" t="s"/>
      <c r="J704" t="n">
        <v>0</v>
      </c>
      <c r="K704" t="n">
        <v>0</v>
      </c>
      <c r="L704" t="n">
        <v>1</v>
      </c>
      <c r="M704" t="n">
        <v>0</v>
      </c>
    </row>
    <row r="705" spans="1:13">
      <c r="A705" s="1">
        <f>HYPERLINK("http://www.twitter.com/NathanBLawrence/status/997318156917051392", "997318156917051392")</f>
        <v/>
      </c>
      <c r="B705" s="2" t="n">
        <v>43238.14527777778</v>
      </c>
      <c r="C705" t="n">
        <v>0</v>
      </c>
      <c r="D705" t="n">
        <v>13</v>
      </c>
      <c r="E705" t="s">
        <v>705</v>
      </c>
      <c r="F705" t="s"/>
      <c r="G705" t="s"/>
      <c r="H705" t="s"/>
      <c r="I705" t="s"/>
      <c r="J705" t="n">
        <v>-0.6808</v>
      </c>
      <c r="K705" t="n">
        <v>0.229</v>
      </c>
      <c r="L705" t="n">
        <v>0.714</v>
      </c>
      <c r="M705" t="n">
        <v>0.056</v>
      </c>
    </row>
    <row r="706" spans="1:13">
      <c r="A706" s="1">
        <f>HYPERLINK("http://www.twitter.com/NathanBLawrence/status/997318127720558594", "997318127720558594")</f>
        <v/>
      </c>
      <c r="B706" s="2" t="n">
        <v>43238.14519675926</v>
      </c>
      <c r="C706" t="n">
        <v>0</v>
      </c>
      <c r="D706" t="n">
        <v>2553</v>
      </c>
      <c r="E706" t="s">
        <v>706</v>
      </c>
      <c r="F706" t="s"/>
      <c r="G706" t="s"/>
      <c r="H706" t="s"/>
      <c r="I706" t="s"/>
      <c r="J706" t="n">
        <v>-0.4215</v>
      </c>
      <c r="K706" t="n">
        <v>0.149</v>
      </c>
      <c r="L706" t="n">
        <v>0.851</v>
      </c>
      <c r="M706" t="n">
        <v>0</v>
      </c>
    </row>
    <row r="707" spans="1:13">
      <c r="A707" s="1">
        <f>HYPERLINK("http://www.twitter.com/NathanBLawrence/status/997301709247574017", "997301709247574017")</f>
        <v/>
      </c>
      <c r="B707" s="2" t="n">
        <v>43238.09989583334</v>
      </c>
      <c r="C707" t="n">
        <v>0</v>
      </c>
      <c r="D707" t="n">
        <v>5</v>
      </c>
      <c r="E707" t="s">
        <v>707</v>
      </c>
      <c r="F707" t="s"/>
      <c r="G707" t="s"/>
      <c r="H707" t="s"/>
      <c r="I707" t="s"/>
      <c r="J707" t="n">
        <v>-0.1027</v>
      </c>
      <c r="K707" t="n">
        <v>0.06</v>
      </c>
      <c r="L707" t="n">
        <v>0.9399999999999999</v>
      </c>
      <c r="M707" t="n">
        <v>0</v>
      </c>
    </row>
    <row r="708" spans="1:13">
      <c r="A708" s="1">
        <f>HYPERLINK("http://www.twitter.com/NathanBLawrence/status/997298770172895237", "997298770172895237")</f>
        <v/>
      </c>
      <c r="B708" s="2" t="n">
        <v>43238.09178240741</v>
      </c>
      <c r="C708" t="n">
        <v>5</v>
      </c>
      <c r="D708" t="n">
        <v>5</v>
      </c>
      <c r="E708" t="s">
        <v>708</v>
      </c>
      <c r="F708">
        <f>HYPERLINK("http://pbs.twimg.com/media/Ddcd8TMXkAEOkz9.jpg", "http://pbs.twimg.com/media/Ddcd8TMXkAEOkz9.jpg")</f>
        <v/>
      </c>
      <c r="G708" t="s"/>
      <c r="H708" t="s"/>
      <c r="I708" t="s"/>
      <c r="J708" t="n">
        <v>0</v>
      </c>
      <c r="K708" t="n">
        <v>0</v>
      </c>
      <c r="L708" t="n">
        <v>1</v>
      </c>
      <c r="M708" t="n">
        <v>0</v>
      </c>
    </row>
    <row r="709" spans="1:13">
      <c r="A709" s="1">
        <f>HYPERLINK("http://www.twitter.com/NathanBLawrence/status/997298267045224448", "997298267045224448")</f>
        <v/>
      </c>
      <c r="B709" s="2" t="n">
        <v>43238.09039351852</v>
      </c>
      <c r="C709" t="n">
        <v>0</v>
      </c>
      <c r="D709" t="n">
        <v>9</v>
      </c>
      <c r="E709" t="s">
        <v>709</v>
      </c>
      <c r="F709">
        <f>HYPERLINK("http://pbs.twimg.com/media/DdccnAzVQAAw2tx.jpg", "http://pbs.twimg.com/media/DdccnAzVQAAw2tx.jpg")</f>
        <v/>
      </c>
      <c r="G709" t="s"/>
      <c r="H709" t="s"/>
      <c r="I709" t="s"/>
      <c r="J709" t="n">
        <v>0.4939</v>
      </c>
      <c r="K709" t="n">
        <v>0</v>
      </c>
      <c r="L709" t="n">
        <v>0.868</v>
      </c>
      <c r="M709" t="n">
        <v>0.132</v>
      </c>
    </row>
    <row r="710" spans="1:13">
      <c r="A710" s="1">
        <f>HYPERLINK("http://www.twitter.com/NathanBLawrence/status/997298221566300160", "997298221566300160")</f>
        <v/>
      </c>
      <c r="B710" s="2" t="n">
        <v>43238.0902662037</v>
      </c>
      <c r="C710" t="n">
        <v>6</v>
      </c>
      <c r="D710" t="n">
        <v>5</v>
      </c>
      <c r="E710" t="s">
        <v>710</v>
      </c>
      <c r="F710" t="s"/>
      <c r="G710" t="s"/>
      <c r="H710" t="s"/>
      <c r="I710" t="s"/>
      <c r="J710" t="n">
        <v>-0.2023</v>
      </c>
      <c r="K710" t="n">
        <v>0.07000000000000001</v>
      </c>
      <c r="L710" t="n">
        <v>0.93</v>
      </c>
      <c r="M710" t="n">
        <v>0</v>
      </c>
    </row>
    <row r="711" spans="1:13">
      <c r="A711" s="1">
        <f>HYPERLINK("http://www.twitter.com/NathanBLawrence/status/997297306515988481", "997297306515988481")</f>
        <v/>
      </c>
      <c r="B711" s="2" t="n">
        <v>43238.08774305556</v>
      </c>
      <c r="C711" t="n">
        <v>7</v>
      </c>
      <c r="D711" t="n">
        <v>9</v>
      </c>
      <c r="E711" t="s">
        <v>711</v>
      </c>
      <c r="F711">
        <f>HYPERLINK("http://pbs.twimg.com/media/DdccnAzVQAAw2tx.jpg", "http://pbs.twimg.com/media/DdccnAzVQAAw2tx.jpg")</f>
        <v/>
      </c>
      <c r="G711" t="s"/>
      <c r="H711" t="s"/>
      <c r="I711" t="s"/>
      <c r="J711" t="n">
        <v>0.4956</v>
      </c>
      <c r="K711" t="n">
        <v>0</v>
      </c>
      <c r="L711" t="n">
        <v>0.907</v>
      </c>
      <c r="M711" t="n">
        <v>0.093</v>
      </c>
    </row>
    <row r="712" spans="1:13">
      <c r="A712" s="1">
        <f>HYPERLINK("http://www.twitter.com/NathanBLawrence/status/997288818473660422", "997288818473660422")</f>
        <v/>
      </c>
      <c r="B712" s="2" t="n">
        <v>43238.06431712963</v>
      </c>
      <c r="C712" t="n">
        <v>1</v>
      </c>
      <c r="D712" t="n">
        <v>0</v>
      </c>
      <c r="E712" t="s">
        <v>712</v>
      </c>
      <c r="F712">
        <f>HYPERLINK("http://pbs.twimg.com/media/DdcU4ovX4AA0ktu.jpg", "http://pbs.twimg.com/media/DdcU4ovX4AA0ktu.jpg")</f>
        <v/>
      </c>
      <c r="G712" t="s"/>
      <c r="H712" t="s"/>
      <c r="I712" t="s"/>
      <c r="J712" t="n">
        <v>-0.1759</v>
      </c>
      <c r="K712" t="n">
        <v>0.185</v>
      </c>
      <c r="L712" t="n">
        <v>0.659</v>
      </c>
      <c r="M712" t="n">
        <v>0.156</v>
      </c>
    </row>
    <row r="713" spans="1:13">
      <c r="A713" s="1">
        <f>HYPERLINK("http://www.twitter.com/NathanBLawrence/status/997288421369565185", "997288421369565185")</f>
        <v/>
      </c>
      <c r="B713" s="2" t="n">
        <v>43238.06322916667</v>
      </c>
      <c r="C713" t="n">
        <v>0</v>
      </c>
      <c r="D713" t="n">
        <v>3</v>
      </c>
      <c r="E713" t="s">
        <v>713</v>
      </c>
      <c r="F713" t="s"/>
      <c r="G713" t="s"/>
      <c r="H713" t="s"/>
      <c r="I713" t="s"/>
      <c r="J713" t="n">
        <v>0.68</v>
      </c>
      <c r="K713" t="n">
        <v>0</v>
      </c>
      <c r="L713" t="n">
        <v>0.781</v>
      </c>
      <c r="M713" t="n">
        <v>0.219</v>
      </c>
    </row>
    <row r="714" spans="1:13">
      <c r="A714" s="1">
        <f>HYPERLINK("http://www.twitter.com/NathanBLawrence/status/997288376414896128", "997288376414896128")</f>
        <v/>
      </c>
      <c r="B714" s="2" t="n">
        <v>43238.06310185185</v>
      </c>
      <c r="C714" t="n">
        <v>0</v>
      </c>
      <c r="D714" t="n">
        <v>1</v>
      </c>
      <c r="E714" t="s">
        <v>714</v>
      </c>
      <c r="F714" t="s"/>
      <c r="G714" t="s"/>
      <c r="H714" t="s"/>
      <c r="I714" t="s"/>
      <c r="J714" t="n">
        <v>0.4019</v>
      </c>
      <c r="K714" t="n">
        <v>0</v>
      </c>
      <c r="L714" t="n">
        <v>0.886</v>
      </c>
      <c r="M714" t="n">
        <v>0.114</v>
      </c>
    </row>
    <row r="715" spans="1:13">
      <c r="A715" s="1">
        <f>HYPERLINK("http://www.twitter.com/NathanBLawrence/status/997288351140077573", "997288351140077573")</f>
        <v/>
      </c>
      <c r="B715" s="2" t="n">
        <v>43238.06303240741</v>
      </c>
      <c r="C715" t="n">
        <v>2</v>
      </c>
      <c r="D715" t="n">
        <v>0</v>
      </c>
      <c r="E715" t="s">
        <v>715</v>
      </c>
      <c r="F715" t="s"/>
      <c r="G715" t="s"/>
      <c r="H715" t="s"/>
      <c r="I715" t="s"/>
      <c r="J715" t="n">
        <v>0</v>
      </c>
      <c r="K715" t="n">
        <v>0</v>
      </c>
      <c r="L715" t="n">
        <v>1</v>
      </c>
      <c r="M715" t="n">
        <v>0</v>
      </c>
    </row>
    <row r="716" spans="1:13">
      <c r="A716" s="1">
        <f>HYPERLINK("http://www.twitter.com/NathanBLawrence/status/997288324384673792", "997288324384673792")</f>
        <v/>
      </c>
      <c r="B716" s="2" t="n">
        <v>43238.06295138889</v>
      </c>
      <c r="C716" t="n">
        <v>0</v>
      </c>
      <c r="D716" t="n">
        <v>3</v>
      </c>
      <c r="E716" t="s">
        <v>716</v>
      </c>
      <c r="F716" t="s"/>
      <c r="G716" t="s"/>
      <c r="H716" t="s"/>
      <c r="I716" t="s"/>
      <c r="J716" t="n">
        <v>-0.498</v>
      </c>
      <c r="K716" t="n">
        <v>0.209</v>
      </c>
      <c r="L716" t="n">
        <v>0.695</v>
      </c>
      <c r="M716" t="n">
        <v>0.096</v>
      </c>
    </row>
    <row r="717" spans="1:13">
      <c r="A717" s="1">
        <f>HYPERLINK("http://www.twitter.com/NathanBLawrence/status/997288312145661954", "997288312145661954")</f>
        <v/>
      </c>
      <c r="B717" s="2" t="n">
        <v>43238.06291666667</v>
      </c>
      <c r="C717" t="n">
        <v>0</v>
      </c>
      <c r="D717" t="n">
        <v>3</v>
      </c>
      <c r="E717" t="s">
        <v>717</v>
      </c>
      <c r="F717" t="s"/>
      <c r="G717" t="s"/>
      <c r="H717" t="s"/>
      <c r="I717" t="s"/>
      <c r="J717" t="n">
        <v>0</v>
      </c>
      <c r="K717" t="n">
        <v>0</v>
      </c>
      <c r="L717" t="n">
        <v>1</v>
      </c>
      <c r="M717" t="n">
        <v>0</v>
      </c>
    </row>
    <row r="718" spans="1:13">
      <c r="A718" s="1">
        <f>HYPERLINK("http://www.twitter.com/NathanBLawrence/status/997287610837028864", "997287610837028864")</f>
        <v/>
      </c>
      <c r="B718" s="2" t="n">
        <v>43238.0609837963</v>
      </c>
      <c r="C718" t="n">
        <v>0</v>
      </c>
      <c r="D718" t="n">
        <v>3</v>
      </c>
      <c r="E718" t="s">
        <v>718</v>
      </c>
      <c r="F718" t="s"/>
      <c r="G718" t="s"/>
      <c r="H718" t="s"/>
      <c r="I718" t="s"/>
      <c r="J718" t="n">
        <v>0</v>
      </c>
      <c r="K718" t="n">
        <v>0</v>
      </c>
      <c r="L718" t="n">
        <v>1</v>
      </c>
      <c r="M718" t="n">
        <v>0</v>
      </c>
    </row>
    <row r="719" spans="1:13">
      <c r="A719" s="1">
        <f>HYPERLINK("http://www.twitter.com/NathanBLawrence/status/997287536362967046", "997287536362967046")</f>
        <v/>
      </c>
      <c r="B719" s="2" t="n">
        <v>43238.06078703704</v>
      </c>
      <c r="C719" t="n">
        <v>0</v>
      </c>
      <c r="D719" t="n">
        <v>6</v>
      </c>
      <c r="E719" t="s">
        <v>719</v>
      </c>
      <c r="F719" t="s"/>
      <c r="G719" t="s"/>
      <c r="H719" t="s"/>
      <c r="I719" t="s"/>
      <c r="J719" t="n">
        <v>0</v>
      </c>
      <c r="K719" t="n">
        <v>0</v>
      </c>
      <c r="L719" t="n">
        <v>1</v>
      </c>
      <c r="M719" t="n">
        <v>0</v>
      </c>
    </row>
    <row r="720" spans="1:13">
      <c r="A720" s="1">
        <f>HYPERLINK("http://www.twitter.com/NathanBLawrence/status/997287523255799809", "997287523255799809")</f>
        <v/>
      </c>
      <c r="B720" s="2" t="n">
        <v>43238.06074074074</v>
      </c>
      <c r="C720" t="n">
        <v>0</v>
      </c>
      <c r="D720" t="n">
        <v>10</v>
      </c>
      <c r="E720" t="s">
        <v>720</v>
      </c>
      <c r="F720" t="s"/>
      <c r="G720" t="s"/>
      <c r="H720" t="s"/>
      <c r="I720" t="s"/>
      <c r="J720" t="n">
        <v>-0.3818</v>
      </c>
      <c r="K720" t="n">
        <v>0.102</v>
      </c>
      <c r="L720" t="n">
        <v>0.898</v>
      </c>
      <c r="M720" t="n">
        <v>0</v>
      </c>
    </row>
    <row r="721" spans="1:13">
      <c r="A721" s="1">
        <f>HYPERLINK("http://www.twitter.com/NathanBLawrence/status/997287512342171649", "997287512342171649")</f>
        <v/>
      </c>
      <c r="B721" s="2" t="n">
        <v>43238.06071759259</v>
      </c>
      <c r="C721" t="n">
        <v>0</v>
      </c>
      <c r="D721" t="n">
        <v>5</v>
      </c>
      <c r="E721" t="s">
        <v>721</v>
      </c>
      <c r="F721" t="s"/>
      <c r="G721" t="s"/>
      <c r="H721" t="s"/>
      <c r="I721" t="s"/>
      <c r="J721" t="n">
        <v>0</v>
      </c>
      <c r="K721" t="n">
        <v>0</v>
      </c>
      <c r="L721" t="n">
        <v>1</v>
      </c>
      <c r="M721" t="n">
        <v>0</v>
      </c>
    </row>
    <row r="722" spans="1:13">
      <c r="A722" s="1">
        <f>HYPERLINK("http://www.twitter.com/NathanBLawrence/status/997287492935192576", "997287492935192576")</f>
        <v/>
      </c>
      <c r="B722" s="2" t="n">
        <v>43238.06065972222</v>
      </c>
      <c r="C722" t="n">
        <v>0</v>
      </c>
      <c r="D722" t="n">
        <v>5</v>
      </c>
      <c r="E722" t="s">
        <v>722</v>
      </c>
      <c r="F722" t="s"/>
      <c r="G722" t="s"/>
      <c r="H722" t="s"/>
      <c r="I722" t="s"/>
      <c r="J722" t="n">
        <v>-0.5106000000000001</v>
      </c>
      <c r="K722" t="n">
        <v>0.142</v>
      </c>
      <c r="L722" t="n">
        <v>0.858</v>
      </c>
      <c r="M722" t="n">
        <v>0</v>
      </c>
    </row>
    <row r="723" spans="1:13">
      <c r="A723" s="1">
        <f>HYPERLINK("http://www.twitter.com/NathanBLawrence/status/997287472123047936", "997287472123047936")</f>
        <v/>
      </c>
      <c r="B723" s="2" t="n">
        <v>43238.06060185185</v>
      </c>
      <c r="C723" t="n">
        <v>0</v>
      </c>
      <c r="D723" t="n">
        <v>14</v>
      </c>
      <c r="E723" t="s">
        <v>723</v>
      </c>
      <c r="F723">
        <f>HYPERLINK("http://pbs.twimg.com/media/DdCHdYmXkAA-ydw.jpg", "http://pbs.twimg.com/media/DdCHdYmXkAA-ydw.jpg")</f>
        <v/>
      </c>
      <c r="G723" t="s"/>
      <c r="H723" t="s"/>
      <c r="I723" t="s"/>
      <c r="J723" t="n">
        <v>0.5319</v>
      </c>
      <c r="K723" t="n">
        <v>0</v>
      </c>
      <c r="L723" t="n">
        <v>0.879</v>
      </c>
      <c r="M723" t="n">
        <v>0.121</v>
      </c>
    </row>
    <row r="724" spans="1:13">
      <c r="A724" s="1">
        <f>HYPERLINK("http://www.twitter.com/NathanBLawrence/status/997287386064318464", "997287386064318464")</f>
        <v/>
      </c>
      <c r="B724" s="2" t="n">
        <v>43238.06037037037</v>
      </c>
      <c r="C724" t="n">
        <v>0</v>
      </c>
      <c r="D724" t="n">
        <v>9</v>
      </c>
      <c r="E724" t="s">
        <v>724</v>
      </c>
      <c r="F724" t="s"/>
      <c r="G724" t="s"/>
      <c r="H724" t="s"/>
      <c r="I724" t="s"/>
      <c r="J724" t="n">
        <v>-0.6808</v>
      </c>
      <c r="K724" t="n">
        <v>0.248</v>
      </c>
      <c r="L724" t="n">
        <v>0.752</v>
      </c>
      <c r="M724" t="n">
        <v>0</v>
      </c>
    </row>
    <row r="725" spans="1:13">
      <c r="A725" s="1">
        <f>HYPERLINK("http://www.twitter.com/NathanBLawrence/status/997287365877092352", "997287365877092352")</f>
        <v/>
      </c>
      <c r="B725" s="2" t="n">
        <v>43238.0603125</v>
      </c>
      <c r="C725" t="n">
        <v>0</v>
      </c>
      <c r="D725" t="n">
        <v>25</v>
      </c>
      <c r="E725" t="s">
        <v>725</v>
      </c>
      <c r="F725" t="s"/>
      <c r="G725" t="s"/>
      <c r="H725" t="s"/>
      <c r="I725" t="s"/>
      <c r="J725" t="n">
        <v>0.1235</v>
      </c>
      <c r="K725" t="n">
        <v>0.074</v>
      </c>
      <c r="L725" t="n">
        <v>0.836</v>
      </c>
      <c r="M725" t="n">
        <v>0.09</v>
      </c>
    </row>
    <row r="726" spans="1:13">
      <c r="A726" s="1">
        <f>HYPERLINK("http://www.twitter.com/NathanBLawrence/status/997287164504367106", "997287164504367106")</f>
        <v/>
      </c>
      <c r="B726" s="2" t="n">
        <v>43238.05975694444</v>
      </c>
      <c r="C726" t="n">
        <v>0</v>
      </c>
      <c r="D726" t="n">
        <v>6</v>
      </c>
      <c r="E726" t="s">
        <v>726</v>
      </c>
      <c r="F726" t="s"/>
      <c r="G726" t="s"/>
      <c r="H726" t="s"/>
      <c r="I726" t="s"/>
      <c r="J726" t="n">
        <v>0</v>
      </c>
      <c r="K726" t="n">
        <v>0</v>
      </c>
      <c r="L726" t="n">
        <v>1</v>
      </c>
      <c r="M726" t="n">
        <v>0</v>
      </c>
    </row>
    <row r="727" spans="1:13">
      <c r="A727" s="1">
        <f>HYPERLINK("http://www.twitter.com/NathanBLawrence/status/997287125837058048", "997287125837058048")</f>
        <v/>
      </c>
      <c r="B727" s="2" t="n">
        <v>43238.05965277777</v>
      </c>
      <c r="C727" t="n">
        <v>0</v>
      </c>
      <c r="D727" t="n">
        <v>14</v>
      </c>
      <c r="E727" t="s">
        <v>727</v>
      </c>
      <c r="F727" t="s"/>
      <c r="G727" t="s"/>
      <c r="H727" t="s"/>
      <c r="I727" t="s"/>
      <c r="J727" t="n">
        <v>0.8176</v>
      </c>
      <c r="K727" t="n">
        <v>0</v>
      </c>
      <c r="L727" t="n">
        <v>0.681</v>
      </c>
      <c r="M727" t="n">
        <v>0.319</v>
      </c>
    </row>
    <row r="728" spans="1:13">
      <c r="A728" s="1">
        <f>HYPERLINK("http://www.twitter.com/NathanBLawrence/status/997287021570875392", "997287021570875392")</f>
        <v/>
      </c>
      <c r="B728" s="2" t="n">
        <v>43238.05936342593</v>
      </c>
      <c r="C728" t="n">
        <v>0</v>
      </c>
      <c r="D728" t="n">
        <v>4</v>
      </c>
      <c r="E728" t="s">
        <v>728</v>
      </c>
      <c r="F728" t="s"/>
      <c r="G728" t="s"/>
      <c r="H728" t="s"/>
      <c r="I728" t="s"/>
      <c r="J728" t="n">
        <v>0</v>
      </c>
      <c r="K728" t="n">
        <v>0</v>
      </c>
      <c r="L728" t="n">
        <v>1</v>
      </c>
      <c r="M728" t="n">
        <v>0</v>
      </c>
    </row>
    <row r="729" spans="1:13">
      <c r="A729" s="1">
        <f>HYPERLINK("http://www.twitter.com/NathanBLawrence/status/997281361093447681", "997281361093447681")</f>
        <v/>
      </c>
      <c r="B729" s="2" t="n">
        <v>43238.04373842593</v>
      </c>
      <c r="C729" t="n">
        <v>0</v>
      </c>
      <c r="D729" t="n">
        <v>5</v>
      </c>
      <c r="E729" t="s">
        <v>729</v>
      </c>
      <c r="F729" t="s"/>
      <c r="G729" t="s"/>
      <c r="H729" t="s"/>
      <c r="I729" t="s"/>
      <c r="J729" t="n">
        <v>-0.6249</v>
      </c>
      <c r="K729" t="n">
        <v>0.186</v>
      </c>
      <c r="L729" t="n">
        <v>0.8139999999999999</v>
      </c>
      <c r="M729" t="n">
        <v>0</v>
      </c>
    </row>
    <row r="730" spans="1:13">
      <c r="A730" s="1">
        <f>HYPERLINK("http://www.twitter.com/NathanBLawrence/status/997281328210038784", "997281328210038784")</f>
        <v/>
      </c>
      <c r="B730" s="2" t="n">
        <v>43238.04364583334</v>
      </c>
      <c r="C730" t="n">
        <v>0</v>
      </c>
      <c r="D730" t="n">
        <v>285</v>
      </c>
      <c r="E730" t="s">
        <v>730</v>
      </c>
      <c r="F730" t="s"/>
      <c r="G730" t="s"/>
      <c r="H730" t="s"/>
      <c r="I730" t="s"/>
      <c r="J730" t="n">
        <v>-0.5423</v>
      </c>
      <c r="K730" t="n">
        <v>0.149</v>
      </c>
      <c r="L730" t="n">
        <v>0.851</v>
      </c>
      <c r="M730" t="n">
        <v>0</v>
      </c>
    </row>
    <row r="731" spans="1:13">
      <c r="A731" s="1">
        <f>HYPERLINK("http://www.twitter.com/NathanBLawrence/status/997281308077445121", "997281308077445121")</f>
        <v/>
      </c>
      <c r="B731" s="2" t="n">
        <v>43238.04359953704</v>
      </c>
      <c r="C731" t="n">
        <v>0</v>
      </c>
      <c r="D731" t="n">
        <v>676</v>
      </c>
      <c r="E731" t="s">
        <v>731</v>
      </c>
      <c r="F731" t="s"/>
      <c r="G731" t="s"/>
      <c r="H731" t="s"/>
      <c r="I731" t="s"/>
      <c r="J731" t="n">
        <v>-0.4588</v>
      </c>
      <c r="K731" t="n">
        <v>0.357</v>
      </c>
      <c r="L731" t="n">
        <v>0.382</v>
      </c>
      <c r="M731" t="n">
        <v>0.261</v>
      </c>
    </row>
    <row r="732" spans="1:13">
      <c r="A732" s="1">
        <f>HYPERLINK("http://www.twitter.com/NathanBLawrence/status/997281288955617280", "997281288955617280")</f>
        <v/>
      </c>
      <c r="B732" s="2" t="n">
        <v>43238.04354166667</v>
      </c>
      <c r="C732" t="n">
        <v>0</v>
      </c>
      <c r="D732" t="n">
        <v>430</v>
      </c>
      <c r="E732" t="s">
        <v>732</v>
      </c>
      <c r="F732">
        <f>HYPERLINK("http://pbs.twimg.com/media/DdamaBUVwAERWbG.jpg", "http://pbs.twimg.com/media/DdamaBUVwAERWbG.jpg")</f>
        <v/>
      </c>
      <c r="G732" t="s"/>
      <c r="H732" t="s"/>
      <c r="I732" t="s"/>
      <c r="J732" t="n">
        <v>0</v>
      </c>
      <c r="K732" t="n">
        <v>0</v>
      </c>
      <c r="L732" t="n">
        <v>1</v>
      </c>
      <c r="M732" t="n">
        <v>0</v>
      </c>
    </row>
    <row r="733" spans="1:13">
      <c r="A733" s="1">
        <f>HYPERLINK("http://www.twitter.com/NathanBLawrence/status/997280518382276608", "997280518382276608")</f>
        <v/>
      </c>
      <c r="B733" s="2" t="n">
        <v>43238.04141203704</v>
      </c>
      <c r="C733" t="n">
        <v>0</v>
      </c>
      <c r="D733" t="n">
        <v>15</v>
      </c>
      <c r="E733" t="s">
        <v>733</v>
      </c>
      <c r="F733" t="s"/>
      <c r="G733" t="s"/>
      <c r="H733" t="s"/>
      <c r="I733" t="s"/>
      <c r="J733" t="n">
        <v>-0.3034</v>
      </c>
      <c r="K733" t="n">
        <v>0.122</v>
      </c>
      <c r="L733" t="n">
        <v>0.878</v>
      </c>
      <c r="M733" t="n">
        <v>0</v>
      </c>
    </row>
    <row r="734" spans="1:13">
      <c r="A734" s="1">
        <f>HYPERLINK("http://www.twitter.com/NathanBLawrence/status/997243621492641792", "997243621492641792")</f>
        <v/>
      </c>
      <c r="B734" s="2" t="n">
        <v>43237.93959490741</v>
      </c>
      <c r="C734" t="n">
        <v>0</v>
      </c>
      <c r="D734" t="n">
        <v>7</v>
      </c>
      <c r="E734" t="s">
        <v>734</v>
      </c>
      <c r="F734" t="s"/>
      <c r="G734" t="s"/>
      <c r="H734" t="s"/>
      <c r="I734" t="s"/>
      <c r="J734" t="n">
        <v>0.5688</v>
      </c>
      <c r="K734" t="n">
        <v>0</v>
      </c>
      <c r="L734" t="n">
        <v>0.794</v>
      </c>
      <c r="M734" t="n">
        <v>0.206</v>
      </c>
    </row>
    <row r="735" spans="1:13">
      <c r="A735" s="1">
        <f>HYPERLINK("http://www.twitter.com/NathanBLawrence/status/997243524956475392", "997243524956475392")</f>
        <v/>
      </c>
      <c r="B735" s="2" t="n">
        <v>43237.9393287037</v>
      </c>
      <c r="C735" t="n">
        <v>0</v>
      </c>
      <c r="D735" t="n">
        <v>6</v>
      </c>
      <c r="E735" t="s">
        <v>735</v>
      </c>
      <c r="F735" t="s"/>
      <c r="G735" t="s"/>
      <c r="H735" t="s"/>
      <c r="I735" t="s"/>
      <c r="J735" t="n">
        <v>-0.2732</v>
      </c>
      <c r="K735" t="n">
        <v>0.08699999999999999</v>
      </c>
      <c r="L735" t="n">
        <v>0.913</v>
      </c>
      <c r="M735" t="n">
        <v>0</v>
      </c>
    </row>
    <row r="736" spans="1:13">
      <c r="A736" s="1">
        <f>HYPERLINK("http://www.twitter.com/NathanBLawrence/status/997238819945623552", "997238819945623552")</f>
        <v/>
      </c>
      <c r="B736" s="2" t="n">
        <v>43237.92635416667</v>
      </c>
      <c r="C736" t="n">
        <v>0</v>
      </c>
      <c r="D736" t="n">
        <v>9</v>
      </c>
      <c r="E736" t="s">
        <v>736</v>
      </c>
      <c r="F736">
        <f>HYPERLINK("http://pbs.twimg.com/media/DdbkEvOU8AASizv.jpg", "http://pbs.twimg.com/media/DdbkEvOU8AASizv.jpg")</f>
        <v/>
      </c>
      <c r="G736" t="s"/>
      <c r="H736" t="s"/>
      <c r="I736" t="s"/>
      <c r="J736" t="n">
        <v>0</v>
      </c>
      <c r="K736" t="n">
        <v>0</v>
      </c>
      <c r="L736" t="n">
        <v>1</v>
      </c>
      <c r="M736" t="n">
        <v>0</v>
      </c>
    </row>
    <row r="737" spans="1:13">
      <c r="A737" s="1">
        <f>HYPERLINK("http://www.twitter.com/NathanBLawrence/status/997236438537293826", "997236438537293826")</f>
        <v/>
      </c>
      <c r="B737" s="2" t="n">
        <v>43237.91978009259</v>
      </c>
      <c r="C737" t="n">
        <v>2</v>
      </c>
      <c r="D737" t="n">
        <v>2</v>
      </c>
      <c r="E737" t="s">
        <v>737</v>
      </c>
      <c r="F737" t="s"/>
      <c r="G737" t="s"/>
      <c r="H737" t="s"/>
      <c r="I737" t="s"/>
      <c r="J737" t="n">
        <v>-0.6705</v>
      </c>
      <c r="K737" t="n">
        <v>0.216</v>
      </c>
      <c r="L737" t="n">
        <v>0.784</v>
      </c>
      <c r="M737" t="n">
        <v>0</v>
      </c>
    </row>
    <row r="738" spans="1:13">
      <c r="A738" s="1">
        <f>HYPERLINK("http://www.twitter.com/NathanBLawrence/status/997235469296467968", "997235469296467968")</f>
        <v/>
      </c>
      <c r="B738" s="2" t="n">
        <v>43237.91710648148</v>
      </c>
      <c r="C738" t="n">
        <v>2</v>
      </c>
      <c r="D738" t="n">
        <v>2</v>
      </c>
      <c r="E738" t="s">
        <v>738</v>
      </c>
      <c r="F738" t="s"/>
      <c r="G738" t="s"/>
      <c r="H738" t="s"/>
      <c r="I738" t="s"/>
      <c r="J738" t="n">
        <v>0</v>
      </c>
      <c r="K738" t="n">
        <v>0</v>
      </c>
      <c r="L738" t="n">
        <v>1</v>
      </c>
      <c r="M738" t="n">
        <v>0</v>
      </c>
    </row>
    <row r="739" spans="1:13">
      <c r="A739" s="1">
        <f>HYPERLINK("http://www.twitter.com/NathanBLawrence/status/997235402112208901", "997235402112208901")</f>
        <v/>
      </c>
      <c r="B739" s="2" t="n">
        <v>43237.9169212963</v>
      </c>
      <c r="C739" t="n">
        <v>0</v>
      </c>
      <c r="D739" t="n">
        <v>6</v>
      </c>
      <c r="E739" t="s">
        <v>739</v>
      </c>
      <c r="F739" t="s"/>
      <c r="G739" t="s"/>
      <c r="H739" t="s"/>
      <c r="I739" t="s"/>
      <c r="J739" t="n">
        <v>0.4215</v>
      </c>
      <c r="K739" t="n">
        <v>0</v>
      </c>
      <c r="L739" t="n">
        <v>0.865</v>
      </c>
      <c r="M739" t="n">
        <v>0.135</v>
      </c>
    </row>
    <row r="740" spans="1:13">
      <c r="A740" s="1">
        <f>HYPERLINK("http://www.twitter.com/NathanBLawrence/status/997235147152986112", "997235147152986112")</f>
        <v/>
      </c>
      <c r="B740" s="2" t="n">
        <v>43237.91621527778</v>
      </c>
      <c r="C740" t="n">
        <v>11</v>
      </c>
      <c r="D740" t="n">
        <v>9</v>
      </c>
      <c r="E740" t="s">
        <v>740</v>
      </c>
      <c r="F740">
        <f>HYPERLINK("http://pbs.twimg.com/media/DdbkEvOU8AASizv.jpg", "http://pbs.twimg.com/media/DdbkEvOU8AASizv.jpg")</f>
        <v/>
      </c>
      <c r="G740" t="s"/>
      <c r="H740" t="s"/>
      <c r="I740" t="s"/>
      <c r="J740" t="n">
        <v>0</v>
      </c>
      <c r="K740" t="n">
        <v>0</v>
      </c>
      <c r="L740" t="n">
        <v>1</v>
      </c>
      <c r="M740" t="n">
        <v>0</v>
      </c>
    </row>
    <row r="741" spans="1:13">
      <c r="A741" s="1">
        <f>HYPERLINK("http://www.twitter.com/NathanBLawrence/status/997233543683158016", "997233543683158016")</f>
        <v/>
      </c>
      <c r="B741" s="2" t="n">
        <v>43237.91179398148</v>
      </c>
      <c r="C741" t="n">
        <v>0</v>
      </c>
      <c r="D741" t="n">
        <v>11</v>
      </c>
      <c r="E741" t="s">
        <v>741</v>
      </c>
      <c r="F741">
        <f>HYPERLINK("http://pbs.twimg.com/media/DdbikuSU8AAx2P_.jpg", "http://pbs.twimg.com/media/DdbikuSU8AAx2P_.jpg")</f>
        <v/>
      </c>
      <c r="G741" t="s"/>
      <c r="H741" t="s"/>
      <c r="I741" t="s"/>
      <c r="J741" t="n">
        <v>0</v>
      </c>
      <c r="K741" t="n">
        <v>0</v>
      </c>
      <c r="L741" t="n">
        <v>1</v>
      </c>
      <c r="M741" t="n">
        <v>0</v>
      </c>
    </row>
    <row r="742" spans="1:13">
      <c r="A742" s="1">
        <f>HYPERLINK("http://www.twitter.com/NathanBLawrence/status/997233496082079745", "997233496082079745")</f>
        <v/>
      </c>
      <c r="B742" s="2" t="n">
        <v>43237.91165509259</v>
      </c>
      <c r="C742" t="n">
        <v>10</v>
      </c>
      <c r="D742" t="n">
        <v>11</v>
      </c>
      <c r="E742" t="s">
        <v>742</v>
      </c>
      <c r="F742">
        <f>HYPERLINK("http://pbs.twimg.com/media/DdbikuSU8AAx2P_.jpg", "http://pbs.twimg.com/media/DdbikuSU8AAx2P_.jpg")</f>
        <v/>
      </c>
      <c r="G742" t="s"/>
      <c r="H742" t="s"/>
      <c r="I742" t="s"/>
      <c r="J742" t="n">
        <v>-0.6007</v>
      </c>
      <c r="K742" t="n">
        <v>0.08</v>
      </c>
      <c r="L742" t="n">
        <v>0.92</v>
      </c>
      <c r="M742" t="n">
        <v>0</v>
      </c>
    </row>
    <row r="743" spans="1:13">
      <c r="A743" s="1">
        <f>HYPERLINK("http://www.twitter.com/NathanBLawrence/status/997232302412455938", "997232302412455938")</f>
        <v/>
      </c>
      <c r="B743" s="2" t="n">
        <v>43237.90836805556</v>
      </c>
      <c r="C743" t="n">
        <v>0</v>
      </c>
      <c r="D743" t="n">
        <v>9</v>
      </c>
      <c r="E743" t="s">
        <v>743</v>
      </c>
      <c r="F743">
        <f>HYPERLINK("http://pbs.twimg.com/media/DdbYGqaUQAAaabw.jpg", "http://pbs.twimg.com/media/DdbYGqaUQAAaabw.jpg")</f>
        <v/>
      </c>
      <c r="G743" t="s"/>
      <c r="H743" t="s"/>
      <c r="I743" t="s"/>
      <c r="J743" t="n">
        <v>0</v>
      </c>
      <c r="K743" t="n">
        <v>0</v>
      </c>
      <c r="L743" t="n">
        <v>1</v>
      </c>
      <c r="M743" t="n">
        <v>0</v>
      </c>
    </row>
    <row r="744" spans="1:13">
      <c r="A744" s="1">
        <f>HYPERLINK("http://www.twitter.com/NathanBLawrence/status/997232278102257665", "997232278102257665")</f>
        <v/>
      </c>
      <c r="B744" s="2" t="n">
        <v>43237.90829861111</v>
      </c>
      <c r="C744" t="n">
        <v>0</v>
      </c>
      <c r="D744" t="n">
        <v>6</v>
      </c>
      <c r="E744" t="s">
        <v>744</v>
      </c>
      <c r="F744">
        <f>HYPERLINK("http://pbs.twimg.com/media/DdbaNdnU0AEfJz_.jpg", "http://pbs.twimg.com/media/DdbaNdnU0AEfJz_.jpg")</f>
        <v/>
      </c>
      <c r="G744" t="s"/>
      <c r="H744" t="s"/>
      <c r="I744" t="s"/>
      <c r="J744" t="n">
        <v>-0.1531</v>
      </c>
      <c r="K744" t="n">
        <v>0.13</v>
      </c>
      <c r="L744" t="n">
        <v>0.763</v>
      </c>
      <c r="M744" t="n">
        <v>0.107</v>
      </c>
    </row>
    <row r="745" spans="1:13">
      <c r="A745" s="1">
        <f>HYPERLINK("http://www.twitter.com/NathanBLawrence/status/997232199865896960", "997232199865896960")</f>
        <v/>
      </c>
      <c r="B745" s="2" t="n">
        <v>43237.9080787037</v>
      </c>
      <c r="C745" t="n">
        <v>0</v>
      </c>
      <c r="D745" t="n">
        <v>11</v>
      </c>
      <c r="E745" t="s">
        <v>745</v>
      </c>
      <c r="F745">
        <f>HYPERLINK("http://pbs.twimg.com/media/DdbgJ_hV4AECj2F.jpg", "http://pbs.twimg.com/media/DdbgJ_hV4AECj2F.jpg")</f>
        <v/>
      </c>
      <c r="G745" t="s"/>
      <c r="H745" t="s"/>
      <c r="I745" t="s"/>
      <c r="J745" t="n">
        <v>0.4215</v>
      </c>
      <c r="K745" t="n">
        <v>0</v>
      </c>
      <c r="L745" t="n">
        <v>0.872</v>
      </c>
      <c r="M745" t="n">
        <v>0.128</v>
      </c>
    </row>
    <row r="746" spans="1:13">
      <c r="A746" s="1">
        <f>HYPERLINK("http://www.twitter.com/NathanBLawrence/status/997232183814344704", "997232183814344704")</f>
        <v/>
      </c>
      <c r="B746" s="2" t="n">
        <v>43237.90803240741</v>
      </c>
      <c r="C746" t="n">
        <v>7</v>
      </c>
      <c r="D746" t="n">
        <v>5</v>
      </c>
      <c r="E746" t="s">
        <v>746</v>
      </c>
      <c r="F746" t="s"/>
      <c r="G746" t="s"/>
      <c r="H746" t="s"/>
      <c r="I746" t="s"/>
      <c r="J746" t="n">
        <v>0</v>
      </c>
      <c r="K746" t="n">
        <v>0</v>
      </c>
      <c r="L746" t="n">
        <v>1</v>
      </c>
      <c r="M746" t="n">
        <v>0</v>
      </c>
    </row>
    <row r="747" spans="1:13">
      <c r="A747" s="1">
        <f>HYPERLINK("http://www.twitter.com/NathanBLawrence/status/997226184843948032", "997226184843948032")</f>
        <v/>
      </c>
      <c r="B747" s="2" t="n">
        <v>43237.89148148148</v>
      </c>
      <c r="C747" t="n">
        <v>0</v>
      </c>
      <c r="D747" t="n">
        <v>3</v>
      </c>
      <c r="E747" t="s">
        <v>747</v>
      </c>
      <c r="F747" t="s"/>
      <c r="G747" t="s"/>
      <c r="H747" t="s"/>
      <c r="I747" t="s"/>
      <c r="J747" t="n">
        <v>0</v>
      </c>
      <c r="K747" t="n">
        <v>0</v>
      </c>
      <c r="L747" t="n">
        <v>1</v>
      </c>
      <c r="M747" t="n">
        <v>0</v>
      </c>
    </row>
    <row r="748" spans="1:13">
      <c r="A748" s="1">
        <f>HYPERLINK("http://www.twitter.com/NathanBLawrence/status/997226122176811008", "997226122176811008")</f>
        <v/>
      </c>
      <c r="B748" s="2" t="n">
        <v>43237.89130787037</v>
      </c>
      <c r="C748" t="n">
        <v>0</v>
      </c>
      <c r="D748" t="n">
        <v>1</v>
      </c>
      <c r="E748" t="s">
        <v>748</v>
      </c>
      <c r="F748" t="s"/>
      <c r="G748" t="s"/>
      <c r="H748" t="s"/>
      <c r="I748" t="s"/>
      <c r="J748" t="n">
        <v>-0.6494</v>
      </c>
      <c r="K748" t="n">
        <v>0.229</v>
      </c>
      <c r="L748" t="n">
        <v>0.664</v>
      </c>
      <c r="M748" t="n">
        <v>0.107</v>
      </c>
    </row>
    <row r="749" spans="1:13">
      <c r="A749" s="1">
        <f>HYPERLINK("http://www.twitter.com/NathanBLawrence/status/997224513262751744", "997224513262751744")</f>
        <v/>
      </c>
      <c r="B749" s="2" t="n">
        <v>43237.886875</v>
      </c>
      <c r="C749" t="n">
        <v>0</v>
      </c>
      <c r="D749" t="n">
        <v>4</v>
      </c>
      <c r="E749" t="s">
        <v>749</v>
      </c>
      <c r="F749" t="s"/>
      <c r="G749" t="s"/>
      <c r="H749" t="s"/>
      <c r="I749" t="s"/>
      <c r="J749" t="n">
        <v>0.3736</v>
      </c>
      <c r="K749" t="n">
        <v>0.054</v>
      </c>
      <c r="L749" t="n">
        <v>0.786</v>
      </c>
      <c r="M749" t="n">
        <v>0.16</v>
      </c>
    </row>
    <row r="750" spans="1:13">
      <c r="A750" s="1">
        <f>HYPERLINK("http://www.twitter.com/NathanBLawrence/status/997221743336022016", "997221743336022016")</f>
        <v/>
      </c>
      <c r="B750" s="2" t="n">
        <v>43237.87922453704</v>
      </c>
      <c r="C750" t="n">
        <v>0</v>
      </c>
      <c r="D750" t="n">
        <v>0</v>
      </c>
      <c r="E750" t="s">
        <v>750</v>
      </c>
      <c r="F750" t="s"/>
      <c r="G750" t="s"/>
      <c r="H750" t="s"/>
      <c r="I750" t="s"/>
      <c r="J750" t="n">
        <v>0.4753</v>
      </c>
      <c r="K750" t="n">
        <v>0</v>
      </c>
      <c r="L750" t="n">
        <v>0.853</v>
      </c>
      <c r="M750" t="n">
        <v>0.147</v>
      </c>
    </row>
    <row r="751" spans="1:13">
      <c r="A751" s="1">
        <f>HYPERLINK("http://www.twitter.com/NathanBLawrence/status/997220511468879878", "997220511468879878")</f>
        <v/>
      </c>
      <c r="B751" s="2" t="n">
        <v>43237.87583333333</v>
      </c>
      <c r="C751" t="n">
        <v>3</v>
      </c>
      <c r="D751" t="n">
        <v>3</v>
      </c>
      <c r="E751" t="s">
        <v>751</v>
      </c>
      <c r="F751" t="s"/>
      <c r="G751" t="s"/>
      <c r="H751" t="s"/>
      <c r="I751" t="s"/>
      <c r="J751" t="n">
        <v>0</v>
      </c>
      <c r="K751" t="n">
        <v>0</v>
      </c>
      <c r="L751" t="n">
        <v>1</v>
      </c>
      <c r="M751" t="n">
        <v>0</v>
      </c>
    </row>
    <row r="752" spans="1:13">
      <c r="A752" s="1">
        <f>HYPERLINK("http://www.twitter.com/NathanBLawrence/status/997220316261777409", "997220316261777409")</f>
        <v/>
      </c>
      <c r="B752" s="2" t="n">
        <v>43237.87528935185</v>
      </c>
      <c r="C752" t="n">
        <v>1</v>
      </c>
      <c r="D752" t="n">
        <v>0</v>
      </c>
      <c r="E752" t="s">
        <v>752</v>
      </c>
      <c r="F752" t="s"/>
      <c r="G752" t="s"/>
      <c r="H752" t="s"/>
      <c r="I752" t="s"/>
      <c r="J752" t="n">
        <v>-0.5255</v>
      </c>
      <c r="K752" t="n">
        <v>0.16</v>
      </c>
      <c r="L752" t="n">
        <v>0.744</v>
      </c>
      <c r="M752" t="n">
        <v>0.097</v>
      </c>
    </row>
    <row r="753" spans="1:13">
      <c r="A753" s="1">
        <f>HYPERLINK("http://www.twitter.com/NathanBLawrence/status/997220029233090560", "997220029233090560")</f>
        <v/>
      </c>
      <c r="B753" s="2" t="n">
        <v>43237.87450231481</v>
      </c>
      <c r="C753" t="n">
        <v>1</v>
      </c>
      <c r="D753" t="n">
        <v>1</v>
      </c>
      <c r="E753" t="s">
        <v>753</v>
      </c>
      <c r="F753" t="s"/>
      <c r="G753" t="s"/>
      <c r="H753" t="s"/>
      <c r="I753" t="s"/>
      <c r="J753" t="n">
        <v>0</v>
      </c>
      <c r="K753" t="n">
        <v>0</v>
      </c>
      <c r="L753" t="n">
        <v>1</v>
      </c>
      <c r="M753" t="n">
        <v>0</v>
      </c>
    </row>
    <row r="754" spans="1:13">
      <c r="A754" s="1">
        <f>HYPERLINK("http://www.twitter.com/NathanBLawrence/status/997219862886920192", "997219862886920192")</f>
        <v/>
      </c>
      <c r="B754" s="2" t="n">
        <v>43237.87403935185</v>
      </c>
      <c r="C754" t="n">
        <v>0</v>
      </c>
      <c r="D754" t="n">
        <v>0</v>
      </c>
      <c r="E754" t="s">
        <v>754</v>
      </c>
      <c r="F754" t="s"/>
      <c r="G754" t="s"/>
      <c r="H754" t="s"/>
      <c r="I754" t="s"/>
      <c r="J754" t="n">
        <v>-0.7983</v>
      </c>
      <c r="K754" t="n">
        <v>0.173</v>
      </c>
      <c r="L754" t="n">
        <v>0.827</v>
      </c>
      <c r="M754" t="n">
        <v>0</v>
      </c>
    </row>
    <row r="755" spans="1:13">
      <c r="A755" s="1">
        <f>HYPERLINK("http://www.twitter.com/NathanBLawrence/status/997218877674270721", "997218877674270721")</f>
        <v/>
      </c>
      <c r="B755" s="2" t="n">
        <v>43237.87131944444</v>
      </c>
      <c r="C755" t="n">
        <v>0</v>
      </c>
      <c r="D755" t="n">
        <v>13</v>
      </c>
      <c r="E755" t="s">
        <v>755</v>
      </c>
      <c r="F755">
        <f>HYPERLINK("https://video.twimg.com/ext_tw_video/997202367824084993/pu/vid/240x240/W8QrrZx51cAl8PDE.mp4?tag=3", "https://video.twimg.com/ext_tw_video/997202367824084993/pu/vid/240x240/W8QrrZx51cAl8PDE.mp4?tag=3")</f>
        <v/>
      </c>
      <c r="G755" t="s"/>
      <c r="H755" t="s"/>
      <c r="I755" t="s"/>
      <c r="J755" t="n">
        <v>0.4767</v>
      </c>
      <c r="K755" t="n">
        <v>0</v>
      </c>
      <c r="L755" t="n">
        <v>0.881</v>
      </c>
      <c r="M755" t="n">
        <v>0.119</v>
      </c>
    </row>
    <row r="756" spans="1:13">
      <c r="A756" s="1">
        <f>HYPERLINK("http://www.twitter.com/NathanBLawrence/status/997218864923627520", "997218864923627520")</f>
        <v/>
      </c>
      <c r="B756" s="2" t="n">
        <v>43237.87128472222</v>
      </c>
      <c r="C756" t="n">
        <v>0</v>
      </c>
      <c r="D756" t="n">
        <v>8</v>
      </c>
      <c r="E756" t="s">
        <v>756</v>
      </c>
      <c r="F756">
        <f>HYPERLINK("https://video.twimg.com/ext_tw_video/997201208304521216/pu/vid/240x240/UkHll7I_gi6X5Sry.mp4?tag=3", "https://video.twimg.com/ext_tw_video/997201208304521216/pu/vid/240x240/UkHll7I_gi6X5Sry.mp4?tag=3")</f>
        <v/>
      </c>
      <c r="G756" t="s"/>
      <c r="H756" t="s"/>
      <c r="I756" t="s"/>
      <c r="J756" t="n">
        <v>0.749</v>
      </c>
      <c r="K756" t="n">
        <v>0</v>
      </c>
      <c r="L756" t="n">
        <v>0.738</v>
      </c>
      <c r="M756" t="n">
        <v>0.262</v>
      </c>
    </row>
    <row r="757" spans="1:13">
      <c r="A757" s="1">
        <f>HYPERLINK("http://www.twitter.com/NathanBLawrence/status/997218366321504262", "997218366321504262")</f>
        <v/>
      </c>
      <c r="B757" s="2" t="n">
        <v>43237.86990740741</v>
      </c>
      <c r="C757" t="n">
        <v>0</v>
      </c>
      <c r="D757" t="n">
        <v>8</v>
      </c>
      <c r="E757" t="s">
        <v>757</v>
      </c>
      <c r="F757" t="s"/>
      <c r="G757" t="s"/>
      <c r="H757" t="s"/>
      <c r="I757" t="s"/>
      <c r="J757" t="n">
        <v>0.2598</v>
      </c>
      <c r="K757" t="n">
        <v>0</v>
      </c>
      <c r="L757" t="n">
        <v>0.907</v>
      </c>
      <c r="M757" t="n">
        <v>0.093</v>
      </c>
    </row>
    <row r="758" spans="1:13">
      <c r="A758" s="1">
        <f>HYPERLINK("http://www.twitter.com/NathanBLawrence/status/997217722634252289", "997217722634252289")</f>
        <v/>
      </c>
      <c r="B758" s="2" t="n">
        <v>43237.86813657408</v>
      </c>
      <c r="C758" t="n">
        <v>0</v>
      </c>
      <c r="D758" t="n">
        <v>10</v>
      </c>
      <c r="E758" t="s">
        <v>758</v>
      </c>
      <c r="F758" t="s"/>
      <c r="G758" t="s"/>
      <c r="H758" t="s"/>
      <c r="I758" t="s"/>
      <c r="J758" t="n">
        <v>0.4767</v>
      </c>
      <c r="K758" t="n">
        <v>0.08599999999999999</v>
      </c>
      <c r="L758" t="n">
        <v>0.722</v>
      </c>
      <c r="M758" t="n">
        <v>0.192</v>
      </c>
    </row>
    <row r="759" spans="1:13">
      <c r="A759" s="1">
        <f>HYPERLINK("http://www.twitter.com/NathanBLawrence/status/997217676266213381", "997217676266213381")</f>
        <v/>
      </c>
      <c r="B759" s="2" t="n">
        <v>43237.86800925926</v>
      </c>
      <c r="C759" t="n">
        <v>0</v>
      </c>
      <c r="D759" t="n">
        <v>0</v>
      </c>
      <c r="E759" t="s">
        <v>759</v>
      </c>
      <c r="F759" t="s"/>
      <c r="G759" t="s"/>
      <c r="H759" t="s"/>
      <c r="I759" t="s"/>
      <c r="J759" t="n">
        <v>0.34</v>
      </c>
      <c r="K759" t="n">
        <v>0</v>
      </c>
      <c r="L759" t="n">
        <v>0.888</v>
      </c>
      <c r="M759" t="n">
        <v>0.112</v>
      </c>
    </row>
    <row r="760" spans="1:13">
      <c r="A760" s="1">
        <f>HYPERLINK("http://www.twitter.com/NathanBLawrence/status/997217462658756609", "997217462658756609")</f>
        <v/>
      </c>
      <c r="B760" s="2" t="n">
        <v>43237.86741898148</v>
      </c>
      <c r="C760" t="n">
        <v>0</v>
      </c>
      <c r="D760" t="n">
        <v>0</v>
      </c>
      <c r="E760" t="s">
        <v>760</v>
      </c>
      <c r="F760" t="s"/>
      <c r="G760" t="s"/>
      <c r="H760" t="s"/>
      <c r="I760" t="s"/>
      <c r="J760" t="n">
        <v>0.2023</v>
      </c>
      <c r="K760" t="n">
        <v>0.042</v>
      </c>
      <c r="L760" t="n">
        <v>0.881</v>
      </c>
      <c r="M760" t="n">
        <v>0.077</v>
      </c>
    </row>
    <row r="761" spans="1:13">
      <c r="A761" s="1">
        <f>HYPERLINK("http://www.twitter.com/NathanBLawrence/status/997217103404027904", "997217103404027904")</f>
        <v/>
      </c>
      <c r="B761" s="2" t="n">
        <v>43237.86642361111</v>
      </c>
      <c r="C761" t="n">
        <v>5</v>
      </c>
      <c r="D761" t="n">
        <v>4</v>
      </c>
      <c r="E761" t="s">
        <v>761</v>
      </c>
      <c r="F761" t="s"/>
      <c r="G761" t="s"/>
      <c r="H761" t="s"/>
      <c r="I761" t="s"/>
      <c r="J761" t="n">
        <v>0</v>
      </c>
      <c r="K761" t="n">
        <v>0.073</v>
      </c>
      <c r="L761" t="n">
        <v>0.854</v>
      </c>
      <c r="M761" t="n">
        <v>0.073</v>
      </c>
    </row>
    <row r="762" spans="1:13">
      <c r="A762" s="1">
        <f>HYPERLINK("http://www.twitter.com/NathanBLawrence/status/997216457619640320", "997216457619640320")</f>
        <v/>
      </c>
      <c r="B762" s="2" t="n">
        <v>43237.86464120371</v>
      </c>
      <c r="C762" t="n">
        <v>1</v>
      </c>
      <c r="D762" t="n">
        <v>1</v>
      </c>
      <c r="E762" t="s">
        <v>762</v>
      </c>
      <c r="F762" t="s"/>
      <c r="G762" t="s"/>
      <c r="H762" t="s"/>
      <c r="I762" t="s"/>
      <c r="J762" t="n">
        <v>0</v>
      </c>
      <c r="K762" t="n">
        <v>0</v>
      </c>
      <c r="L762" t="n">
        <v>1</v>
      </c>
      <c r="M762" t="n">
        <v>0</v>
      </c>
    </row>
    <row r="763" spans="1:13">
      <c r="A763" s="1">
        <f>HYPERLINK("http://www.twitter.com/NathanBLawrence/status/997214085510041601", "997214085510041601")</f>
        <v/>
      </c>
      <c r="B763" s="2" t="n">
        <v>43237.85809027778</v>
      </c>
      <c r="C763" t="n">
        <v>0</v>
      </c>
      <c r="D763" t="n">
        <v>4</v>
      </c>
      <c r="E763" t="s">
        <v>763</v>
      </c>
      <c r="F763" t="s"/>
      <c r="G763" t="s"/>
      <c r="H763" t="s"/>
      <c r="I763" t="s"/>
      <c r="J763" t="n">
        <v>0.7351</v>
      </c>
      <c r="K763" t="n">
        <v>0</v>
      </c>
      <c r="L763" t="n">
        <v>0.78</v>
      </c>
      <c r="M763" t="n">
        <v>0.22</v>
      </c>
    </row>
    <row r="764" spans="1:13">
      <c r="A764" s="1">
        <f>HYPERLINK("http://www.twitter.com/NathanBLawrence/status/997212907334193152", "997212907334193152")</f>
        <v/>
      </c>
      <c r="B764" s="2" t="n">
        <v>43237.85484953703</v>
      </c>
      <c r="C764" t="n">
        <v>0</v>
      </c>
      <c r="D764" t="n">
        <v>7</v>
      </c>
      <c r="E764" t="s">
        <v>764</v>
      </c>
      <c r="F764" t="s"/>
      <c r="G764" t="s"/>
      <c r="H764" t="s"/>
      <c r="I764" t="s"/>
      <c r="J764" t="n">
        <v>-0.1832</v>
      </c>
      <c r="K764" t="n">
        <v>0.117</v>
      </c>
      <c r="L764" t="n">
        <v>0.793</v>
      </c>
      <c r="M764" t="n">
        <v>0.09</v>
      </c>
    </row>
    <row r="765" spans="1:13">
      <c r="A765" s="1">
        <f>HYPERLINK("http://www.twitter.com/NathanBLawrence/status/997212855664594945", "997212855664594945")</f>
        <v/>
      </c>
      <c r="B765" s="2" t="n">
        <v>43237.85469907407</v>
      </c>
      <c r="C765" t="n">
        <v>0</v>
      </c>
      <c r="D765" t="n">
        <v>5</v>
      </c>
      <c r="E765" t="s">
        <v>765</v>
      </c>
      <c r="F765" t="s"/>
      <c r="G765" t="s"/>
      <c r="H765" t="s"/>
      <c r="I765" t="s"/>
      <c r="J765" t="n">
        <v>0.4939</v>
      </c>
      <c r="K765" t="n">
        <v>0</v>
      </c>
      <c r="L765" t="n">
        <v>0.785</v>
      </c>
      <c r="M765" t="n">
        <v>0.215</v>
      </c>
    </row>
    <row r="766" spans="1:13">
      <c r="A766" s="1">
        <f>HYPERLINK("http://www.twitter.com/NathanBLawrence/status/997212803202207744", "997212803202207744")</f>
        <v/>
      </c>
      <c r="B766" s="2" t="n">
        <v>43237.85456018519</v>
      </c>
      <c r="C766" t="n">
        <v>0</v>
      </c>
      <c r="D766" t="n">
        <v>308</v>
      </c>
      <c r="E766" t="s">
        <v>766</v>
      </c>
      <c r="F766">
        <f>HYPERLINK("https://video.twimg.com/ext_tw_video/997201208304521216/pu/vid/240x240/UkHll7I_gi6X5Sry.mp4?tag=3", "https://video.twimg.com/ext_tw_video/997201208304521216/pu/vid/240x240/UkHll7I_gi6X5Sry.mp4?tag=3")</f>
        <v/>
      </c>
      <c r="G766" t="s"/>
      <c r="H766" t="s"/>
      <c r="I766" t="s"/>
      <c r="J766" t="n">
        <v>0.5719</v>
      </c>
      <c r="K766" t="n">
        <v>0</v>
      </c>
      <c r="L766" t="n">
        <v>0.793</v>
      </c>
      <c r="M766" t="n">
        <v>0.207</v>
      </c>
    </row>
    <row r="767" spans="1:13">
      <c r="A767" s="1">
        <f>HYPERLINK("http://www.twitter.com/NathanBLawrence/status/997212513484800001", "997212513484800001")</f>
        <v/>
      </c>
      <c r="B767" s="2" t="n">
        <v>43237.85376157407</v>
      </c>
      <c r="C767" t="n">
        <v>5</v>
      </c>
      <c r="D767" t="n">
        <v>5</v>
      </c>
      <c r="E767" t="s">
        <v>767</v>
      </c>
      <c r="F767" t="s"/>
      <c r="G767" t="s"/>
      <c r="H767" t="s"/>
      <c r="I767" t="s"/>
      <c r="J767" t="n">
        <v>-0.5733</v>
      </c>
      <c r="K767" t="n">
        <v>0.154</v>
      </c>
      <c r="L767" t="n">
        <v>0.724</v>
      </c>
      <c r="M767" t="n">
        <v>0.122</v>
      </c>
    </row>
    <row r="768" spans="1:13">
      <c r="A768" s="1">
        <f>HYPERLINK("http://www.twitter.com/NathanBLawrence/status/997209072502964224", "997209072502964224")</f>
        <v/>
      </c>
      <c r="B768" s="2" t="n">
        <v>43237.84425925926</v>
      </c>
      <c r="C768" t="n">
        <v>7</v>
      </c>
      <c r="D768" t="n">
        <v>7</v>
      </c>
      <c r="E768" t="s">
        <v>768</v>
      </c>
      <c r="F768" t="s"/>
      <c r="G768" t="s"/>
      <c r="H768" t="s"/>
      <c r="I768" t="s"/>
      <c r="J768" t="n">
        <v>-0.5141</v>
      </c>
      <c r="K768" t="n">
        <v>0.162</v>
      </c>
      <c r="L768" t="n">
        <v>0.77</v>
      </c>
      <c r="M768" t="n">
        <v>0.068</v>
      </c>
    </row>
    <row r="769" spans="1:13">
      <c r="A769" s="1">
        <f>HYPERLINK("http://www.twitter.com/NathanBLawrence/status/997208743610810368", "997208743610810368")</f>
        <v/>
      </c>
      <c r="B769" s="2" t="n">
        <v>43237.84335648148</v>
      </c>
      <c r="C769" t="n">
        <v>0</v>
      </c>
      <c r="D769" t="n">
        <v>15</v>
      </c>
      <c r="E769" t="s">
        <v>769</v>
      </c>
      <c r="F769" t="s"/>
      <c r="G769" t="s"/>
      <c r="H769" t="s"/>
      <c r="I769" t="s"/>
      <c r="J769" t="n">
        <v>0.1477</v>
      </c>
      <c r="K769" t="n">
        <v>0.108</v>
      </c>
      <c r="L769" t="n">
        <v>0.73</v>
      </c>
      <c r="M769" t="n">
        <v>0.163</v>
      </c>
    </row>
    <row r="770" spans="1:13">
      <c r="A770" s="1">
        <f>HYPERLINK("http://www.twitter.com/NathanBLawrence/status/997208687965073410", "997208687965073410")</f>
        <v/>
      </c>
      <c r="B770" s="2" t="n">
        <v>43237.84320601852</v>
      </c>
      <c r="C770" t="n">
        <v>0</v>
      </c>
      <c r="D770" t="n">
        <v>0</v>
      </c>
      <c r="E770" t="s">
        <v>770</v>
      </c>
      <c r="F770" t="s"/>
      <c r="G770" t="s"/>
      <c r="H770" t="s"/>
      <c r="I770" t="s"/>
      <c r="J770" t="n">
        <v>0.0258</v>
      </c>
      <c r="K770" t="n">
        <v>0</v>
      </c>
      <c r="L770" t="n">
        <v>0.916</v>
      </c>
      <c r="M770" t="n">
        <v>0.08400000000000001</v>
      </c>
    </row>
    <row r="771" spans="1:13">
      <c r="A771" s="1">
        <f>HYPERLINK("http://www.twitter.com/NathanBLawrence/status/997208621497843723", "997208621497843723")</f>
        <v/>
      </c>
      <c r="B771" s="2" t="n">
        <v>43237.84302083333</v>
      </c>
      <c r="C771" t="n">
        <v>3</v>
      </c>
      <c r="D771" t="n">
        <v>2</v>
      </c>
      <c r="E771" t="s">
        <v>771</v>
      </c>
      <c r="F771" t="s"/>
      <c r="G771" t="s"/>
      <c r="H771" t="s"/>
      <c r="I771" t="s"/>
      <c r="J771" t="n">
        <v>-0.3612</v>
      </c>
      <c r="K771" t="n">
        <v>0.143</v>
      </c>
      <c r="L771" t="n">
        <v>0.857</v>
      </c>
      <c r="M771" t="n">
        <v>0</v>
      </c>
    </row>
    <row r="772" spans="1:13">
      <c r="A772" s="1">
        <f>HYPERLINK("http://www.twitter.com/NathanBLawrence/status/997208381889875968", "997208381889875968")</f>
        <v/>
      </c>
      <c r="B772" s="2" t="n">
        <v>43237.84236111111</v>
      </c>
      <c r="C772" t="n">
        <v>3</v>
      </c>
      <c r="D772" t="n">
        <v>1</v>
      </c>
      <c r="E772" t="s">
        <v>772</v>
      </c>
      <c r="F772" t="s"/>
      <c r="G772" t="s"/>
      <c r="H772" t="s"/>
      <c r="I772" t="s"/>
      <c r="J772" t="n">
        <v>0.128</v>
      </c>
      <c r="K772" t="n">
        <v>0.13</v>
      </c>
      <c r="L772" t="n">
        <v>0.727</v>
      </c>
      <c r="M772" t="n">
        <v>0.143</v>
      </c>
    </row>
    <row r="773" spans="1:13">
      <c r="A773" s="1">
        <f>HYPERLINK("http://www.twitter.com/NathanBLawrence/status/997207992213889024", "997207992213889024")</f>
        <v/>
      </c>
      <c r="B773" s="2" t="n">
        <v>43237.84128472222</v>
      </c>
      <c r="C773" t="n">
        <v>0</v>
      </c>
      <c r="D773" t="n">
        <v>1</v>
      </c>
      <c r="E773" t="s">
        <v>773</v>
      </c>
      <c r="F773" t="s"/>
      <c r="G773" t="s"/>
      <c r="H773" t="s"/>
      <c r="I773" t="s"/>
      <c r="J773" t="n">
        <v>0.6588000000000001</v>
      </c>
      <c r="K773" t="n">
        <v>0</v>
      </c>
      <c r="L773" t="n">
        <v>0.84</v>
      </c>
      <c r="M773" t="n">
        <v>0.16</v>
      </c>
    </row>
    <row r="774" spans="1:13">
      <c r="A774" s="1">
        <f>HYPERLINK("http://www.twitter.com/NathanBLawrence/status/997207956260315136", "997207956260315136")</f>
        <v/>
      </c>
      <c r="B774" s="2" t="n">
        <v>43237.84118055556</v>
      </c>
      <c r="C774" t="n">
        <v>1</v>
      </c>
      <c r="D774" t="n">
        <v>2</v>
      </c>
      <c r="E774" t="s">
        <v>774</v>
      </c>
      <c r="F774" t="s"/>
      <c r="G774" t="s"/>
      <c r="H774" t="s"/>
      <c r="I774" t="s"/>
      <c r="J774" t="n">
        <v>0</v>
      </c>
      <c r="K774" t="n">
        <v>0</v>
      </c>
      <c r="L774" t="n">
        <v>1</v>
      </c>
      <c r="M774" t="n">
        <v>0</v>
      </c>
    </row>
    <row r="775" spans="1:13">
      <c r="A775" s="1">
        <f>HYPERLINK("http://www.twitter.com/NathanBLawrence/status/997207895224745984", "997207895224745984")</f>
        <v/>
      </c>
      <c r="B775" s="2" t="n">
        <v>43237.84101851852</v>
      </c>
      <c r="C775" t="n">
        <v>0</v>
      </c>
      <c r="D775" t="n">
        <v>78</v>
      </c>
      <c r="E775" t="s">
        <v>775</v>
      </c>
      <c r="F775" t="s"/>
      <c r="G775" t="s"/>
      <c r="H775" t="s"/>
      <c r="I775" t="s"/>
      <c r="J775" t="n">
        <v>0</v>
      </c>
      <c r="K775" t="n">
        <v>0</v>
      </c>
      <c r="L775" t="n">
        <v>1</v>
      </c>
      <c r="M775" t="n">
        <v>0</v>
      </c>
    </row>
    <row r="776" spans="1:13">
      <c r="A776" s="1">
        <f>HYPERLINK("http://www.twitter.com/NathanBLawrence/status/997207242578583558", "997207242578583558")</f>
        <v/>
      </c>
      <c r="B776" s="2" t="n">
        <v>43237.83921296296</v>
      </c>
      <c r="C776" t="n">
        <v>2</v>
      </c>
      <c r="D776" t="n">
        <v>1</v>
      </c>
      <c r="E776" t="s">
        <v>776</v>
      </c>
      <c r="F776" t="s"/>
      <c r="G776" t="s"/>
      <c r="H776" t="s"/>
      <c r="I776" t="s"/>
      <c r="J776" t="n">
        <v>0</v>
      </c>
      <c r="K776" t="n">
        <v>0</v>
      </c>
      <c r="L776" t="n">
        <v>1</v>
      </c>
      <c r="M776" t="n">
        <v>0</v>
      </c>
    </row>
    <row r="777" spans="1:13">
      <c r="A777" s="1">
        <f>HYPERLINK("http://www.twitter.com/NathanBLawrence/status/997190729431691270", "997190729431691270")</f>
        <v/>
      </c>
      <c r="B777" s="2" t="n">
        <v>43237.79364583334</v>
      </c>
      <c r="C777" t="n">
        <v>0</v>
      </c>
      <c r="D777" t="n">
        <v>4</v>
      </c>
      <c r="E777" t="s">
        <v>777</v>
      </c>
      <c r="F777" t="s"/>
      <c r="G777" t="s"/>
      <c r="H777" t="s"/>
      <c r="I777" t="s"/>
      <c r="J777" t="n">
        <v>0</v>
      </c>
      <c r="K777" t="n">
        <v>0</v>
      </c>
      <c r="L777" t="n">
        <v>1</v>
      </c>
      <c r="M777" t="n">
        <v>0</v>
      </c>
    </row>
    <row r="778" spans="1:13">
      <c r="A778" s="1">
        <f>HYPERLINK("http://www.twitter.com/NathanBLawrence/status/997149937409429504", "997149937409429504")</f>
        <v/>
      </c>
      <c r="B778" s="2" t="n">
        <v>43237.68107638889</v>
      </c>
      <c r="C778" t="n">
        <v>0</v>
      </c>
      <c r="D778" t="n">
        <v>14</v>
      </c>
      <c r="E778" t="s">
        <v>778</v>
      </c>
      <c r="F778">
        <f>HYPERLINK("http://pbs.twimg.com/media/DdaUHBUVAAA9WDr.jpg", "http://pbs.twimg.com/media/DdaUHBUVAAA9WDr.jpg")</f>
        <v/>
      </c>
      <c r="G778" t="s"/>
      <c r="H778" t="s"/>
      <c r="I778" t="s"/>
      <c r="J778" t="n">
        <v>0.4019</v>
      </c>
      <c r="K778" t="n">
        <v>0</v>
      </c>
      <c r="L778" t="n">
        <v>0.881</v>
      </c>
      <c r="M778" t="n">
        <v>0.119</v>
      </c>
    </row>
    <row r="779" spans="1:13">
      <c r="A779" s="1">
        <f>HYPERLINK("http://www.twitter.com/NathanBLawrence/status/997149929289207810", "997149929289207810")</f>
        <v/>
      </c>
      <c r="B779" s="2" t="n">
        <v>43237.68105324074</v>
      </c>
      <c r="C779" t="n">
        <v>8</v>
      </c>
      <c r="D779" t="n">
        <v>4</v>
      </c>
      <c r="E779" t="s">
        <v>779</v>
      </c>
      <c r="F779" t="s"/>
      <c r="G779" t="s"/>
      <c r="H779" t="s"/>
      <c r="I779" t="s"/>
      <c r="J779" t="n">
        <v>0.8316</v>
      </c>
      <c r="K779" t="n">
        <v>0</v>
      </c>
      <c r="L779" t="n">
        <v>0.83</v>
      </c>
      <c r="M779" t="n">
        <v>0.17</v>
      </c>
    </row>
    <row r="780" spans="1:13">
      <c r="A780" s="1">
        <f>HYPERLINK("http://www.twitter.com/NathanBLawrence/status/997142460232069120", "997142460232069120")</f>
        <v/>
      </c>
      <c r="B780" s="2" t="n">
        <v>43237.66045138889</v>
      </c>
      <c r="C780" t="n">
        <v>3</v>
      </c>
      <c r="D780" t="n">
        <v>2</v>
      </c>
      <c r="E780" t="s">
        <v>780</v>
      </c>
      <c r="F780" t="s"/>
      <c r="G780" t="s"/>
      <c r="H780" t="s"/>
      <c r="I780" t="s"/>
      <c r="J780" t="n">
        <v>0</v>
      </c>
      <c r="K780" t="n">
        <v>0</v>
      </c>
      <c r="L780" t="n">
        <v>1</v>
      </c>
      <c r="M780" t="n">
        <v>0</v>
      </c>
    </row>
    <row r="781" spans="1:13">
      <c r="A781" s="1">
        <f>HYPERLINK("http://www.twitter.com/NathanBLawrence/status/997142169944317952", "997142169944317952")</f>
        <v/>
      </c>
      <c r="B781" s="2" t="n">
        <v>43237.6596412037</v>
      </c>
      <c r="C781" t="n">
        <v>3</v>
      </c>
      <c r="D781" t="n">
        <v>2</v>
      </c>
      <c r="E781" t="s">
        <v>311</v>
      </c>
      <c r="F781" t="s"/>
      <c r="G781" t="s"/>
      <c r="H781" t="s"/>
      <c r="I781" t="s"/>
      <c r="J781" t="n">
        <v>0</v>
      </c>
      <c r="K781" t="n">
        <v>0</v>
      </c>
      <c r="L781" t="n">
        <v>1</v>
      </c>
      <c r="M781" t="n">
        <v>0</v>
      </c>
    </row>
    <row r="782" spans="1:13">
      <c r="A782" s="1">
        <f>HYPERLINK("http://www.twitter.com/NathanBLawrence/status/997141992504209408", "997141992504209408")</f>
        <v/>
      </c>
      <c r="B782" s="2" t="n">
        <v>43237.6591550926</v>
      </c>
      <c r="C782" t="n">
        <v>0</v>
      </c>
      <c r="D782" t="n">
        <v>14</v>
      </c>
      <c r="E782" t="s">
        <v>781</v>
      </c>
      <c r="F782">
        <f>HYPERLINK("http://pbs.twimg.com/media/DdaK-l4X4AAOE7u.jpg", "http://pbs.twimg.com/media/DdaK-l4X4AAOE7u.jpg")</f>
        <v/>
      </c>
      <c r="G782" t="s"/>
      <c r="H782" t="s"/>
      <c r="I782" t="s"/>
      <c r="J782" t="n">
        <v>0</v>
      </c>
      <c r="K782" t="n">
        <v>0</v>
      </c>
      <c r="L782" t="n">
        <v>1</v>
      </c>
      <c r="M782" t="n">
        <v>0</v>
      </c>
    </row>
    <row r="783" spans="1:13">
      <c r="A783" s="1">
        <f>HYPERLINK("http://www.twitter.com/NathanBLawrence/status/997141963316125696", "997141963316125696")</f>
        <v/>
      </c>
      <c r="B783" s="2" t="n">
        <v>43237.65907407407</v>
      </c>
      <c r="C783" t="n">
        <v>0</v>
      </c>
      <c r="D783" t="n">
        <v>14</v>
      </c>
      <c r="E783" t="s">
        <v>782</v>
      </c>
      <c r="F783">
        <f>HYPERLINK("http://pbs.twimg.com/media/DdaLr1qWAAEVRSp.jpg", "http://pbs.twimg.com/media/DdaLr1qWAAEVRSp.jpg")</f>
        <v/>
      </c>
      <c r="G783" t="s"/>
      <c r="H783" t="s"/>
      <c r="I783" t="s"/>
      <c r="J783" t="n">
        <v>-0.743</v>
      </c>
      <c r="K783" t="n">
        <v>0.215</v>
      </c>
      <c r="L783" t="n">
        <v>0.785</v>
      </c>
      <c r="M783" t="n">
        <v>0</v>
      </c>
    </row>
    <row r="784" spans="1:13">
      <c r="A784" s="1">
        <f>HYPERLINK("http://www.twitter.com/NathanBLawrence/status/997141697304940544", "997141697304940544")</f>
        <v/>
      </c>
      <c r="B784" s="2" t="n">
        <v>43237.65834490741</v>
      </c>
      <c r="C784" t="n">
        <v>0</v>
      </c>
      <c r="D784" t="n">
        <v>5033</v>
      </c>
      <c r="E784" t="s">
        <v>783</v>
      </c>
      <c r="F784" t="s"/>
      <c r="G784" t="s"/>
      <c r="H784" t="s"/>
      <c r="I784" t="s"/>
      <c r="J784" t="n">
        <v>-0.8122</v>
      </c>
      <c r="K784" t="n">
        <v>0.296</v>
      </c>
      <c r="L784" t="n">
        <v>0.704</v>
      </c>
      <c r="M784" t="n">
        <v>0</v>
      </c>
    </row>
    <row r="785" spans="1:13">
      <c r="A785" s="1">
        <f>HYPERLINK("http://www.twitter.com/NathanBLawrence/status/997137960674971649", "997137960674971649")</f>
        <v/>
      </c>
      <c r="B785" s="2" t="n">
        <v>43237.64803240741</v>
      </c>
      <c r="C785" t="n">
        <v>17</v>
      </c>
      <c r="D785" t="n">
        <v>14</v>
      </c>
      <c r="E785" t="s">
        <v>784</v>
      </c>
      <c r="F785">
        <f>HYPERLINK("http://pbs.twimg.com/media/DdaLr1qWAAEVRSp.jpg", "http://pbs.twimg.com/media/DdaLr1qWAAEVRSp.jpg")</f>
        <v/>
      </c>
      <c r="G785" t="s"/>
      <c r="H785" t="s"/>
      <c r="I785" t="s"/>
      <c r="J785" t="n">
        <v>-0.8122</v>
      </c>
      <c r="K785" t="n">
        <v>0.167</v>
      </c>
      <c r="L785" t="n">
        <v>0.793</v>
      </c>
      <c r="M785" t="n">
        <v>0.04</v>
      </c>
    </row>
    <row r="786" spans="1:13">
      <c r="A786" s="1">
        <f>HYPERLINK("http://www.twitter.com/NathanBLawrence/status/997137183281680385", "997137183281680385")</f>
        <v/>
      </c>
      <c r="B786" s="2" t="n">
        <v>43237.64589120371</v>
      </c>
      <c r="C786" t="n">
        <v>17</v>
      </c>
      <c r="D786" t="n">
        <v>14</v>
      </c>
      <c r="E786" t="s">
        <v>785</v>
      </c>
      <c r="F786">
        <f>HYPERLINK("http://pbs.twimg.com/media/DdaK-l4X4AAOE7u.jpg", "http://pbs.twimg.com/media/DdaK-l4X4AAOE7u.jpg")</f>
        <v/>
      </c>
      <c r="G786" t="s"/>
      <c r="H786" t="s"/>
      <c r="I786" t="s"/>
      <c r="J786" t="n">
        <v>0</v>
      </c>
      <c r="K786" t="n">
        <v>0</v>
      </c>
      <c r="L786" t="n">
        <v>1</v>
      </c>
      <c r="M786" t="n">
        <v>0</v>
      </c>
    </row>
    <row r="787" spans="1:13">
      <c r="A787" s="1">
        <f>HYPERLINK("http://www.twitter.com/NathanBLawrence/status/997136006544420865", "997136006544420865")</f>
        <v/>
      </c>
      <c r="B787" s="2" t="n">
        <v>43237.64263888889</v>
      </c>
      <c r="C787" t="n">
        <v>0</v>
      </c>
      <c r="D787" t="n">
        <v>13</v>
      </c>
      <c r="E787" t="s">
        <v>786</v>
      </c>
      <c r="F787">
        <f>HYPERLINK("http://pbs.twimg.com/media/DdaJzzkWkAE93J5.jpg", "http://pbs.twimg.com/media/DdaJzzkWkAE93J5.jpg")</f>
        <v/>
      </c>
      <c r="G787" t="s"/>
      <c r="H787" t="s"/>
      <c r="I787" t="s"/>
      <c r="J787" t="n">
        <v>0.504</v>
      </c>
      <c r="K787" t="n">
        <v>0</v>
      </c>
      <c r="L787" t="n">
        <v>0.876</v>
      </c>
      <c r="M787" t="n">
        <v>0.124</v>
      </c>
    </row>
    <row r="788" spans="1:13">
      <c r="A788" s="1">
        <f>HYPERLINK("http://www.twitter.com/NathanBLawrence/status/997135897547149312", "997135897547149312")</f>
        <v/>
      </c>
      <c r="B788" s="2" t="n">
        <v>43237.64233796296</v>
      </c>
      <c r="C788" t="n">
        <v>17</v>
      </c>
      <c r="D788" t="n">
        <v>13</v>
      </c>
      <c r="E788" t="s">
        <v>787</v>
      </c>
      <c r="F788">
        <f>HYPERLINK("http://pbs.twimg.com/media/DdaJzzkWkAE93J5.jpg", "http://pbs.twimg.com/media/DdaJzzkWkAE93J5.jpg")</f>
        <v/>
      </c>
      <c r="G788" t="s"/>
      <c r="H788" t="s"/>
      <c r="I788" t="s"/>
      <c r="J788" t="n">
        <v>0.7806999999999999</v>
      </c>
      <c r="K788" t="n">
        <v>0</v>
      </c>
      <c r="L788" t="n">
        <v>0.847</v>
      </c>
      <c r="M788" t="n">
        <v>0.153</v>
      </c>
    </row>
    <row r="789" spans="1:13">
      <c r="A789" s="1">
        <f>HYPERLINK("http://www.twitter.com/NathanBLawrence/status/997128899506171904", "997128899506171904")</f>
        <v/>
      </c>
      <c r="B789" s="2" t="n">
        <v>43237.62303240741</v>
      </c>
      <c r="C789" t="n">
        <v>0</v>
      </c>
      <c r="D789" t="n">
        <v>6</v>
      </c>
      <c r="E789" t="s">
        <v>788</v>
      </c>
      <c r="F789" t="s"/>
      <c r="G789" t="s"/>
      <c r="H789" t="s"/>
      <c r="I789" t="s"/>
      <c r="J789" t="n">
        <v>-0.3612</v>
      </c>
      <c r="K789" t="n">
        <v>0.106</v>
      </c>
      <c r="L789" t="n">
        <v>0.894</v>
      </c>
      <c r="M789" t="n">
        <v>0</v>
      </c>
    </row>
    <row r="790" spans="1:13">
      <c r="A790" s="1">
        <f>HYPERLINK("http://www.twitter.com/NathanBLawrence/status/997046407327551491", "997046407327551491")</f>
        <v/>
      </c>
      <c r="B790" s="2" t="n">
        <v>43237.39539351852</v>
      </c>
      <c r="C790" t="n">
        <v>0</v>
      </c>
      <c r="D790" t="n">
        <v>7</v>
      </c>
      <c r="E790" t="s">
        <v>789</v>
      </c>
      <c r="F790">
        <f>HYPERLINK("http://pbs.twimg.com/media/DdRYEQ-W0AAh-o0.jpg", "http://pbs.twimg.com/media/DdRYEQ-W0AAh-o0.jpg")</f>
        <v/>
      </c>
      <c r="G790" t="s"/>
      <c r="H790" t="s"/>
      <c r="I790" t="s"/>
      <c r="J790" t="n">
        <v>0.4939</v>
      </c>
      <c r="K790" t="n">
        <v>0</v>
      </c>
      <c r="L790" t="n">
        <v>0.8139999999999999</v>
      </c>
      <c r="M790" t="n">
        <v>0.186</v>
      </c>
    </row>
    <row r="791" spans="1:13">
      <c r="A791" s="1">
        <f>HYPERLINK("http://www.twitter.com/NathanBLawrence/status/997046390546223104", "997046390546223104")</f>
        <v/>
      </c>
      <c r="B791" s="2" t="n">
        <v>43237.39534722222</v>
      </c>
      <c r="C791" t="n">
        <v>0</v>
      </c>
      <c r="D791" t="n">
        <v>3</v>
      </c>
      <c r="E791" t="s">
        <v>790</v>
      </c>
      <c r="F791" t="s"/>
      <c r="G791" t="s"/>
      <c r="H791" t="s"/>
      <c r="I791" t="s"/>
      <c r="J791" t="n">
        <v>0</v>
      </c>
      <c r="K791" t="n">
        <v>0</v>
      </c>
      <c r="L791" t="n">
        <v>1</v>
      </c>
      <c r="M791" t="n">
        <v>0</v>
      </c>
    </row>
    <row r="792" spans="1:13">
      <c r="A792" s="1">
        <f>HYPERLINK("http://www.twitter.com/NathanBLawrence/status/997046315384295425", "997046315384295425")</f>
        <v/>
      </c>
      <c r="B792" s="2" t="n">
        <v>43237.39513888889</v>
      </c>
      <c r="C792" t="n">
        <v>0</v>
      </c>
      <c r="D792" t="n">
        <v>2</v>
      </c>
      <c r="E792" t="s">
        <v>791</v>
      </c>
      <c r="F792" t="s"/>
      <c r="G792" t="s"/>
      <c r="H792" t="s"/>
      <c r="I792" t="s"/>
      <c r="J792" t="n">
        <v>0</v>
      </c>
      <c r="K792" t="n">
        <v>0</v>
      </c>
      <c r="L792" t="n">
        <v>1</v>
      </c>
      <c r="M792" t="n">
        <v>0</v>
      </c>
    </row>
    <row r="793" spans="1:13">
      <c r="A793" s="1">
        <f>HYPERLINK("http://www.twitter.com/NathanBLawrence/status/997046297629732864", "997046297629732864")</f>
        <v/>
      </c>
      <c r="B793" s="2" t="n">
        <v>43237.39509259259</v>
      </c>
      <c r="C793" t="n">
        <v>0</v>
      </c>
      <c r="D793" t="n">
        <v>3</v>
      </c>
      <c r="E793" t="s">
        <v>792</v>
      </c>
      <c r="F793" t="s"/>
      <c r="G793" t="s"/>
      <c r="H793" t="s"/>
      <c r="I793" t="s"/>
      <c r="J793" t="n">
        <v>-0.3612</v>
      </c>
      <c r="K793" t="n">
        <v>0.111</v>
      </c>
      <c r="L793" t="n">
        <v>0.889</v>
      </c>
      <c r="M793" t="n">
        <v>0</v>
      </c>
    </row>
    <row r="794" spans="1:13">
      <c r="A794" s="1">
        <f>HYPERLINK("http://www.twitter.com/NathanBLawrence/status/997046213886337024", "997046213886337024")</f>
        <v/>
      </c>
      <c r="B794" s="2" t="n">
        <v>43237.39486111111</v>
      </c>
      <c r="C794" t="n">
        <v>0</v>
      </c>
      <c r="D794" t="n">
        <v>2</v>
      </c>
      <c r="E794" t="s">
        <v>793</v>
      </c>
      <c r="F794" t="s"/>
      <c r="G794" t="s"/>
      <c r="H794" t="s"/>
      <c r="I794" t="s"/>
      <c r="J794" t="n">
        <v>0.7184</v>
      </c>
      <c r="K794" t="n">
        <v>0.074</v>
      </c>
      <c r="L794" t="n">
        <v>0.638</v>
      </c>
      <c r="M794" t="n">
        <v>0.287</v>
      </c>
    </row>
    <row r="795" spans="1:13">
      <c r="A795" s="1">
        <f>HYPERLINK("http://www.twitter.com/NathanBLawrence/status/997046031698325504", "997046031698325504")</f>
        <v/>
      </c>
      <c r="B795" s="2" t="n">
        <v>43237.39435185185</v>
      </c>
      <c r="C795" t="n">
        <v>0</v>
      </c>
      <c r="D795" t="n">
        <v>2</v>
      </c>
      <c r="E795" t="s">
        <v>794</v>
      </c>
      <c r="F795" t="s"/>
      <c r="G795" t="s"/>
      <c r="H795" t="s"/>
      <c r="I795" t="s"/>
      <c r="J795" t="n">
        <v>-0.5542</v>
      </c>
      <c r="K795" t="n">
        <v>0.247</v>
      </c>
      <c r="L795" t="n">
        <v>0.679</v>
      </c>
      <c r="M795" t="n">
        <v>0.074</v>
      </c>
    </row>
    <row r="796" spans="1:13">
      <c r="A796" s="1">
        <f>HYPERLINK("http://www.twitter.com/NathanBLawrence/status/997044450680541184", "997044450680541184")</f>
        <v/>
      </c>
      <c r="B796" s="2" t="n">
        <v>43237.38998842592</v>
      </c>
      <c r="C796" t="n">
        <v>0</v>
      </c>
      <c r="D796" t="n">
        <v>9</v>
      </c>
      <c r="E796" t="s">
        <v>795</v>
      </c>
      <c r="F796" t="s"/>
      <c r="G796" t="s"/>
      <c r="H796" t="s"/>
      <c r="I796" t="s"/>
      <c r="J796" t="n">
        <v>0.2081</v>
      </c>
      <c r="K796" t="n">
        <v>0.091</v>
      </c>
      <c r="L796" t="n">
        <v>0.782</v>
      </c>
      <c r="M796" t="n">
        <v>0.127</v>
      </c>
    </row>
    <row r="797" spans="1:13">
      <c r="A797" s="1">
        <f>HYPERLINK("http://www.twitter.com/NathanBLawrence/status/997044163924451329", "997044163924451329")</f>
        <v/>
      </c>
      <c r="B797" s="2" t="n">
        <v>43237.38920138889</v>
      </c>
      <c r="C797" t="n">
        <v>0</v>
      </c>
      <c r="D797" t="n">
        <v>7</v>
      </c>
      <c r="E797" t="s">
        <v>796</v>
      </c>
      <c r="F797" t="s"/>
      <c r="G797" t="s"/>
      <c r="H797" t="s"/>
      <c r="I797" t="s"/>
      <c r="J797" t="n">
        <v>-0.4723</v>
      </c>
      <c r="K797" t="n">
        <v>0.256</v>
      </c>
      <c r="L797" t="n">
        <v>0.642</v>
      </c>
      <c r="M797" t="n">
        <v>0.102</v>
      </c>
    </row>
    <row r="798" spans="1:13">
      <c r="A798" s="1">
        <f>HYPERLINK("http://www.twitter.com/NathanBLawrence/status/997044004658274304", "997044004658274304")</f>
        <v/>
      </c>
      <c r="B798" s="2" t="n">
        <v>43237.38876157408</v>
      </c>
      <c r="C798" t="n">
        <v>0</v>
      </c>
      <c r="D798" t="n">
        <v>14</v>
      </c>
      <c r="E798" t="s">
        <v>797</v>
      </c>
      <c r="F798" t="s"/>
      <c r="G798" t="s"/>
      <c r="H798" t="s"/>
      <c r="I798" t="s"/>
      <c r="J798" t="n">
        <v>-0.2732</v>
      </c>
      <c r="K798" t="n">
        <v>0.091</v>
      </c>
      <c r="L798" t="n">
        <v>0.909</v>
      </c>
      <c r="M798" t="n">
        <v>0</v>
      </c>
    </row>
    <row r="799" spans="1:13">
      <c r="A799" s="1">
        <f>HYPERLINK("http://www.twitter.com/NathanBLawrence/status/997036755953115136", "997036755953115136")</f>
        <v/>
      </c>
      <c r="B799" s="2" t="n">
        <v>43237.36876157407</v>
      </c>
      <c r="C799" t="n">
        <v>0</v>
      </c>
      <c r="D799" t="n">
        <v>15</v>
      </c>
      <c r="E799" t="s">
        <v>798</v>
      </c>
      <c r="F799">
        <f>HYPERLINK("http://pbs.twimg.com/media/DdYvJn3W0AAXQvk.jpg", "http://pbs.twimg.com/media/DdYvJn3W0AAXQvk.jpg")</f>
        <v/>
      </c>
      <c r="G799" t="s"/>
      <c r="H799" t="s"/>
      <c r="I799" t="s"/>
      <c r="J799" t="n">
        <v>0.3612</v>
      </c>
      <c r="K799" t="n">
        <v>0.116</v>
      </c>
      <c r="L799" t="n">
        <v>0.6830000000000001</v>
      </c>
      <c r="M799" t="n">
        <v>0.201</v>
      </c>
    </row>
    <row r="800" spans="1:13">
      <c r="A800" s="1">
        <f>HYPERLINK("http://www.twitter.com/NathanBLawrence/status/997036654270537728", "997036654270537728")</f>
        <v/>
      </c>
      <c r="B800" s="2" t="n">
        <v>43237.36848379629</v>
      </c>
      <c r="C800" t="n">
        <v>0</v>
      </c>
      <c r="D800" t="n">
        <v>1866</v>
      </c>
      <c r="E800" t="s">
        <v>799</v>
      </c>
      <c r="F800">
        <f>HYPERLINK("https://video.twimg.com/ext_tw_video/996811685406040064/pu/vid/1280x720/iMeuiCO_Oc_HY3-R.mp4?tag=3", "https://video.twimg.com/ext_tw_video/996811685406040064/pu/vid/1280x720/iMeuiCO_Oc_HY3-R.mp4?tag=3")</f>
        <v/>
      </c>
      <c r="G800" t="s"/>
      <c r="H800" t="s"/>
      <c r="I800" t="s"/>
      <c r="J800" t="n">
        <v>-0.2924</v>
      </c>
      <c r="K800" t="n">
        <v>0.083</v>
      </c>
      <c r="L800" t="n">
        <v>0.917</v>
      </c>
      <c r="M800" t="n">
        <v>0</v>
      </c>
    </row>
    <row r="801" spans="1:13">
      <c r="A801" s="1">
        <f>HYPERLINK("http://www.twitter.com/NathanBLawrence/status/997036585089732608", "997036585089732608")</f>
        <v/>
      </c>
      <c r="B801" s="2" t="n">
        <v>43237.36828703704</v>
      </c>
      <c r="C801" t="n">
        <v>0</v>
      </c>
      <c r="D801" t="n">
        <v>50</v>
      </c>
      <c r="E801" t="s">
        <v>800</v>
      </c>
      <c r="F801" t="s"/>
      <c r="G801" t="s"/>
      <c r="H801" t="s"/>
      <c r="I801" t="s"/>
      <c r="J801" t="n">
        <v>0.194</v>
      </c>
      <c r="K801" t="n">
        <v>0.078</v>
      </c>
      <c r="L801" t="n">
        <v>0.781</v>
      </c>
      <c r="M801" t="n">
        <v>0.141</v>
      </c>
    </row>
    <row r="802" spans="1:13">
      <c r="A802" s="1">
        <f>HYPERLINK("http://www.twitter.com/NathanBLawrence/status/997036499475550208", "997036499475550208")</f>
        <v/>
      </c>
      <c r="B802" s="2" t="n">
        <v>43237.36805555555</v>
      </c>
      <c r="C802" t="n">
        <v>0</v>
      </c>
      <c r="D802" t="n">
        <v>281</v>
      </c>
      <c r="E802" t="s">
        <v>801</v>
      </c>
      <c r="F802">
        <f>HYPERLINK("http://pbs.twimg.com/media/DdWKiwrVQAE7Nae.jpg", "http://pbs.twimg.com/media/DdWKiwrVQAE7Nae.jpg")</f>
        <v/>
      </c>
      <c r="G802" t="s"/>
      <c r="H802" t="s"/>
      <c r="I802" t="s"/>
      <c r="J802" t="n">
        <v>0</v>
      </c>
      <c r="K802" t="n">
        <v>0</v>
      </c>
      <c r="L802" t="n">
        <v>1</v>
      </c>
      <c r="M802" t="n">
        <v>0</v>
      </c>
    </row>
    <row r="803" spans="1:13">
      <c r="A803" s="1">
        <f>HYPERLINK("http://www.twitter.com/NathanBLawrence/status/997036478294306816", "997036478294306816")</f>
        <v/>
      </c>
      <c r="B803" s="2" t="n">
        <v>43237.36799768519</v>
      </c>
      <c r="C803" t="n">
        <v>0</v>
      </c>
      <c r="D803" t="n">
        <v>1</v>
      </c>
      <c r="E803" t="s">
        <v>802</v>
      </c>
      <c r="F803" t="s"/>
      <c r="G803" t="s"/>
      <c r="H803" t="s"/>
      <c r="I803" t="s"/>
      <c r="J803" t="n">
        <v>0.3612</v>
      </c>
      <c r="K803" t="n">
        <v>0</v>
      </c>
      <c r="L803" t="n">
        <v>0.884</v>
      </c>
      <c r="M803" t="n">
        <v>0.116</v>
      </c>
    </row>
    <row r="804" spans="1:13">
      <c r="A804" s="1">
        <f>HYPERLINK("http://www.twitter.com/NathanBLawrence/status/997036350842068993", "997036350842068993")</f>
        <v/>
      </c>
      <c r="B804" s="2" t="n">
        <v>43237.36763888889</v>
      </c>
      <c r="C804" t="n">
        <v>0</v>
      </c>
      <c r="D804" t="n">
        <v>8</v>
      </c>
      <c r="E804" t="s">
        <v>803</v>
      </c>
      <c r="F804" t="s"/>
      <c r="G804" t="s"/>
      <c r="H804" t="s"/>
      <c r="I804" t="s"/>
      <c r="J804" t="n">
        <v>-0.296</v>
      </c>
      <c r="K804" t="n">
        <v>0.104</v>
      </c>
      <c r="L804" t="n">
        <v>0.896</v>
      </c>
      <c r="M804" t="n">
        <v>0</v>
      </c>
    </row>
    <row r="805" spans="1:13">
      <c r="A805" s="1">
        <f>HYPERLINK("http://www.twitter.com/NathanBLawrence/status/997036318529028096", "997036318529028096")</f>
        <v/>
      </c>
      <c r="B805" s="2" t="n">
        <v>43237.36755787037</v>
      </c>
      <c r="C805" t="n">
        <v>0</v>
      </c>
      <c r="D805" t="n">
        <v>3</v>
      </c>
      <c r="E805" t="s">
        <v>804</v>
      </c>
      <c r="F805" t="s"/>
      <c r="G805" t="s"/>
      <c r="H805" t="s"/>
      <c r="I805" t="s"/>
      <c r="J805" t="n">
        <v>-0.5719</v>
      </c>
      <c r="K805" t="n">
        <v>0.156</v>
      </c>
      <c r="L805" t="n">
        <v>0.844</v>
      </c>
      <c r="M805" t="n">
        <v>0</v>
      </c>
    </row>
    <row r="806" spans="1:13">
      <c r="A806" s="1">
        <f>HYPERLINK("http://www.twitter.com/NathanBLawrence/status/997036239772581888", "997036239772581888")</f>
        <v/>
      </c>
      <c r="B806" s="2" t="n">
        <v>43237.36733796296</v>
      </c>
      <c r="C806" t="n">
        <v>0</v>
      </c>
      <c r="D806" t="n">
        <v>1554</v>
      </c>
      <c r="E806" t="s">
        <v>805</v>
      </c>
      <c r="F806" t="s"/>
      <c r="G806" t="s"/>
      <c r="H806" t="s"/>
      <c r="I806" t="s"/>
      <c r="J806" t="n">
        <v>0</v>
      </c>
      <c r="K806" t="n">
        <v>0</v>
      </c>
      <c r="L806" t="n">
        <v>1</v>
      </c>
      <c r="M806" t="n">
        <v>0</v>
      </c>
    </row>
    <row r="807" spans="1:13">
      <c r="A807" s="1">
        <f>HYPERLINK("http://www.twitter.com/NathanBLawrence/status/997036215756083200", "997036215756083200")</f>
        <v/>
      </c>
      <c r="B807" s="2" t="n">
        <v>43237.36726851852</v>
      </c>
      <c r="C807" t="n">
        <v>23</v>
      </c>
      <c r="D807" t="n">
        <v>15</v>
      </c>
      <c r="E807" t="s">
        <v>806</v>
      </c>
      <c r="F807">
        <f>HYPERLINK("http://pbs.twimg.com/media/DdYvJn3W0AAXQvk.jpg", "http://pbs.twimg.com/media/DdYvJn3W0AAXQvk.jpg")</f>
        <v/>
      </c>
      <c r="G807" t="s"/>
      <c r="H807" t="s"/>
      <c r="I807" t="s"/>
      <c r="J807" t="n">
        <v>0.7040999999999999</v>
      </c>
      <c r="K807" t="n">
        <v>0.058</v>
      </c>
      <c r="L807" t="n">
        <v>0.784</v>
      </c>
      <c r="M807" t="n">
        <v>0.158</v>
      </c>
    </row>
    <row r="808" spans="1:13">
      <c r="A808" s="1">
        <f>HYPERLINK("http://www.twitter.com/NathanBLawrence/status/997034897146556416", "997034897146556416")</f>
        <v/>
      </c>
      <c r="B808" s="2" t="n">
        <v>43237.36363425926</v>
      </c>
      <c r="C808" t="n">
        <v>0</v>
      </c>
      <c r="D808" t="n">
        <v>5</v>
      </c>
      <c r="E808" t="s">
        <v>807</v>
      </c>
      <c r="F808" t="s"/>
      <c r="G808" t="s"/>
      <c r="H808" t="s"/>
      <c r="I808" t="s"/>
      <c r="J808" t="n">
        <v>-0.5093</v>
      </c>
      <c r="K808" t="n">
        <v>0.215</v>
      </c>
      <c r="L808" t="n">
        <v>0.785</v>
      </c>
      <c r="M808" t="n">
        <v>0</v>
      </c>
    </row>
    <row r="809" spans="1:13">
      <c r="A809" s="1">
        <f>HYPERLINK("http://www.twitter.com/NathanBLawrence/status/997031474766508032", "997031474766508032")</f>
        <v/>
      </c>
      <c r="B809" s="2" t="n">
        <v>43237.35418981482</v>
      </c>
      <c r="C809" t="n">
        <v>0</v>
      </c>
      <c r="D809" t="n">
        <v>7</v>
      </c>
      <c r="E809" t="s">
        <v>808</v>
      </c>
      <c r="F809" t="s"/>
      <c r="G809" t="s"/>
      <c r="H809" t="s"/>
      <c r="I809" t="s"/>
      <c r="J809" t="n">
        <v>-0.5994</v>
      </c>
      <c r="K809" t="n">
        <v>0.29</v>
      </c>
      <c r="L809" t="n">
        <v>0.71</v>
      </c>
      <c r="M809" t="n">
        <v>0</v>
      </c>
    </row>
    <row r="810" spans="1:13">
      <c r="A810" s="1">
        <f>HYPERLINK("http://www.twitter.com/NathanBLawrence/status/997031467317432320", "997031467317432320")</f>
        <v/>
      </c>
      <c r="B810" s="2" t="n">
        <v>43237.35416666666</v>
      </c>
      <c r="C810" t="n">
        <v>0</v>
      </c>
      <c r="D810" t="n">
        <v>9</v>
      </c>
      <c r="E810" t="s">
        <v>809</v>
      </c>
      <c r="F810">
        <f>HYPERLINK("http://pbs.twimg.com/media/DdW7H2rWkAERjav.jpg", "http://pbs.twimg.com/media/DdW7H2rWkAERjav.jpg")</f>
        <v/>
      </c>
      <c r="G810" t="s"/>
      <c r="H810" t="s"/>
      <c r="I810" t="s"/>
      <c r="J810" t="n">
        <v>0</v>
      </c>
      <c r="K810" t="n">
        <v>0</v>
      </c>
      <c r="L810" t="n">
        <v>1</v>
      </c>
      <c r="M810" t="n">
        <v>0</v>
      </c>
    </row>
    <row r="811" spans="1:13">
      <c r="A811" s="1">
        <f>HYPERLINK("http://www.twitter.com/NathanBLawrence/status/997031448531095552", "997031448531095552")</f>
        <v/>
      </c>
      <c r="B811" s="2" t="n">
        <v>43237.35410879629</v>
      </c>
      <c r="C811" t="n">
        <v>0</v>
      </c>
      <c r="D811" t="n">
        <v>15</v>
      </c>
      <c r="E811" t="s">
        <v>810</v>
      </c>
      <c r="F811">
        <f>HYPERLINK("http://pbs.twimg.com/media/DdXD2a8X0AErRiC.jpg", "http://pbs.twimg.com/media/DdXD2a8X0AErRiC.jpg")</f>
        <v/>
      </c>
      <c r="G811" t="s"/>
      <c r="H811" t="s"/>
      <c r="I811" t="s"/>
      <c r="J811" t="n">
        <v>0.7756999999999999</v>
      </c>
      <c r="K811" t="n">
        <v>0</v>
      </c>
      <c r="L811" t="n">
        <v>0.73</v>
      </c>
      <c r="M811" t="n">
        <v>0.27</v>
      </c>
    </row>
    <row r="812" spans="1:13">
      <c r="A812" s="1">
        <f>HYPERLINK("http://www.twitter.com/NathanBLawrence/status/997031423294009345", "997031423294009345")</f>
        <v/>
      </c>
      <c r="B812" s="2" t="n">
        <v>43237.35403935185</v>
      </c>
      <c r="C812" t="n">
        <v>0</v>
      </c>
      <c r="D812" t="n">
        <v>18</v>
      </c>
      <c r="E812" t="s">
        <v>811</v>
      </c>
      <c r="F812" t="s"/>
      <c r="G812" t="s"/>
      <c r="H812" t="s"/>
      <c r="I812" t="s"/>
      <c r="J812" t="n">
        <v>0</v>
      </c>
      <c r="K812" t="n">
        <v>0</v>
      </c>
      <c r="L812" t="n">
        <v>1</v>
      </c>
      <c r="M812" t="n">
        <v>0</v>
      </c>
    </row>
    <row r="813" spans="1:13">
      <c r="A813" s="1">
        <f>HYPERLINK("http://www.twitter.com/NathanBLawrence/status/997031379723485189", "997031379723485189")</f>
        <v/>
      </c>
      <c r="B813" s="2" t="n">
        <v>43237.35392361111</v>
      </c>
      <c r="C813" t="n">
        <v>0</v>
      </c>
      <c r="D813" t="n">
        <v>8</v>
      </c>
      <c r="E813" t="s">
        <v>812</v>
      </c>
      <c r="F813" t="s"/>
      <c r="G813" t="s"/>
      <c r="H813" t="s"/>
      <c r="I813" t="s"/>
      <c r="J813" t="n">
        <v>0</v>
      </c>
      <c r="K813" t="n">
        <v>0</v>
      </c>
      <c r="L813" t="n">
        <v>1</v>
      </c>
      <c r="M813" t="n">
        <v>0</v>
      </c>
    </row>
    <row r="814" spans="1:13">
      <c r="A814" s="1">
        <f>HYPERLINK("http://www.twitter.com/NathanBLawrence/status/997031157643563013", "997031157643563013")</f>
        <v/>
      </c>
      <c r="B814" s="2" t="n">
        <v>43237.35331018519</v>
      </c>
      <c r="C814" t="n">
        <v>2</v>
      </c>
      <c r="D814" t="n">
        <v>1</v>
      </c>
      <c r="E814" t="s">
        <v>813</v>
      </c>
      <c r="F814">
        <f>HYPERLINK("http://pbs.twimg.com/media/DdYqinUWAAARh5S.jpg", "http://pbs.twimg.com/media/DdYqinUWAAARh5S.jpg")</f>
        <v/>
      </c>
      <c r="G814" t="s"/>
      <c r="H814" t="s"/>
      <c r="I814" t="s"/>
      <c r="J814" t="n">
        <v>0</v>
      </c>
      <c r="K814" t="n">
        <v>0</v>
      </c>
      <c r="L814" t="n">
        <v>1</v>
      </c>
      <c r="M814" t="n">
        <v>0</v>
      </c>
    </row>
    <row r="815" spans="1:13">
      <c r="A815" s="1">
        <f>HYPERLINK("http://www.twitter.com/NathanBLawrence/status/997030966291025920", "997030966291025920")</f>
        <v/>
      </c>
      <c r="B815" s="2" t="n">
        <v>43237.35277777778</v>
      </c>
      <c r="C815" t="n">
        <v>0</v>
      </c>
      <c r="D815" t="n">
        <v>37</v>
      </c>
      <c r="E815" t="s">
        <v>814</v>
      </c>
      <c r="F815">
        <f>HYPERLINK("http://pbs.twimg.com/media/DdXNHd7VMAEO5bP.jpg", "http://pbs.twimg.com/media/DdXNHd7VMAEO5bP.jpg")</f>
        <v/>
      </c>
      <c r="G815" t="s"/>
      <c r="H815" t="s"/>
      <c r="I815" t="s"/>
      <c r="J815" t="n">
        <v>0</v>
      </c>
      <c r="K815" t="n">
        <v>0</v>
      </c>
      <c r="L815" t="n">
        <v>1</v>
      </c>
      <c r="M815" t="n">
        <v>0</v>
      </c>
    </row>
    <row r="816" spans="1:13">
      <c r="A816" s="1">
        <f>HYPERLINK("http://www.twitter.com/NathanBLawrence/status/997011571900665856", "997011571900665856")</f>
        <v/>
      </c>
      <c r="B816" s="2" t="n">
        <v>43237.29925925926</v>
      </c>
      <c r="C816" t="n">
        <v>0</v>
      </c>
      <c r="D816" t="n">
        <v>9</v>
      </c>
      <c r="E816" t="s">
        <v>815</v>
      </c>
      <c r="F816" t="s"/>
      <c r="G816" t="s"/>
      <c r="H816" t="s"/>
      <c r="I816" t="s"/>
      <c r="J816" t="n">
        <v>0.2057</v>
      </c>
      <c r="K816" t="n">
        <v>0</v>
      </c>
      <c r="L816" t="n">
        <v>0.904</v>
      </c>
      <c r="M816" t="n">
        <v>0.096</v>
      </c>
    </row>
    <row r="817" spans="1:13">
      <c r="A817" s="1">
        <f>HYPERLINK("http://www.twitter.com/NathanBLawrence/status/997011472457850881", "997011472457850881")</f>
        <v/>
      </c>
      <c r="B817" s="2" t="n">
        <v>43237.29899305556</v>
      </c>
      <c r="C817" t="n">
        <v>0</v>
      </c>
      <c r="D817" t="n">
        <v>5</v>
      </c>
      <c r="E817" t="s">
        <v>816</v>
      </c>
      <c r="F817" t="s"/>
      <c r="G817" t="s"/>
      <c r="H817" t="s"/>
      <c r="I817" t="s"/>
      <c r="J817" t="n">
        <v>0</v>
      </c>
      <c r="K817" t="n">
        <v>0</v>
      </c>
      <c r="L817" t="n">
        <v>1</v>
      </c>
      <c r="M817" t="n">
        <v>0</v>
      </c>
    </row>
    <row r="818" spans="1:13">
      <c r="A818" s="1">
        <f>HYPERLINK("http://www.twitter.com/NathanBLawrence/status/997011446755217408", "997011446755217408")</f>
        <v/>
      </c>
      <c r="B818" s="2" t="n">
        <v>43237.29892361111</v>
      </c>
      <c r="C818" t="n">
        <v>0</v>
      </c>
      <c r="D818" t="n">
        <v>7</v>
      </c>
      <c r="E818" t="s">
        <v>817</v>
      </c>
      <c r="F818" t="s"/>
      <c r="G818" t="s"/>
      <c r="H818" t="s"/>
      <c r="I818" t="s"/>
      <c r="J818" t="n">
        <v>0</v>
      </c>
      <c r="K818" t="n">
        <v>0</v>
      </c>
      <c r="L818" t="n">
        <v>1</v>
      </c>
      <c r="M818" t="n">
        <v>0</v>
      </c>
    </row>
    <row r="819" spans="1:13">
      <c r="A819" s="1">
        <f>HYPERLINK("http://www.twitter.com/NathanBLawrence/status/997011407454523392", "997011407454523392")</f>
        <v/>
      </c>
      <c r="B819" s="2" t="n">
        <v>43237.29880787037</v>
      </c>
      <c r="C819" t="n">
        <v>0</v>
      </c>
      <c r="D819" t="n">
        <v>2</v>
      </c>
      <c r="E819" t="s">
        <v>818</v>
      </c>
      <c r="F819" t="s"/>
      <c r="G819" t="s"/>
      <c r="H819" t="s"/>
      <c r="I819" t="s"/>
      <c r="J819" t="n">
        <v>0.1779</v>
      </c>
      <c r="K819" t="n">
        <v>0.174</v>
      </c>
      <c r="L819" t="n">
        <v>0.631</v>
      </c>
      <c r="M819" t="n">
        <v>0.195</v>
      </c>
    </row>
    <row r="820" spans="1:13">
      <c r="A820" s="1">
        <f>HYPERLINK("http://www.twitter.com/NathanBLawrence/status/997011392355020800", "997011392355020800")</f>
        <v/>
      </c>
      <c r="B820" s="2" t="n">
        <v>43237.29877314815</v>
      </c>
      <c r="C820" t="n">
        <v>0</v>
      </c>
      <c r="D820" t="n">
        <v>11</v>
      </c>
      <c r="E820" t="s">
        <v>819</v>
      </c>
      <c r="F820" t="s"/>
      <c r="G820" t="s"/>
      <c r="H820" t="s"/>
      <c r="I820" t="s"/>
      <c r="J820" t="n">
        <v>-0.5106000000000001</v>
      </c>
      <c r="K820" t="n">
        <v>0.142</v>
      </c>
      <c r="L820" t="n">
        <v>0.858</v>
      </c>
      <c r="M820" t="n">
        <v>0</v>
      </c>
    </row>
    <row r="821" spans="1:13">
      <c r="A821" s="1">
        <f>HYPERLINK("http://www.twitter.com/NathanBLawrence/status/996990814847950850", "996990814847950850")</f>
        <v/>
      </c>
      <c r="B821" s="2" t="n">
        <v>43237.24199074074</v>
      </c>
      <c r="C821" t="n">
        <v>4</v>
      </c>
      <c r="D821" t="n">
        <v>1</v>
      </c>
      <c r="E821" t="s">
        <v>820</v>
      </c>
      <c r="F821">
        <f>HYPERLINK("http://pbs.twimg.com/media/DdYF24EVMAEIzWl.jpg", "http://pbs.twimg.com/media/DdYF24EVMAEIzWl.jpg")</f>
        <v/>
      </c>
      <c r="G821" t="s"/>
      <c r="H821" t="s"/>
      <c r="I821" t="s"/>
      <c r="J821" t="n">
        <v>0</v>
      </c>
      <c r="K821" t="n">
        <v>0</v>
      </c>
      <c r="L821" t="n">
        <v>1</v>
      </c>
      <c r="M821" t="n">
        <v>0</v>
      </c>
    </row>
    <row r="822" spans="1:13">
      <c r="A822" s="1">
        <f>HYPERLINK("http://www.twitter.com/NathanBLawrence/status/996987680037752832", "996987680037752832")</f>
        <v/>
      </c>
      <c r="B822" s="2" t="n">
        <v>43237.23333333333</v>
      </c>
      <c r="C822" t="n">
        <v>0</v>
      </c>
      <c r="D822" t="n">
        <v>6</v>
      </c>
      <c r="E822" t="s">
        <v>821</v>
      </c>
      <c r="F822">
        <f>HYPERLINK("http://pbs.twimg.com/media/DdXrTyoVwAA7z43.jpg", "http://pbs.twimg.com/media/DdXrTyoVwAA7z43.jpg")</f>
        <v/>
      </c>
      <c r="G822" t="s"/>
      <c r="H822" t="s"/>
      <c r="I822" t="s"/>
      <c r="J822" t="n">
        <v>0</v>
      </c>
      <c r="K822" t="n">
        <v>0</v>
      </c>
      <c r="L822" t="n">
        <v>1</v>
      </c>
      <c r="M822" t="n">
        <v>0</v>
      </c>
    </row>
    <row r="823" spans="1:13">
      <c r="A823" s="1">
        <f>HYPERLINK("http://www.twitter.com/NathanBLawrence/status/996969018610339840", "996969018610339840")</f>
        <v/>
      </c>
      <c r="B823" s="2" t="n">
        <v>43237.18184027778</v>
      </c>
      <c r="C823" t="n">
        <v>0</v>
      </c>
      <c r="D823" t="n">
        <v>5</v>
      </c>
      <c r="E823" t="s">
        <v>822</v>
      </c>
      <c r="F823" t="s"/>
      <c r="G823" t="s"/>
      <c r="H823" t="s"/>
      <c r="I823" t="s"/>
      <c r="J823" t="n">
        <v>-0.1027</v>
      </c>
      <c r="K823" t="n">
        <v>0.119</v>
      </c>
      <c r="L823" t="n">
        <v>0.779</v>
      </c>
      <c r="M823" t="n">
        <v>0.102</v>
      </c>
    </row>
    <row r="824" spans="1:13">
      <c r="A824" s="1">
        <f>HYPERLINK("http://www.twitter.com/NathanBLawrence/status/996968967146278912", "996968967146278912")</f>
        <v/>
      </c>
      <c r="B824" s="2" t="n">
        <v>43237.18170138889</v>
      </c>
      <c r="C824" t="n">
        <v>5</v>
      </c>
      <c r="D824" t="n">
        <v>5</v>
      </c>
      <c r="E824" t="s">
        <v>823</v>
      </c>
      <c r="F824" t="s"/>
      <c r="G824" t="s"/>
      <c r="H824" t="s"/>
      <c r="I824" t="s"/>
      <c r="J824" t="n">
        <v>0.5362</v>
      </c>
      <c r="K824" t="n">
        <v>0.128</v>
      </c>
      <c r="L824" t="n">
        <v>0.652</v>
      </c>
      <c r="M824" t="n">
        <v>0.219</v>
      </c>
    </row>
    <row r="825" spans="1:13">
      <c r="A825" s="1">
        <f>HYPERLINK("http://www.twitter.com/NathanBLawrence/status/996966887660707840", "996966887660707840")</f>
        <v/>
      </c>
      <c r="B825" s="2" t="n">
        <v>43237.17596064815</v>
      </c>
      <c r="C825" t="n">
        <v>0</v>
      </c>
      <c r="D825" t="n">
        <v>19</v>
      </c>
      <c r="E825" t="s">
        <v>824</v>
      </c>
      <c r="F825" t="s"/>
      <c r="G825" t="s"/>
      <c r="H825" t="s"/>
      <c r="I825" t="s"/>
      <c r="J825" t="n">
        <v>0.4939</v>
      </c>
      <c r="K825" t="n">
        <v>0</v>
      </c>
      <c r="L825" t="n">
        <v>0.862</v>
      </c>
      <c r="M825" t="n">
        <v>0.138</v>
      </c>
    </row>
    <row r="826" spans="1:13">
      <c r="A826" s="1">
        <f>HYPERLINK("http://www.twitter.com/NathanBLawrence/status/996965005240258560", "996965005240258560")</f>
        <v/>
      </c>
      <c r="B826" s="2" t="n">
        <v>43237.17076388889</v>
      </c>
      <c r="C826" t="n">
        <v>0</v>
      </c>
      <c r="D826" t="n">
        <v>6</v>
      </c>
      <c r="E826" t="s">
        <v>825</v>
      </c>
      <c r="F826">
        <f>HYPERLINK("http://pbs.twimg.com/media/DdXuN3NVwAAwXf1.jpg", "http://pbs.twimg.com/media/DdXuN3NVwAAwXf1.jpg")</f>
        <v/>
      </c>
      <c r="G826" t="s"/>
      <c r="H826" t="s"/>
      <c r="I826" t="s"/>
      <c r="J826" t="n">
        <v>0.3612</v>
      </c>
      <c r="K826" t="n">
        <v>0.112</v>
      </c>
      <c r="L826" t="n">
        <v>0.6929999999999999</v>
      </c>
      <c r="M826" t="n">
        <v>0.195</v>
      </c>
    </row>
    <row r="827" spans="1:13">
      <c r="A827" s="1">
        <f>HYPERLINK("http://www.twitter.com/NathanBLawrence/status/996964819961040897", "996964819961040897")</f>
        <v/>
      </c>
      <c r="B827" s="2" t="n">
        <v>43237.17025462963</v>
      </c>
      <c r="C827" t="n">
        <v>10</v>
      </c>
      <c r="D827" t="n">
        <v>6</v>
      </c>
      <c r="E827" t="s">
        <v>826</v>
      </c>
      <c r="F827">
        <f>HYPERLINK("http://pbs.twimg.com/media/DdXuN3NVwAAwXf1.jpg", "http://pbs.twimg.com/media/DdXuN3NVwAAwXf1.jpg")</f>
        <v/>
      </c>
      <c r="G827" t="s"/>
      <c r="H827" t="s"/>
      <c r="I827" t="s"/>
      <c r="J827" t="n">
        <v>0.7399</v>
      </c>
      <c r="K827" t="n">
        <v>0.058</v>
      </c>
      <c r="L827" t="n">
        <v>0.779</v>
      </c>
      <c r="M827" t="n">
        <v>0.164</v>
      </c>
    </row>
    <row r="828" spans="1:13">
      <c r="A828" s="1">
        <f>HYPERLINK("http://www.twitter.com/NathanBLawrence/status/996962925003894784", "996962925003894784")</f>
        <v/>
      </c>
      <c r="B828" s="2" t="n">
        <v>43237.16502314815</v>
      </c>
      <c r="C828" t="n">
        <v>2</v>
      </c>
      <c r="D828" t="n">
        <v>1</v>
      </c>
      <c r="E828" t="s">
        <v>827</v>
      </c>
      <c r="F828" t="s"/>
      <c r="G828" t="s"/>
      <c r="H828" t="s"/>
      <c r="I828" t="s"/>
      <c r="J828" t="n">
        <v>0.4404</v>
      </c>
      <c r="K828" t="n">
        <v>0</v>
      </c>
      <c r="L828" t="n">
        <v>0.775</v>
      </c>
      <c r="M828" t="n">
        <v>0.225</v>
      </c>
    </row>
    <row r="829" spans="1:13">
      <c r="A829" s="1">
        <f>HYPERLINK("http://www.twitter.com/NathanBLawrence/status/996961627399507969", "996961627399507969")</f>
        <v/>
      </c>
      <c r="B829" s="2" t="n">
        <v>43237.16144675926</v>
      </c>
      <c r="C829" t="n">
        <v>8</v>
      </c>
      <c r="D829" t="n">
        <v>6</v>
      </c>
      <c r="E829" t="s">
        <v>828</v>
      </c>
      <c r="F829">
        <f>HYPERLINK("http://pbs.twimg.com/media/DdXrTyoVwAA7z43.jpg", "http://pbs.twimg.com/media/DdXrTyoVwAA7z43.jpg")</f>
        <v/>
      </c>
      <c r="G829" t="s"/>
      <c r="H829" t="s"/>
      <c r="I829" t="s"/>
      <c r="J829" t="n">
        <v>0</v>
      </c>
      <c r="K829" t="n">
        <v>0</v>
      </c>
      <c r="L829" t="n">
        <v>1</v>
      </c>
      <c r="M829" t="n">
        <v>0</v>
      </c>
    </row>
    <row r="830" spans="1:13">
      <c r="A830" s="1">
        <f>HYPERLINK("http://www.twitter.com/NathanBLawrence/status/996959314496708608", "996959314496708608")</f>
        <v/>
      </c>
      <c r="B830" s="2" t="n">
        <v>43237.15505787037</v>
      </c>
      <c r="C830" t="n">
        <v>5</v>
      </c>
      <c r="D830" t="n">
        <v>2</v>
      </c>
      <c r="E830" t="s">
        <v>829</v>
      </c>
      <c r="F830" t="s"/>
      <c r="G830" t="s"/>
      <c r="H830" t="s"/>
      <c r="I830" t="s"/>
      <c r="J830" t="n">
        <v>-0.5859</v>
      </c>
      <c r="K830" t="n">
        <v>0.168</v>
      </c>
      <c r="L830" t="n">
        <v>0.736</v>
      </c>
      <c r="M830" t="n">
        <v>0.096</v>
      </c>
    </row>
    <row r="831" spans="1:13">
      <c r="A831" s="1">
        <f>HYPERLINK("http://www.twitter.com/NathanBLawrence/status/996958973336092672", "996958973336092672")</f>
        <v/>
      </c>
      <c r="B831" s="2" t="n">
        <v>43237.15412037037</v>
      </c>
      <c r="C831" t="n">
        <v>6</v>
      </c>
      <c r="D831" t="n">
        <v>2</v>
      </c>
      <c r="E831" t="s">
        <v>830</v>
      </c>
      <c r="F831" t="s"/>
      <c r="G831" t="s"/>
      <c r="H831" t="s"/>
      <c r="I831" t="s"/>
      <c r="J831" t="n">
        <v>0.6858</v>
      </c>
      <c r="K831" t="n">
        <v>0.101</v>
      </c>
      <c r="L831" t="n">
        <v>0.716</v>
      </c>
      <c r="M831" t="n">
        <v>0.183</v>
      </c>
    </row>
    <row r="832" spans="1:13">
      <c r="A832" s="1">
        <f>HYPERLINK("http://www.twitter.com/NathanBLawrence/status/996958606733004802", "996958606733004802")</f>
        <v/>
      </c>
      <c r="B832" s="2" t="n">
        <v>43237.15311342593</v>
      </c>
      <c r="C832" t="n">
        <v>0</v>
      </c>
      <c r="D832" t="n">
        <v>9</v>
      </c>
      <c r="E832" t="s">
        <v>831</v>
      </c>
      <c r="F832" t="s"/>
      <c r="G832" t="s"/>
      <c r="H832" t="s"/>
      <c r="I832" t="s"/>
      <c r="J832" t="n">
        <v>0</v>
      </c>
      <c r="K832" t="n">
        <v>0</v>
      </c>
      <c r="L832" t="n">
        <v>1</v>
      </c>
      <c r="M832" t="n">
        <v>0</v>
      </c>
    </row>
    <row r="833" spans="1:13">
      <c r="A833" s="1">
        <f>HYPERLINK("http://www.twitter.com/NathanBLawrence/status/996958563770740737", "996958563770740737")</f>
        <v/>
      </c>
      <c r="B833" s="2" t="n">
        <v>43237.15298611111</v>
      </c>
      <c r="C833" t="n">
        <v>0</v>
      </c>
      <c r="D833" t="n">
        <v>35</v>
      </c>
      <c r="E833" t="s">
        <v>832</v>
      </c>
      <c r="F833" t="s"/>
      <c r="G833" t="s"/>
      <c r="H833" t="s"/>
      <c r="I833" t="s"/>
      <c r="J833" t="n">
        <v>-0.8016</v>
      </c>
      <c r="K833" t="n">
        <v>0.304</v>
      </c>
      <c r="L833" t="n">
        <v>0.696</v>
      </c>
      <c r="M833" t="n">
        <v>0</v>
      </c>
    </row>
    <row r="834" spans="1:13">
      <c r="A834" s="1">
        <f>HYPERLINK("http://www.twitter.com/NathanBLawrence/status/996958431373332480", "996958431373332480")</f>
        <v/>
      </c>
      <c r="B834" s="2" t="n">
        <v>43237.15262731481</v>
      </c>
      <c r="C834" t="n">
        <v>0</v>
      </c>
      <c r="D834" t="n">
        <v>13</v>
      </c>
      <c r="E834" t="s">
        <v>833</v>
      </c>
      <c r="F834" t="s"/>
      <c r="G834" t="s"/>
      <c r="H834" t="s"/>
      <c r="I834" t="s"/>
      <c r="J834" t="n">
        <v>0</v>
      </c>
      <c r="K834" t="n">
        <v>0</v>
      </c>
      <c r="L834" t="n">
        <v>1</v>
      </c>
      <c r="M834" t="n">
        <v>0</v>
      </c>
    </row>
    <row r="835" spans="1:13">
      <c r="A835" s="1">
        <f>HYPERLINK("http://www.twitter.com/NathanBLawrence/status/996958406597599232", "996958406597599232")</f>
        <v/>
      </c>
      <c r="B835" s="2" t="n">
        <v>43237.15255787037</v>
      </c>
      <c r="C835" t="n">
        <v>0</v>
      </c>
      <c r="D835" t="n">
        <v>3</v>
      </c>
      <c r="E835" t="s">
        <v>834</v>
      </c>
      <c r="F835" t="s"/>
      <c r="G835" t="s"/>
      <c r="H835" t="s"/>
      <c r="I835" t="s"/>
      <c r="J835" t="n">
        <v>-0.7184</v>
      </c>
      <c r="K835" t="n">
        <v>0.316</v>
      </c>
      <c r="L835" t="n">
        <v>0.6840000000000001</v>
      </c>
      <c r="M835" t="n">
        <v>0</v>
      </c>
    </row>
    <row r="836" spans="1:13">
      <c r="A836" s="1">
        <f>HYPERLINK("http://www.twitter.com/NathanBLawrence/status/996958207129079808", "996958207129079808")</f>
        <v/>
      </c>
      <c r="B836" s="2" t="n">
        <v>43237.15200231481</v>
      </c>
      <c r="C836" t="n">
        <v>0</v>
      </c>
      <c r="D836" t="n">
        <v>8</v>
      </c>
      <c r="E836" t="s">
        <v>835</v>
      </c>
      <c r="F836" t="s"/>
      <c r="G836" t="s"/>
      <c r="H836" t="s"/>
      <c r="I836" t="s"/>
      <c r="J836" t="n">
        <v>0</v>
      </c>
      <c r="K836" t="n">
        <v>0</v>
      </c>
      <c r="L836" t="n">
        <v>1</v>
      </c>
      <c r="M836" t="n">
        <v>0</v>
      </c>
    </row>
    <row r="837" spans="1:13">
      <c r="A837" s="1">
        <f>HYPERLINK("http://www.twitter.com/NathanBLawrence/status/996958049855332352", "996958049855332352")</f>
        <v/>
      </c>
      <c r="B837" s="2" t="n">
        <v>43237.15157407407</v>
      </c>
      <c r="C837" t="n">
        <v>0</v>
      </c>
      <c r="D837" t="n">
        <v>14</v>
      </c>
      <c r="E837" t="s">
        <v>836</v>
      </c>
      <c r="F837" t="s"/>
      <c r="G837" t="s"/>
      <c r="H837" t="s"/>
      <c r="I837" t="s"/>
      <c r="J837" t="n">
        <v>0</v>
      </c>
      <c r="K837" t="n">
        <v>0</v>
      </c>
      <c r="L837" t="n">
        <v>1</v>
      </c>
      <c r="M837" t="n">
        <v>0</v>
      </c>
    </row>
    <row r="838" spans="1:13">
      <c r="A838" s="1">
        <f>HYPERLINK("http://www.twitter.com/NathanBLawrence/status/996958035137490944", "996958035137490944")</f>
        <v/>
      </c>
      <c r="B838" s="2" t="n">
        <v>43237.15152777778</v>
      </c>
      <c r="C838" t="n">
        <v>0</v>
      </c>
      <c r="D838" t="n">
        <v>11</v>
      </c>
      <c r="E838" t="s">
        <v>837</v>
      </c>
      <c r="F838" t="s"/>
      <c r="G838" t="s"/>
      <c r="H838" t="s"/>
      <c r="I838" t="s"/>
      <c r="J838" t="n">
        <v>0.4939</v>
      </c>
      <c r="K838" t="n">
        <v>0</v>
      </c>
      <c r="L838" t="n">
        <v>0.824</v>
      </c>
      <c r="M838" t="n">
        <v>0.176</v>
      </c>
    </row>
    <row r="839" spans="1:13">
      <c r="A839" s="1">
        <f>HYPERLINK("http://www.twitter.com/NathanBLawrence/status/996957926756683776", "996957926756683776")</f>
        <v/>
      </c>
      <c r="B839" s="2" t="n">
        <v>43237.15122685185</v>
      </c>
      <c r="C839" t="n">
        <v>0</v>
      </c>
      <c r="D839" t="n">
        <v>16</v>
      </c>
      <c r="E839" t="s">
        <v>838</v>
      </c>
      <c r="F839" t="s"/>
      <c r="G839" t="s"/>
      <c r="H839" t="s"/>
      <c r="I839" t="s"/>
      <c r="J839" t="n">
        <v>-0.3182</v>
      </c>
      <c r="K839" t="n">
        <v>0.119</v>
      </c>
      <c r="L839" t="n">
        <v>0.881</v>
      </c>
      <c r="M839" t="n">
        <v>0</v>
      </c>
    </row>
    <row r="840" spans="1:13">
      <c r="A840" s="1">
        <f>HYPERLINK("http://www.twitter.com/NathanBLawrence/status/996957902077399043", "996957902077399043")</f>
        <v/>
      </c>
      <c r="B840" s="2" t="n">
        <v>43237.15116898148</v>
      </c>
      <c r="C840" t="n">
        <v>0</v>
      </c>
      <c r="D840" t="n">
        <v>17</v>
      </c>
      <c r="E840" t="s">
        <v>839</v>
      </c>
      <c r="F840" t="s"/>
      <c r="G840" t="s"/>
      <c r="H840" t="s"/>
      <c r="I840" t="s"/>
      <c r="J840" t="n">
        <v>0</v>
      </c>
      <c r="K840" t="n">
        <v>0</v>
      </c>
      <c r="L840" t="n">
        <v>1</v>
      </c>
      <c r="M840" t="n">
        <v>0</v>
      </c>
    </row>
    <row r="841" spans="1:13">
      <c r="A841" s="1">
        <f>HYPERLINK("http://www.twitter.com/NathanBLawrence/status/996957883211374593", "996957883211374593")</f>
        <v/>
      </c>
      <c r="B841" s="2" t="n">
        <v>43237.15111111111</v>
      </c>
      <c r="C841" t="n">
        <v>0</v>
      </c>
      <c r="D841" t="n">
        <v>15</v>
      </c>
      <c r="E841" t="s">
        <v>840</v>
      </c>
      <c r="F841" t="s"/>
      <c r="G841" t="s"/>
      <c r="H841" t="s"/>
      <c r="I841" t="s"/>
      <c r="J841" t="n">
        <v>-0.0516</v>
      </c>
      <c r="K841" t="n">
        <v>0.081</v>
      </c>
      <c r="L841" t="n">
        <v>0.846</v>
      </c>
      <c r="M841" t="n">
        <v>0.073</v>
      </c>
    </row>
    <row r="842" spans="1:13">
      <c r="A842" s="1">
        <f>HYPERLINK("http://www.twitter.com/NathanBLawrence/status/996957863942721536", "996957863942721536")</f>
        <v/>
      </c>
      <c r="B842" s="2" t="n">
        <v>43237.15106481482</v>
      </c>
      <c r="C842" t="n">
        <v>0</v>
      </c>
      <c r="D842" t="n">
        <v>106</v>
      </c>
      <c r="E842" t="s">
        <v>841</v>
      </c>
      <c r="F842" t="s"/>
      <c r="G842" t="s"/>
      <c r="H842" t="s"/>
      <c r="I842" t="s"/>
      <c r="J842" t="n">
        <v>0.3612</v>
      </c>
      <c r="K842" t="n">
        <v>0</v>
      </c>
      <c r="L842" t="n">
        <v>0.898</v>
      </c>
      <c r="M842" t="n">
        <v>0.102</v>
      </c>
    </row>
    <row r="843" spans="1:13">
      <c r="A843" s="1">
        <f>HYPERLINK("http://www.twitter.com/NathanBLawrence/status/996957775317041152", "996957775317041152")</f>
        <v/>
      </c>
      <c r="B843" s="2" t="n">
        <v>43237.15081018519</v>
      </c>
      <c r="C843" t="n">
        <v>0</v>
      </c>
      <c r="D843" t="n">
        <v>5</v>
      </c>
      <c r="E843" t="s">
        <v>842</v>
      </c>
      <c r="F843" t="s"/>
      <c r="G843" t="s"/>
      <c r="H843" t="s"/>
      <c r="I843" t="s"/>
      <c r="J843" t="n">
        <v>-0.4019</v>
      </c>
      <c r="K843" t="n">
        <v>0.119</v>
      </c>
      <c r="L843" t="n">
        <v>0.881</v>
      </c>
      <c r="M843" t="n">
        <v>0</v>
      </c>
    </row>
    <row r="844" spans="1:13">
      <c r="A844" s="1">
        <f>HYPERLINK("http://www.twitter.com/NathanBLawrence/status/996957491572461569", "996957491572461569")</f>
        <v/>
      </c>
      <c r="B844" s="2" t="n">
        <v>43237.15003472222</v>
      </c>
      <c r="C844" t="n">
        <v>0</v>
      </c>
      <c r="D844" t="n">
        <v>10</v>
      </c>
      <c r="E844" t="s">
        <v>843</v>
      </c>
      <c r="F844" t="s"/>
      <c r="G844" t="s"/>
      <c r="H844" t="s"/>
      <c r="I844" t="s"/>
      <c r="J844" t="n">
        <v>0.4215</v>
      </c>
      <c r="K844" t="n">
        <v>0</v>
      </c>
      <c r="L844" t="n">
        <v>0.833</v>
      </c>
      <c r="M844" t="n">
        <v>0.167</v>
      </c>
    </row>
    <row r="845" spans="1:13">
      <c r="A845" s="1">
        <f>HYPERLINK("http://www.twitter.com/NathanBLawrence/status/996956571140874242", "996956571140874242")</f>
        <v/>
      </c>
      <c r="B845" s="2" t="n">
        <v>43237.14748842592</v>
      </c>
      <c r="C845" t="n">
        <v>0</v>
      </c>
      <c r="D845" t="n">
        <v>10</v>
      </c>
      <c r="E845" t="s">
        <v>844</v>
      </c>
      <c r="F845">
        <f>HYPERLINK("http://pbs.twimg.com/media/DdXgT08V0AA31-A.jpg", "http://pbs.twimg.com/media/DdXgT08V0AA31-A.jpg")</f>
        <v/>
      </c>
      <c r="G845">
        <f>HYPERLINK("http://pbs.twimg.com/media/DdXgT9VVAAAsFa4.jpg", "http://pbs.twimg.com/media/DdXgT9VVAAAsFa4.jpg")</f>
        <v/>
      </c>
      <c r="H845" t="s"/>
      <c r="I845" t="s"/>
      <c r="J845" t="n">
        <v>0.0516</v>
      </c>
      <c r="K845" t="n">
        <v>0.093</v>
      </c>
      <c r="L845" t="n">
        <v>0.806</v>
      </c>
      <c r="M845" t="n">
        <v>0.101</v>
      </c>
    </row>
    <row r="846" spans="1:13">
      <c r="A846" s="1">
        <f>HYPERLINK("http://www.twitter.com/NathanBLawrence/status/996955987549573120", "996955987549573120")</f>
        <v/>
      </c>
      <c r="B846" s="2" t="n">
        <v>43237.14587962963</v>
      </c>
      <c r="C846" t="n">
        <v>7</v>
      </c>
      <c r="D846" t="n">
        <v>5</v>
      </c>
      <c r="E846" t="s">
        <v>845</v>
      </c>
      <c r="F846">
        <f>HYPERLINK("http://pbs.twimg.com/media/DdXmLVPVQAAvBqe.jpg", "http://pbs.twimg.com/media/DdXmLVPVQAAvBqe.jpg")</f>
        <v/>
      </c>
      <c r="G846" t="s"/>
      <c r="H846" t="s"/>
      <c r="I846" t="s"/>
      <c r="J846" t="n">
        <v>0</v>
      </c>
      <c r="K846" t="n">
        <v>0</v>
      </c>
      <c r="L846" t="n">
        <v>1</v>
      </c>
      <c r="M846" t="n">
        <v>0</v>
      </c>
    </row>
    <row r="847" spans="1:13">
      <c r="A847" s="1">
        <f>HYPERLINK("http://www.twitter.com/NathanBLawrence/status/996951151743586305", "996951151743586305")</f>
        <v/>
      </c>
      <c r="B847" s="2" t="n">
        <v>43237.13253472222</v>
      </c>
      <c r="C847" t="n">
        <v>0</v>
      </c>
      <c r="D847" t="n">
        <v>0</v>
      </c>
      <c r="E847" t="s">
        <v>846</v>
      </c>
      <c r="F847" t="s"/>
      <c r="G847" t="s"/>
      <c r="H847" t="s"/>
      <c r="I847" t="s"/>
      <c r="J847" t="n">
        <v>0</v>
      </c>
      <c r="K847" t="n">
        <v>0</v>
      </c>
      <c r="L847" t="n">
        <v>1</v>
      </c>
      <c r="M847" t="n">
        <v>0</v>
      </c>
    </row>
    <row r="848" spans="1:13">
      <c r="A848" s="1">
        <f>HYPERLINK("http://www.twitter.com/NathanBLawrence/status/996950336056242176", "996950336056242176")</f>
        <v/>
      </c>
      <c r="B848" s="2" t="n">
        <v>43237.13028935185</v>
      </c>
      <c r="C848" t="n">
        <v>10</v>
      </c>
      <c r="D848" t="n">
        <v>3</v>
      </c>
      <c r="E848" t="s">
        <v>847</v>
      </c>
      <c r="F848" t="s"/>
      <c r="G848" t="s"/>
      <c r="H848" t="s"/>
      <c r="I848" t="s"/>
      <c r="J848" t="n">
        <v>0</v>
      </c>
      <c r="K848" t="n">
        <v>0</v>
      </c>
      <c r="L848" t="n">
        <v>1</v>
      </c>
      <c r="M848" t="n">
        <v>0</v>
      </c>
    </row>
    <row r="849" spans="1:13">
      <c r="A849" s="1">
        <f>HYPERLINK("http://www.twitter.com/NathanBLawrence/status/996949530397544449", "996949530397544449")</f>
        <v/>
      </c>
      <c r="B849" s="2" t="n">
        <v>43237.12806712963</v>
      </c>
      <c r="C849" t="n">
        <v>11</v>
      </c>
      <c r="D849" t="n">
        <v>10</v>
      </c>
      <c r="E849" t="s">
        <v>848</v>
      </c>
      <c r="F849">
        <f>HYPERLINK("http://pbs.twimg.com/media/DdXgT08V0AA31-A.jpg", "http://pbs.twimg.com/media/DdXgT08V0AA31-A.jpg")</f>
        <v/>
      </c>
      <c r="G849">
        <f>HYPERLINK("http://pbs.twimg.com/media/DdXgT9VVAAAsFa4.jpg", "http://pbs.twimg.com/media/DdXgT9VVAAAsFa4.jpg")</f>
        <v/>
      </c>
      <c r="H849" t="s"/>
      <c r="I849" t="s"/>
      <c r="J849" t="n">
        <v>-0.6597</v>
      </c>
      <c r="K849" t="n">
        <v>0.163</v>
      </c>
      <c r="L849" t="n">
        <v>0.785</v>
      </c>
      <c r="M849" t="n">
        <v>0.052</v>
      </c>
    </row>
    <row r="850" spans="1:13">
      <c r="A850" s="1">
        <f>HYPERLINK("http://www.twitter.com/NathanBLawrence/status/996916544067244032", "996916544067244032")</f>
        <v/>
      </c>
      <c r="B850" s="2" t="n">
        <v>43237.03703703704</v>
      </c>
      <c r="C850" t="n">
        <v>0</v>
      </c>
      <c r="D850" t="n">
        <v>7</v>
      </c>
      <c r="E850" t="s">
        <v>849</v>
      </c>
      <c r="F850">
        <f>HYPERLINK("http://pbs.twimg.com/media/DdWsfPGVAAIP_iS.jpg", "http://pbs.twimg.com/media/DdWsfPGVAAIP_iS.jpg")</f>
        <v/>
      </c>
      <c r="G850" t="s"/>
      <c r="H850" t="s"/>
      <c r="I850" t="s"/>
      <c r="J850" t="n">
        <v>0.1406</v>
      </c>
      <c r="K850" t="n">
        <v>0</v>
      </c>
      <c r="L850" t="n">
        <v>0.921</v>
      </c>
      <c r="M850" t="n">
        <v>0.079</v>
      </c>
    </row>
    <row r="851" spans="1:13">
      <c r="A851" s="1">
        <f>HYPERLINK("http://www.twitter.com/NathanBLawrence/status/996916361887735810", "996916361887735810")</f>
        <v/>
      </c>
      <c r="B851" s="2" t="n">
        <v>43237.03653935185</v>
      </c>
      <c r="C851" t="n">
        <v>0</v>
      </c>
      <c r="D851" t="n">
        <v>0</v>
      </c>
      <c r="E851" t="s">
        <v>850</v>
      </c>
      <c r="F851" t="s"/>
      <c r="G851" t="s"/>
      <c r="H851" t="s"/>
      <c r="I851" t="s"/>
      <c r="J851" t="n">
        <v>-0.1779</v>
      </c>
      <c r="K851" t="n">
        <v>0.153</v>
      </c>
      <c r="L851" t="n">
        <v>0.847</v>
      </c>
      <c r="M851" t="n">
        <v>0</v>
      </c>
    </row>
    <row r="852" spans="1:13">
      <c r="A852" s="1">
        <f>HYPERLINK("http://www.twitter.com/NathanBLawrence/status/996829106498088962", "996829106498088962")</f>
        <v/>
      </c>
      <c r="B852" s="2" t="n">
        <v>43236.79575231481</v>
      </c>
      <c r="C852" t="n">
        <v>0</v>
      </c>
      <c r="D852" t="n">
        <v>73</v>
      </c>
      <c r="E852" t="s">
        <v>851</v>
      </c>
      <c r="F852">
        <f>HYPERLINK("http://pbs.twimg.com/media/DdSozZ2V4AAqnMm.jpg", "http://pbs.twimg.com/media/DdSozZ2V4AAqnMm.jpg")</f>
        <v/>
      </c>
      <c r="G852">
        <f>HYPERLINK("http://pbs.twimg.com/media/DdSozcIVwAAnPgy.jpg", "http://pbs.twimg.com/media/DdSozcIVwAAnPgy.jpg")</f>
        <v/>
      </c>
      <c r="H852" t="s"/>
      <c r="I852" t="s"/>
      <c r="J852" t="n">
        <v>0</v>
      </c>
      <c r="K852" t="n">
        <v>0</v>
      </c>
      <c r="L852" t="n">
        <v>1</v>
      </c>
      <c r="M852" t="n">
        <v>0</v>
      </c>
    </row>
    <row r="853" spans="1:13">
      <c r="A853" s="1">
        <f>HYPERLINK("http://www.twitter.com/NathanBLawrence/status/996829083681148928", "996829083681148928")</f>
        <v/>
      </c>
      <c r="B853" s="2" t="n">
        <v>43236.79569444444</v>
      </c>
      <c r="C853" t="n">
        <v>0</v>
      </c>
      <c r="D853" t="n">
        <v>1</v>
      </c>
      <c r="E853" t="s">
        <v>852</v>
      </c>
      <c r="F853" t="s"/>
      <c r="G853" t="s"/>
      <c r="H853" t="s"/>
      <c r="I853" t="s"/>
      <c r="J853" t="n">
        <v>-0.5106000000000001</v>
      </c>
      <c r="K853" t="n">
        <v>0.181</v>
      </c>
      <c r="L853" t="n">
        <v>0.754</v>
      </c>
      <c r="M853" t="n">
        <v>0.065</v>
      </c>
    </row>
    <row r="854" spans="1:13">
      <c r="A854" s="1">
        <f>HYPERLINK("http://www.twitter.com/NathanBLawrence/status/996607175362514944", "996607175362514944")</f>
        <v/>
      </c>
      <c r="B854" s="2" t="n">
        <v>43236.1833449074</v>
      </c>
      <c r="C854" t="n">
        <v>0</v>
      </c>
      <c r="D854" t="n">
        <v>3630</v>
      </c>
      <c r="E854" t="s">
        <v>853</v>
      </c>
      <c r="F854" t="s"/>
      <c r="G854" t="s"/>
      <c r="H854" t="s"/>
      <c r="I854" t="s"/>
      <c r="J854" t="n">
        <v>-0.4939</v>
      </c>
      <c r="K854" t="n">
        <v>0.234</v>
      </c>
      <c r="L854" t="n">
        <v>0.647</v>
      </c>
      <c r="M854" t="n">
        <v>0.119</v>
      </c>
    </row>
    <row r="855" spans="1:13">
      <c r="A855" s="1">
        <f>HYPERLINK("http://www.twitter.com/NathanBLawrence/status/996607013256916993", "996607013256916993")</f>
        <v/>
      </c>
      <c r="B855" s="2" t="n">
        <v>43236.18289351852</v>
      </c>
      <c r="C855" t="n">
        <v>0</v>
      </c>
      <c r="D855" t="n">
        <v>6674</v>
      </c>
      <c r="E855" t="s">
        <v>854</v>
      </c>
      <c r="F855" t="s"/>
      <c r="G855" t="s"/>
      <c r="H855" t="s"/>
      <c r="I855" t="s"/>
      <c r="J855" t="n">
        <v>-0.8074</v>
      </c>
      <c r="K855" t="n">
        <v>0.328</v>
      </c>
      <c r="L855" t="n">
        <v>0.672</v>
      </c>
      <c r="M855" t="n">
        <v>0</v>
      </c>
    </row>
    <row r="856" spans="1:13">
      <c r="A856" s="1">
        <f>HYPERLINK("http://www.twitter.com/NathanBLawrence/status/996606999558270976", "996606999558270976")</f>
        <v/>
      </c>
      <c r="B856" s="2" t="n">
        <v>43236.1828587963</v>
      </c>
      <c r="C856" t="n">
        <v>0</v>
      </c>
      <c r="D856" t="n">
        <v>14</v>
      </c>
      <c r="E856" t="s">
        <v>855</v>
      </c>
      <c r="F856">
        <f>HYPERLINK("http://pbs.twimg.com/media/DdQsAyUWkAAqSEy.jpg", "http://pbs.twimg.com/media/DdQsAyUWkAAqSEy.jpg")</f>
        <v/>
      </c>
      <c r="G856" t="s"/>
      <c r="H856" t="s"/>
      <c r="I856" t="s"/>
      <c r="J856" t="n">
        <v>0.4149</v>
      </c>
      <c r="K856" t="n">
        <v>0.051</v>
      </c>
      <c r="L856" t="n">
        <v>0.798</v>
      </c>
      <c r="M856" t="n">
        <v>0.151</v>
      </c>
    </row>
    <row r="857" spans="1:13">
      <c r="A857" s="1">
        <f>HYPERLINK("http://www.twitter.com/NathanBLawrence/status/996606945082662913", "996606945082662913")</f>
        <v/>
      </c>
      <c r="B857" s="2" t="n">
        <v>43236.18270833333</v>
      </c>
      <c r="C857" t="n">
        <v>0</v>
      </c>
      <c r="D857" t="n">
        <v>2970</v>
      </c>
      <c r="E857" t="s">
        <v>856</v>
      </c>
      <c r="F857" t="s"/>
      <c r="G857" t="s"/>
      <c r="H857" t="s"/>
      <c r="I857" t="s"/>
      <c r="J857" t="n">
        <v>-0.4588</v>
      </c>
      <c r="K857" t="n">
        <v>0.125</v>
      </c>
      <c r="L857" t="n">
        <v>0.875</v>
      </c>
      <c r="M857" t="n">
        <v>0</v>
      </c>
    </row>
    <row r="858" spans="1:13">
      <c r="A858" s="1">
        <f>HYPERLINK("http://www.twitter.com/NathanBLawrence/status/996606808503586818", "996606808503586818")</f>
        <v/>
      </c>
      <c r="B858" s="2" t="n">
        <v>43236.18232638889</v>
      </c>
      <c r="C858" t="n">
        <v>0</v>
      </c>
      <c r="D858" t="n">
        <v>3142</v>
      </c>
      <c r="E858" t="s">
        <v>857</v>
      </c>
      <c r="F858" t="s"/>
      <c r="G858" t="s"/>
      <c r="H858" t="s"/>
      <c r="I858" t="s"/>
      <c r="J858" t="n">
        <v>0.4939</v>
      </c>
      <c r="K858" t="n">
        <v>0</v>
      </c>
      <c r="L858" t="n">
        <v>0.862</v>
      </c>
      <c r="M858" t="n">
        <v>0.138</v>
      </c>
    </row>
    <row r="859" spans="1:13">
      <c r="A859" s="1">
        <f>HYPERLINK("http://www.twitter.com/NathanBLawrence/status/996606436842135553", "996606436842135553")</f>
        <v/>
      </c>
      <c r="B859" s="2" t="n">
        <v>43236.18130787037</v>
      </c>
      <c r="C859" t="n">
        <v>0</v>
      </c>
      <c r="D859" t="n">
        <v>0</v>
      </c>
      <c r="E859" t="s">
        <v>858</v>
      </c>
      <c r="F859" t="s"/>
      <c r="G859" t="s"/>
      <c r="H859" t="s"/>
      <c r="I859" t="s"/>
      <c r="J859" t="n">
        <v>0.5859</v>
      </c>
      <c r="K859" t="n">
        <v>0</v>
      </c>
      <c r="L859" t="n">
        <v>0.84</v>
      </c>
      <c r="M859" t="n">
        <v>0.16</v>
      </c>
    </row>
    <row r="860" spans="1:13">
      <c r="A860" s="1">
        <f>HYPERLINK("http://www.twitter.com/NathanBLawrence/status/996606197200547840", "996606197200547840")</f>
        <v/>
      </c>
      <c r="B860" s="2" t="n">
        <v>43236.18064814815</v>
      </c>
      <c r="C860" t="n">
        <v>0</v>
      </c>
      <c r="D860" t="n">
        <v>20</v>
      </c>
      <c r="E860" t="s">
        <v>859</v>
      </c>
      <c r="F860">
        <f>HYPERLINK("http://pbs.twimg.com/media/DdPVGVJW0AUY99u.jpg", "http://pbs.twimg.com/media/DdPVGVJW0AUY99u.jpg")</f>
        <v/>
      </c>
      <c r="G860" t="s"/>
      <c r="H860" t="s"/>
      <c r="I860" t="s"/>
      <c r="J860" t="n">
        <v>-0.2732</v>
      </c>
      <c r="K860" t="n">
        <v>0.26</v>
      </c>
      <c r="L860" t="n">
        <v>0.554</v>
      </c>
      <c r="M860" t="n">
        <v>0.187</v>
      </c>
    </row>
    <row r="861" spans="1:13">
      <c r="A861" s="1">
        <f>HYPERLINK("http://www.twitter.com/NathanBLawrence/status/996606181799014401", "996606181799014401")</f>
        <v/>
      </c>
      <c r="B861" s="2" t="n">
        <v>43236.18060185185</v>
      </c>
      <c r="C861" t="n">
        <v>0</v>
      </c>
      <c r="D861" t="n">
        <v>2012</v>
      </c>
      <c r="E861" t="s">
        <v>860</v>
      </c>
      <c r="F861" t="s"/>
      <c r="G861" t="s"/>
      <c r="H861" t="s"/>
      <c r="I861" t="s"/>
      <c r="J861" t="n">
        <v>-0.3818</v>
      </c>
      <c r="K861" t="n">
        <v>0.11</v>
      </c>
      <c r="L861" t="n">
        <v>0.89</v>
      </c>
      <c r="M861" t="n">
        <v>0</v>
      </c>
    </row>
    <row r="862" spans="1:13">
      <c r="A862" s="1">
        <f>HYPERLINK("http://www.twitter.com/NathanBLawrence/status/996606110768476160", "996606110768476160")</f>
        <v/>
      </c>
      <c r="B862" s="2" t="n">
        <v>43236.18040509259</v>
      </c>
      <c r="C862" t="n">
        <v>0</v>
      </c>
      <c r="D862" t="n">
        <v>6</v>
      </c>
      <c r="E862" t="s">
        <v>861</v>
      </c>
      <c r="F862" t="s"/>
      <c r="G862" t="s"/>
      <c r="H862" t="s"/>
      <c r="I862" t="s"/>
      <c r="J862" t="n">
        <v>0.2732</v>
      </c>
      <c r="K862" t="n">
        <v>0</v>
      </c>
      <c r="L862" t="n">
        <v>0.884</v>
      </c>
      <c r="M862" t="n">
        <v>0.116</v>
      </c>
    </row>
    <row r="863" spans="1:13">
      <c r="A863" s="1">
        <f>HYPERLINK("http://www.twitter.com/NathanBLawrence/status/996485591645741061", "996485591645741061")</f>
        <v/>
      </c>
      <c r="B863" s="2" t="n">
        <v>43235.84783564815</v>
      </c>
      <c r="C863" t="n">
        <v>0</v>
      </c>
      <c r="D863" t="n">
        <v>4</v>
      </c>
      <c r="E863" t="s">
        <v>862</v>
      </c>
      <c r="F863" t="s"/>
      <c r="G863" t="s"/>
      <c r="H863" t="s"/>
      <c r="I863" t="s"/>
      <c r="J863" t="n">
        <v>0</v>
      </c>
      <c r="K863" t="n">
        <v>0</v>
      </c>
      <c r="L863" t="n">
        <v>1</v>
      </c>
      <c r="M863" t="n">
        <v>0</v>
      </c>
    </row>
    <row r="864" spans="1:13">
      <c r="A864" s="1">
        <f>HYPERLINK("http://www.twitter.com/NathanBLawrence/status/996485574465900544", "996485574465900544")</f>
        <v/>
      </c>
      <c r="B864" s="2" t="n">
        <v>43235.84778935185</v>
      </c>
      <c r="C864" t="n">
        <v>0</v>
      </c>
      <c r="D864" t="n">
        <v>2</v>
      </c>
      <c r="E864" t="s">
        <v>863</v>
      </c>
      <c r="F864" t="s"/>
      <c r="G864" t="s"/>
      <c r="H864" t="s"/>
      <c r="I864" t="s"/>
      <c r="J864" t="n">
        <v>0</v>
      </c>
      <c r="K864" t="n">
        <v>0</v>
      </c>
      <c r="L864" t="n">
        <v>1</v>
      </c>
      <c r="M864" t="n">
        <v>0</v>
      </c>
    </row>
    <row r="865" spans="1:13">
      <c r="A865" s="1">
        <f>HYPERLINK("http://www.twitter.com/NathanBLawrence/status/996485442869563393", "996485442869563393")</f>
        <v/>
      </c>
      <c r="B865" s="2" t="n">
        <v>43235.84743055556</v>
      </c>
      <c r="C865" t="n">
        <v>0</v>
      </c>
      <c r="D865" t="n">
        <v>7</v>
      </c>
      <c r="E865" t="s">
        <v>864</v>
      </c>
      <c r="F865" t="s"/>
      <c r="G865" t="s"/>
      <c r="H865" t="s"/>
      <c r="I865" t="s"/>
      <c r="J865" t="n">
        <v>0.7269</v>
      </c>
      <c r="K865" t="n">
        <v>0</v>
      </c>
      <c r="L865" t="n">
        <v>0.756</v>
      </c>
      <c r="M865" t="n">
        <v>0.244</v>
      </c>
    </row>
    <row r="866" spans="1:13">
      <c r="A866" s="1">
        <f>HYPERLINK("http://www.twitter.com/NathanBLawrence/status/996485369079189504", "996485369079189504")</f>
        <v/>
      </c>
      <c r="B866" s="2" t="n">
        <v>43235.84722222222</v>
      </c>
      <c r="C866" t="n">
        <v>1</v>
      </c>
      <c r="D866" t="n">
        <v>0</v>
      </c>
      <c r="E866" t="s">
        <v>865</v>
      </c>
      <c r="F866" t="s"/>
      <c r="G866" t="s"/>
      <c r="H866" t="s"/>
      <c r="I866" t="s"/>
      <c r="J866" t="n">
        <v>0.4215</v>
      </c>
      <c r="K866" t="n">
        <v>0</v>
      </c>
      <c r="L866" t="n">
        <v>0.263</v>
      </c>
      <c r="M866" t="n">
        <v>0.737</v>
      </c>
    </row>
    <row r="867" spans="1:13">
      <c r="A867" s="1">
        <f>HYPERLINK("http://www.twitter.com/NathanBLawrence/status/996485323487105026", "996485323487105026")</f>
        <v/>
      </c>
      <c r="B867" s="2" t="n">
        <v>43235.84709490741</v>
      </c>
      <c r="C867" t="n">
        <v>0</v>
      </c>
      <c r="D867" t="n">
        <v>5</v>
      </c>
      <c r="E867" t="s">
        <v>866</v>
      </c>
      <c r="F867">
        <f>HYPERLINK("http://pbs.twimg.com/media/DdNNmBfWkAIePMt.jpg", "http://pbs.twimg.com/media/DdNNmBfWkAIePMt.jpg")</f>
        <v/>
      </c>
      <c r="G867" t="s"/>
      <c r="H867" t="s"/>
      <c r="I867" t="s"/>
      <c r="J867" t="n">
        <v>-0.4939</v>
      </c>
      <c r="K867" t="n">
        <v>0.167</v>
      </c>
      <c r="L867" t="n">
        <v>0.833</v>
      </c>
      <c r="M867" t="n">
        <v>0</v>
      </c>
    </row>
    <row r="868" spans="1:13">
      <c r="A868" s="1">
        <f>HYPERLINK("http://www.twitter.com/NathanBLawrence/status/996471690413699072", "996471690413699072")</f>
        <v/>
      </c>
      <c r="B868" s="2" t="n">
        <v>43235.80947916667</v>
      </c>
      <c r="C868" t="n">
        <v>0</v>
      </c>
      <c r="D868" t="n">
        <v>4</v>
      </c>
      <c r="E868" t="s">
        <v>867</v>
      </c>
      <c r="F868" t="s"/>
      <c r="G868" t="s"/>
      <c r="H868" t="s"/>
      <c r="I868" t="s"/>
      <c r="J868" t="n">
        <v>0</v>
      </c>
      <c r="K868" t="n">
        <v>0</v>
      </c>
      <c r="L868" t="n">
        <v>1</v>
      </c>
      <c r="M868" t="n">
        <v>0</v>
      </c>
    </row>
    <row r="869" spans="1:13">
      <c r="A869" s="1">
        <f>HYPERLINK("http://www.twitter.com/NathanBLawrence/status/996394902677262339", "996394902677262339")</f>
        <v/>
      </c>
      <c r="B869" s="2" t="n">
        <v>43235.59758101852</v>
      </c>
      <c r="C869" t="n">
        <v>0</v>
      </c>
      <c r="D869" t="n">
        <v>3</v>
      </c>
      <c r="E869" t="s">
        <v>868</v>
      </c>
      <c r="F869" t="s"/>
      <c r="G869" t="s"/>
      <c r="H869" t="s"/>
      <c r="I869" t="s"/>
      <c r="J869" t="n">
        <v>0.7506</v>
      </c>
      <c r="K869" t="n">
        <v>0</v>
      </c>
      <c r="L869" t="n">
        <v>0.789</v>
      </c>
      <c r="M869" t="n">
        <v>0.211</v>
      </c>
    </row>
    <row r="870" spans="1:13">
      <c r="A870" s="1">
        <f>HYPERLINK("http://www.twitter.com/NathanBLawrence/status/996394869114462209", "996394869114462209")</f>
        <v/>
      </c>
      <c r="B870" s="2" t="n">
        <v>43235.59748842593</v>
      </c>
      <c r="C870" t="n">
        <v>0</v>
      </c>
      <c r="D870" t="n">
        <v>13</v>
      </c>
      <c r="E870" t="s">
        <v>869</v>
      </c>
      <c r="F870">
        <f>HYPERLINK("http://pbs.twimg.com/media/DdPkGvmW4AUceFf.jpg", "http://pbs.twimg.com/media/DdPkGvmW4AUceFf.jpg")</f>
        <v/>
      </c>
      <c r="G870" t="s"/>
      <c r="H870" t="s"/>
      <c r="I870" t="s"/>
      <c r="J870" t="n">
        <v>-0.1027</v>
      </c>
      <c r="K870" t="n">
        <v>0.055</v>
      </c>
      <c r="L870" t="n">
        <v>0.945</v>
      </c>
      <c r="M870" t="n">
        <v>0</v>
      </c>
    </row>
    <row r="871" spans="1:13">
      <c r="A871" s="1">
        <f>HYPERLINK("http://www.twitter.com/NathanBLawrence/status/996394853859823616", "996394853859823616")</f>
        <v/>
      </c>
      <c r="B871" s="2" t="n">
        <v>43235.59744212963</v>
      </c>
      <c r="C871" t="n">
        <v>0</v>
      </c>
      <c r="D871" t="n">
        <v>12</v>
      </c>
      <c r="E871" t="s">
        <v>870</v>
      </c>
      <c r="F871">
        <f>HYPERLINK("http://pbs.twimg.com/media/DdPla3WXkAAPWcQ.jpg", "http://pbs.twimg.com/media/DdPla3WXkAAPWcQ.jpg")</f>
        <v/>
      </c>
      <c r="G871" t="s"/>
      <c r="H871" t="s"/>
      <c r="I871" t="s"/>
      <c r="J871" t="n">
        <v>-0.1027</v>
      </c>
      <c r="K871" t="n">
        <v>0.057</v>
      </c>
      <c r="L871" t="n">
        <v>0.9429999999999999</v>
      </c>
      <c r="M871" t="n">
        <v>0</v>
      </c>
    </row>
    <row r="872" spans="1:13">
      <c r="A872" s="1">
        <f>HYPERLINK("http://www.twitter.com/NathanBLawrence/status/996367178327879682", "996367178327879682")</f>
        <v/>
      </c>
      <c r="B872" s="2" t="n">
        <v>43235.52107638889</v>
      </c>
      <c r="C872" t="n">
        <v>0</v>
      </c>
      <c r="D872" t="n">
        <v>7</v>
      </c>
      <c r="E872" t="s">
        <v>871</v>
      </c>
      <c r="F872" t="s"/>
      <c r="G872" t="s"/>
      <c r="H872" t="s"/>
      <c r="I872" t="s"/>
      <c r="J872" t="n">
        <v>0.0772</v>
      </c>
      <c r="K872" t="n">
        <v>0</v>
      </c>
      <c r="L872" t="n">
        <v>0.947</v>
      </c>
      <c r="M872" t="n">
        <v>0.053</v>
      </c>
    </row>
    <row r="873" spans="1:13">
      <c r="A873" s="1">
        <f>HYPERLINK("http://www.twitter.com/NathanBLawrence/status/996367091803541504", "996367091803541504")</f>
        <v/>
      </c>
      <c r="B873" s="2" t="n">
        <v>43235.52083333334</v>
      </c>
      <c r="C873" t="n">
        <v>0</v>
      </c>
      <c r="D873" t="n">
        <v>0</v>
      </c>
      <c r="E873" t="s">
        <v>872</v>
      </c>
      <c r="F873" t="s"/>
      <c r="G873" t="s"/>
      <c r="H873" t="s"/>
      <c r="I873" t="s"/>
      <c r="J873" t="n">
        <v>0</v>
      </c>
      <c r="K873" t="n">
        <v>0</v>
      </c>
      <c r="L873" t="n">
        <v>1</v>
      </c>
      <c r="M873" t="n">
        <v>0</v>
      </c>
    </row>
    <row r="874" spans="1:13">
      <c r="A874" s="1">
        <f>HYPERLINK("http://www.twitter.com/NathanBLawrence/status/996366848538095616", "996366848538095616")</f>
        <v/>
      </c>
      <c r="B874" s="2" t="n">
        <v>43235.52016203704</v>
      </c>
      <c r="C874" t="n">
        <v>0</v>
      </c>
      <c r="D874" t="n">
        <v>0</v>
      </c>
      <c r="E874" t="s">
        <v>873</v>
      </c>
      <c r="F874" t="s"/>
      <c r="G874" t="s"/>
      <c r="H874" t="s"/>
      <c r="I874" t="s"/>
      <c r="J874" t="n">
        <v>0.4215</v>
      </c>
      <c r="K874" t="n">
        <v>0</v>
      </c>
      <c r="L874" t="n">
        <v>0.6820000000000001</v>
      </c>
      <c r="M874" t="n">
        <v>0.318</v>
      </c>
    </row>
    <row r="875" spans="1:13">
      <c r="A875" s="1">
        <f>HYPERLINK("http://www.twitter.com/NathanBLawrence/status/996321070520197121", "996321070520197121")</f>
        <v/>
      </c>
      <c r="B875" s="2" t="n">
        <v>43235.3938425926</v>
      </c>
      <c r="C875" t="n">
        <v>0</v>
      </c>
      <c r="D875" t="n">
        <v>126</v>
      </c>
      <c r="E875" t="s">
        <v>874</v>
      </c>
      <c r="F875" t="s"/>
      <c r="G875" t="s"/>
      <c r="H875" t="s"/>
      <c r="I875" t="s"/>
      <c r="J875" t="n">
        <v>0</v>
      </c>
      <c r="K875" t="n">
        <v>0</v>
      </c>
      <c r="L875" t="n">
        <v>1</v>
      </c>
      <c r="M875" t="n">
        <v>0</v>
      </c>
    </row>
    <row r="876" spans="1:13">
      <c r="A876" s="1">
        <f>HYPERLINK("http://www.twitter.com/NathanBLawrence/status/996320531363352577", "996320531363352577")</f>
        <v/>
      </c>
      <c r="B876" s="2" t="n">
        <v>43235.39236111111</v>
      </c>
      <c r="C876" t="n">
        <v>0</v>
      </c>
      <c r="D876" t="n">
        <v>6</v>
      </c>
      <c r="E876" t="s">
        <v>875</v>
      </c>
      <c r="F876" t="s"/>
      <c r="G876" t="s"/>
      <c r="H876" t="s"/>
      <c r="I876" t="s"/>
      <c r="J876" t="n">
        <v>-0.0258</v>
      </c>
      <c r="K876" t="n">
        <v>0.068</v>
      </c>
      <c r="L876" t="n">
        <v>0.87</v>
      </c>
      <c r="M876" t="n">
        <v>0.063</v>
      </c>
    </row>
    <row r="877" spans="1:13">
      <c r="A877" s="1">
        <f>HYPERLINK("http://www.twitter.com/NathanBLawrence/status/996320315943858176", "996320315943858176")</f>
        <v/>
      </c>
      <c r="B877" s="2" t="n">
        <v>43235.39175925926</v>
      </c>
      <c r="C877" t="n">
        <v>0</v>
      </c>
      <c r="D877" t="n">
        <v>2</v>
      </c>
      <c r="E877" t="s">
        <v>876</v>
      </c>
      <c r="F877" t="s"/>
      <c r="G877" t="s"/>
      <c r="H877" t="s"/>
      <c r="I877" t="s"/>
      <c r="J877" t="n">
        <v>-0.7003</v>
      </c>
      <c r="K877" t="n">
        <v>0.312</v>
      </c>
      <c r="L877" t="n">
        <v>0.6879999999999999</v>
      </c>
      <c r="M877" t="n">
        <v>0</v>
      </c>
    </row>
    <row r="878" spans="1:13">
      <c r="A878" s="1">
        <f>HYPERLINK("http://www.twitter.com/NathanBLawrence/status/996317619954348032", "996317619954348032")</f>
        <v/>
      </c>
      <c r="B878" s="2" t="n">
        <v>43235.38431712963</v>
      </c>
      <c r="C878" t="n">
        <v>0</v>
      </c>
      <c r="D878" t="n">
        <v>0</v>
      </c>
      <c r="E878" t="s">
        <v>877</v>
      </c>
      <c r="F878" t="s"/>
      <c r="G878" t="s"/>
      <c r="H878" t="s"/>
      <c r="I878" t="s"/>
      <c r="J878" t="n">
        <v>-0.3252</v>
      </c>
      <c r="K878" t="n">
        <v>0.175</v>
      </c>
      <c r="L878" t="n">
        <v>0.825</v>
      </c>
      <c r="M878" t="n">
        <v>0</v>
      </c>
    </row>
    <row r="879" spans="1:13">
      <c r="A879" s="1">
        <f>HYPERLINK("http://www.twitter.com/NathanBLawrence/status/996317478069338112", "996317478069338112")</f>
        <v/>
      </c>
      <c r="B879" s="2" t="n">
        <v>43235.38393518519</v>
      </c>
      <c r="C879" t="n">
        <v>0</v>
      </c>
      <c r="D879" t="n">
        <v>0</v>
      </c>
      <c r="E879" t="s">
        <v>878</v>
      </c>
      <c r="F879" t="s"/>
      <c r="G879" t="s"/>
      <c r="H879" t="s"/>
      <c r="I879" t="s"/>
      <c r="J879" t="n">
        <v>0</v>
      </c>
      <c r="K879" t="n">
        <v>0</v>
      </c>
      <c r="L879" t="n">
        <v>1</v>
      </c>
      <c r="M879" t="n">
        <v>0</v>
      </c>
    </row>
    <row r="880" spans="1:13">
      <c r="A880" s="1">
        <f>HYPERLINK("http://www.twitter.com/NathanBLawrence/status/996317435874693120", "996317435874693120")</f>
        <v/>
      </c>
      <c r="B880" s="2" t="n">
        <v>43235.38381944445</v>
      </c>
      <c r="C880" t="n">
        <v>0</v>
      </c>
      <c r="D880" t="n">
        <v>2</v>
      </c>
      <c r="E880" t="s">
        <v>879</v>
      </c>
      <c r="F880" t="s"/>
      <c r="G880" t="s"/>
      <c r="H880" t="s"/>
      <c r="I880" t="s"/>
      <c r="J880" t="n">
        <v>0</v>
      </c>
      <c r="K880" t="n">
        <v>0</v>
      </c>
      <c r="L880" t="n">
        <v>1</v>
      </c>
      <c r="M880" t="n">
        <v>0</v>
      </c>
    </row>
    <row r="881" spans="1:13">
      <c r="A881" s="1">
        <f>HYPERLINK("http://www.twitter.com/NathanBLawrence/status/996317065429610496", "996317065429610496")</f>
        <v/>
      </c>
      <c r="B881" s="2" t="n">
        <v>43235.38278935185</v>
      </c>
      <c r="C881" t="n">
        <v>0</v>
      </c>
      <c r="D881" t="n">
        <v>52</v>
      </c>
      <c r="E881" t="s">
        <v>880</v>
      </c>
      <c r="F881" t="s"/>
      <c r="G881" t="s"/>
      <c r="H881" t="s"/>
      <c r="I881" t="s"/>
      <c r="J881" t="n">
        <v>-0.7003</v>
      </c>
      <c r="K881" t="n">
        <v>0.286</v>
      </c>
      <c r="L881" t="n">
        <v>0.714</v>
      </c>
      <c r="M881" t="n">
        <v>0</v>
      </c>
    </row>
    <row r="882" spans="1:13">
      <c r="A882" s="1">
        <f>HYPERLINK("http://www.twitter.com/NathanBLawrence/status/996316955933118464", "996316955933118464")</f>
        <v/>
      </c>
      <c r="B882" s="2" t="n">
        <v>43235.38248842592</v>
      </c>
      <c r="C882" t="n">
        <v>0</v>
      </c>
      <c r="D882" t="n">
        <v>35</v>
      </c>
      <c r="E882" t="s">
        <v>881</v>
      </c>
      <c r="F882" t="s"/>
      <c r="G882" t="s"/>
      <c r="H882" t="s"/>
      <c r="I882" t="s"/>
      <c r="J882" t="n">
        <v>-0.25</v>
      </c>
      <c r="K882" t="n">
        <v>0.178</v>
      </c>
      <c r="L882" t="n">
        <v>0.72</v>
      </c>
      <c r="M882" t="n">
        <v>0.102</v>
      </c>
    </row>
    <row r="883" spans="1:13">
      <c r="A883" s="1">
        <f>HYPERLINK("http://www.twitter.com/NathanBLawrence/status/996308153171144704", "996308153171144704")</f>
        <v/>
      </c>
      <c r="B883" s="2" t="n">
        <v>43235.35819444444</v>
      </c>
      <c r="C883" t="n">
        <v>0</v>
      </c>
      <c r="D883" t="n">
        <v>238</v>
      </c>
      <c r="E883" t="s">
        <v>882</v>
      </c>
      <c r="F883">
        <f>HYPERLINK("http://pbs.twimg.com/media/DdM0i-NW0AAYGQg.jpg", "http://pbs.twimg.com/media/DdM0i-NW0AAYGQg.jpg")</f>
        <v/>
      </c>
      <c r="G883" t="s"/>
      <c r="H883" t="s"/>
      <c r="I883" t="s"/>
      <c r="J883" t="n">
        <v>0</v>
      </c>
      <c r="K883" t="n">
        <v>0</v>
      </c>
      <c r="L883" t="n">
        <v>1</v>
      </c>
      <c r="M883" t="n">
        <v>0</v>
      </c>
    </row>
    <row r="884" spans="1:13">
      <c r="A884" s="1">
        <f>HYPERLINK("http://www.twitter.com/NathanBLawrence/status/996307997352742917", "996307997352742917")</f>
        <v/>
      </c>
      <c r="B884" s="2" t="n">
        <v>43235.35776620371</v>
      </c>
      <c r="C884" t="n">
        <v>0</v>
      </c>
      <c r="D884" t="n">
        <v>351</v>
      </c>
      <c r="E884" t="s">
        <v>883</v>
      </c>
      <c r="F884" t="s"/>
      <c r="G884" t="s"/>
      <c r="H884" t="s"/>
      <c r="I884" t="s"/>
      <c r="J884" t="n">
        <v>0.6369</v>
      </c>
      <c r="K884" t="n">
        <v>0</v>
      </c>
      <c r="L884" t="n">
        <v>0.819</v>
      </c>
      <c r="M884" t="n">
        <v>0.181</v>
      </c>
    </row>
    <row r="885" spans="1:13">
      <c r="A885" s="1">
        <f>HYPERLINK("http://www.twitter.com/NathanBLawrence/status/996307911004606464", "996307911004606464")</f>
        <v/>
      </c>
      <c r="B885" s="2" t="n">
        <v>43235.35753472222</v>
      </c>
      <c r="C885" t="n">
        <v>0</v>
      </c>
      <c r="D885" t="n">
        <v>922</v>
      </c>
      <c r="E885" t="s">
        <v>884</v>
      </c>
      <c r="F885">
        <f>HYPERLINK("https://video.twimg.com/amplify_video/996210700073783298/vid/1280x720/FKgXLiJ6wnY2ldr-.mp4?tag=2", "https://video.twimg.com/amplify_video/996210700073783298/vid/1280x720/FKgXLiJ6wnY2ldr-.mp4?tag=2")</f>
        <v/>
      </c>
      <c r="G885" t="s"/>
      <c r="H885" t="s"/>
      <c r="I885" t="s"/>
      <c r="J885" t="n">
        <v>0.8225</v>
      </c>
      <c r="K885" t="n">
        <v>0</v>
      </c>
      <c r="L885" t="n">
        <v>0.6879999999999999</v>
      </c>
      <c r="M885" t="n">
        <v>0.312</v>
      </c>
    </row>
    <row r="886" spans="1:13">
      <c r="A886" s="1">
        <f>HYPERLINK("http://www.twitter.com/NathanBLawrence/status/996307785607413760", "996307785607413760")</f>
        <v/>
      </c>
      <c r="B886" s="2" t="n">
        <v>43235.3571875</v>
      </c>
      <c r="C886" t="n">
        <v>0</v>
      </c>
      <c r="D886" t="n">
        <v>8</v>
      </c>
      <c r="E886" t="s">
        <v>885</v>
      </c>
      <c r="F886" t="s"/>
      <c r="G886" t="s"/>
      <c r="H886" t="s"/>
      <c r="I886" t="s"/>
      <c r="J886" t="n">
        <v>0.6369</v>
      </c>
      <c r="K886" t="n">
        <v>0</v>
      </c>
      <c r="L886" t="n">
        <v>0.776</v>
      </c>
      <c r="M886" t="n">
        <v>0.224</v>
      </c>
    </row>
    <row r="887" spans="1:13">
      <c r="A887" s="1">
        <f>HYPERLINK("http://www.twitter.com/NathanBLawrence/status/996307665440690177", "996307665440690177")</f>
        <v/>
      </c>
      <c r="B887" s="2" t="n">
        <v>43235.35685185185</v>
      </c>
      <c r="C887" t="n">
        <v>0</v>
      </c>
      <c r="D887" t="n">
        <v>0</v>
      </c>
      <c r="E887" t="s">
        <v>886</v>
      </c>
      <c r="F887" t="s"/>
      <c r="G887" t="s"/>
      <c r="H887" t="s"/>
      <c r="I887" t="s"/>
      <c r="J887" t="n">
        <v>-0.3939</v>
      </c>
      <c r="K887" t="n">
        <v>0.18</v>
      </c>
      <c r="L887" t="n">
        <v>0.733</v>
      </c>
      <c r="M887" t="n">
        <v>0.08699999999999999</v>
      </c>
    </row>
    <row r="888" spans="1:13">
      <c r="A888" s="1">
        <f>HYPERLINK("http://www.twitter.com/NathanBLawrence/status/996307472850747392", "996307472850747392")</f>
        <v/>
      </c>
      <c r="B888" s="2" t="n">
        <v>43235.35631944444</v>
      </c>
      <c r="C888" t="n">
        <v>0</v>
      </c>
      <c r="D888" t="n">
        <v>170</v>
      </c>
      <c r="E888" t="s">
        <v>887</v>
      </c>
      <c r="F888" t="s"/>
      <c r="G888" t="s"/>
      <c r="H888" t="s"/>
      <c r="I888" t="s"/>
      <c r="J888" t="n">
        <v>0.25</v>
      </c>
      <c r="K888" t="n">
        <v>0.08699999999999999</v>
      </c>
      <c r="L888" t="n">
        <v>0.748</v>
      </c>
      <c r="M888" t="n">
        <v>0.165</v>
      </c>
    </row>
    <row r="889" spans="1:13">
      <c r="A889" s="1">
        <f>HYPERLINK("http://www.twitter.com/NathanBLawrence/status/996307324552859649", "996307324552859649")</f>
        <v/>
      </c>
      <c r="B889" s="2" t="n">
        <v>43235.35591435185</v>
      </c>
      <c r="C889" t="n">
        <v>0</v>
      </c>
      <c r="D889" t="n">
        <v>1974</v>
      </c>
      <c r="E889" t="s">
        <v>888</v>
      </c>
      <c r="F889" t="s"/>
      <c r="G889" t="s"/>
      <c r="H889" t="s"/>
      <c r="I889" t="s"/>
      <c r="J889" t="n">
        <v>-0.3612</v>
      </c>
      <c r="K889" t="n">
        <v>0.111</v>
      </c>
      <c r="L889" t="n">
        <v>0.889</v>
      </c>
      <c r="M889" t="n">
        <v>0</v>
      </c>
    </row>
    <row r="890" spans="1:13">
      <c r="A890" s="1">
        <f>HYPERLINK("http://www.twitter.com/NathanBLawrence/status/996307305422565376", "996307305422565376")</f>
        <v/>
      </c>
      <c r="B890" s="2" t="n">
        <v>43235.35585648148</v>
      </c>
      <c r="C890" t="n">
        <v>0</v>
      </c>
      <c r="D890" t="n">
        <v>15950</v>
      </c>
      <c r="E890" t="s">
        <v>889</v>
      </c>
      <c r="F890" t="s"/>
      <c r="G890" t="s"/>
      <c r="H890" t="s"/>
      <c r="I890" t="s"/>
      <c r="J890" t="n">
        <v>0.6597</v>
      </c>
      <c r="K890" t="n">
        <v>0</v>
      </c>
      <c r="L890" t="n">
        <v>0.769</v>
      </c>
      <c r="M890" t="n">
        <v>0.231</v>
      </c>
    </row>
    <row r="891" spans="1:13">
      <c r="A891" s="1">
        <f>HYPERLINK("http://www.twitter.com/NathanBLawrence/status/996307031337431040", "996307031337431040")</f>
        <v/>
      </c>
      <c r="B891" s="2" t="n">
        <v>43235.35510416667</v>
      </c>
      <c r="C891" t="n">
        <v>0</v>
      </c>
      <c r="D891" t="n">
        <v>502</v>
      </c>
      <c r="E891" t="s">
        <v>890</v>
      </c>
      <c r="F891" t="s"/>
      <c r="G891" t="s"/>
      <c r="H891" t="s"/>
      <c r="I891" t="s"/>
      <c r="J891" t="n">
        <v>0</v>
      </c>
      <c r="K891" t="n">
        <v>0</v>
      </c>
      <c r="L891" t="n">
        <v>1</v>
      </c>
      <c r="M891" t="n">
        <v>0</v>
      </c>
    </row>
    <row r="892" spans="1:13">
      <c r="A892" s="1">
        <f>HYPERLINK("http://www.twitter.com/NathanBLawrence/status/996306985405558784", "996306985405558784")</f>
        <v/>
      </c>
      <c r="B892" s="2" t="n">
        <v>43235.35497685185</v>
      </c>
      <c r="C892" t="n">
        <v>0</v>
      </c>
      <c r="D892" t="n">
        <v>4256</v>
      </c>
      <c r="E892" t="s">
        <v>891</v>
      </c>
      <c r="F892">
        <f>HYPERLINK("https://video.twimg.com/ext_tw_video/996183846738694145/pu/vid/720x1280/-cVBSDlDwHEvycUF.mp4?tag=3", "https://video.twimg.com/ext_tw_video/996183846738694145/pu/vid/720x1280/-cVBSDlDwHEvycUF.mp4?tag=3")</f>
        <v/>
      </c>
      <c r="G892" t="s"/>
      <c r="H892" t="s"/>
      <c r="I892" t="s"/>
      <c r="J892" t="n">
        <v>0.4019</v>
      </c>
      <c r="K892" t="n">
        <v>0</v>
      </c>
      <c r="L892" t="n">
        <v>0.886</v>
      </c>
      <c r="M892" t="n">
        <v>0.114</v>
      </c>
    </row>
    <row r="893" spans="1:13">
      <c r="A893" s="1">
        <f>HYPERLINK("http://www.twitter.com/NathanBLawrence/status/996306825707511809", "996306825707511809")</f>
        <v/>
      </c>
      <c r="B893" s="2" t="n">
        <v>43235.35453703703</v>
      </c>
      <c r="C893" t="n">
        <v>0</v>
      </c>
      <c r="D893" t="n">
        <v>0</v>
      </c>
      <c r="E893" t="s">
        <v>892</v>
      </c>
      <c r="F893" t="s"/>
      <c r="G893" t="s"/>
      <c r="H893" t="s"/>
      <c r="I893" t="s"/>
      <c r="J893" t="n">
        <v>0.3182</v>
      </c>
      <c r="K893" t="n">
        <v>0</v>
      </c>
      <c r="L893" t="n">
        <v>0.635</v>
      </c>
      <c r="M893" t="n">
        <v>0.365</v>
      </c>
    </row>
    <row r="894" spans="1:13">
      <c r="A894" s="1">
        <f>HYPERLINK("http://www.twitter.com/NathanBLawrence/status/996306590977445888", "996306590977445888")</f>
        <v/>
      </c>
      <c r="B894" s="2" t="n">
        <v>43235.35388888889</v>
      </c>
      <c r="C894" t="n">
        <v>0</v>
      </c>
      <c r="D894" t="n">
        <v>9330</v>
      </c>
      <c r="E894" t="s">
        <v>893</v>
      </c>
      <c r="F894" t="s"/>
      <c r="G894" t="s"/>
      <c r="H894" t="s"/>
      <c r="I894" t="s"/>
      <c r="J894" t="n">
        <v>0.4019</v>
      </c>
      <c r="K894" t="n">
        <v>0</v>
      </c>
      <c r="L894" t="n">
        <v>0.876</v>
      </c>
      <c r="M894" t="n">
        <v>0.124</v>
      </c>
    </row>
    <row r="895" spans="1:13">
      <c r="A895" s="1">
        <f>HYPERLINK("http://www.twitter.com/NathanBLawrence/status/996283929287122944", "996283929287122944")</f>
        <v/>
      </c>
      <c r="B895" s="2" t="n">
        <v>43235.29135416666</v>
      </c>
      <c r="C895" t="n">
        <v>0</v>
      </c>
      <c r="D895" t="n">
        <v>453</v>
      </c>
      <c r="E895" t="s">
        <v>894</v>
      </c>
      <c r="F895" t="s"/>
      <c r="G895" t="s"/>
      <c r="H895" t="s"/>
      <c r="I895" t="s"/>
      <c r="J895" t="n">
        <v>-0.5423</v>
      </c>
      <c r="K895" t="n">
        <v>0.171</v>
      </c>
      <c r="L895" t="n">
        <v>0.829</v>
      </c>
      <c r="M895" t="n">
        <v>0</v>
      </c>
    </row>
    <row r="896" spans="1:13">
      <c r="A896" s="1">
        <f>HYPERLINK("http://www.twitter.com/NathanBLawrence/status/996270236038025217", "996270236038025217")</f>
        <v/>
      </c>
      <c r="B896" s="2" t="n">
        <v>43235.25356481481</v>
      </c>
      <c r="C896" t="n">
        <v>0</v>
      </c>
      <c r="D896" t="n">
        <v>5</v>
      </c>
      <c r="E896" t="s">
        <v>895</v>
      </c>
      <c r="F896" t="s"/>
      <c r="G896" t="s"/>
      <c r="H896" t="s"/>
      <c r="I896" t="s"/>
      <c r="J896" t="n">
        <v>-0.7236</v>
      </c>
      <c r="K896" t="n">
        <v>0.233</v>
      </c>
      <c r="L896" t="n">
        <v>0.767</v>
      </c>
      <c r="M896" t="n">
        <v>0</v>
      </c>
    </row>
    <row r="897" spans="1:13">
      <c r="A897" s="1">
        <f>HYPERLINK("http://www.twitter.com/NathanBLawrence/status/996270026163478528", "996270026163478528")</f>
        <v/>
      </c>
      <c r="B897" s="2" t="n">
        <v>43235.25298611111</v>
      </c>
      <c r="C897" t="n">
        <v>0</v>
      </c>
      <c r="D897" t="n">
        <v>2</v>
      </c>
      <c r="E897" t="s">
        <v>896</v>
      </c>
      <c r="F897">
        <f>HYPERLINK("http://pbs.twimg.com/media/DdMcEccUwAAzfb_.jpg", "http://pbs.twimg.com/media/DdMcEccUwAAzfb_.jpg")</f>
        <v/>
      </c>
      <c r="G897" t="s"/>
      <c r="H897" t="s"/>
      <c r="I897" t="s"/>
      <c r="J897" t="n">
        <v>-0.5266999999999999</v>
      </c>
      <c r="K897" t="n">
        <v>0.175</v>
      </c>
      <c r="L897" t="n">
        <v>0.825</v>
      </c>
      <c r="M897" t="n">
        <v>0</v>
      </c>
    </row>
    <row r="898" spans="1:13">
      <c r="A898" s="1">
        <f>HYPERLINK("http://www.twitter.com/NathanBLawrence/status/996269927685337089", "996269927685337089")</f>
        <v/>
      </c>
      <c r="B898" s="2" t="n">
        <v>43235.25271990741</v>
      </c>
      <c r="C898" t="n">
        <v>0</v>
      </c>
      <c r="D898" t="n">
        <v>4</v>
      </c>
      <c r="E898" t="s">
        <v>897</v>
      </c>
      <c r="F898" t="s"/>
      <c r="G898" t="s"/>
      <c r="H898" t="s"/>
      <c r="I898" t="s"/>
      <c r="J898" t="n">
        <v>0</v>
      </c>
      <c r="K898" t="n">
        <v>0</v>
      </c>
      <c r="L898" t="n">
        <v>1</v>
      </c>
      <c r="M898" t="n">
        <v>0</v>
      </c>
    </row>
    <row r="899" spans="1:13">
      <c r="A899" s="1">
        <f>HYPERLINK("http://www.twitter.com/NathanBLawrence/status/996269846479458304", "996269846479458304")</f>
        <v/>
      </c>
      <c r="B899" s="2" t="n">
        <v>43235.25248842593</v>
      </c>
      <c r="C899" t="n">
        <v>0</v>
      </c>
      <c r="D899" t="n">
        <v>2</v>
      </c>
      <c r="E899" t="s">
        <v>898</v>
      </c>
      <c r="F899" t="s"/>
      <c r="G899" t="s"/>
      <c r="H899" t="s"/>
      <c r="I899" t="s"/>
      <c r="J899" t="n">
        <v>0.765</v>
      </c>
      <c r="K899" t="n">
        <v>0</v>
      </c>
      <c r="L899" t="n">
        <v>0.703</v>
      </c>
      <c r="M899" t="n">
        <v>0.297</v>
      </c>
    </row>
    <row r="900" spans="1:13">
      <c r="A900" s="1">
        <f>HYPERLINK("http://www.twitter.com/NathanBLawrence/status/996269797573890048", "996269797573890048")</f>
        <v/>
      </c>
      <c r="B900" s="2" t="n">
        <v>43235.25236111111</v>
      </c>
      <c r="C900" t="n">
        <v>0</v>
      </c>
      <c r="D900" t="n">
        <v>5</v>
      </c>
      <c r="E900" t="s">
        <v>899</v>
      </c>
      <c r="F900" t="s"/>
      <c r="G900" t="s"/>
      <c r="H900" t="s"/>
      <c r="I900" t="s"/>
      <c r="J900" t="n">
        <v>-0.3612</v>
      </c>
      <c r="K900" t="n">
        <v>0.102</v>
      </c>
      <c r="L900" t="n">
        <v>0.898</v>
      </c>
      <c r="M900" t="n">
        <v>0</v>
      </c>
    </row>
    <row r="901" spans="1:13">
      <c r="A901" s="1">
        <f>HYPERLINK("http://www.twitter.com/NathanBLawrence/status/996269587946725376", "996269587946725376")</f>
        <v/>
      </c>
      <c r="B901" s="2" t="n">
        <v>43235.25178240741</v>
      </c>
      <c r="C901" t="n">
        <v>0</v>
      </c>
      <c r="D901" t="n">
        <v>9</v>
      </c>
      <c r="E901" t="s">
        <v>900</v>
      </c>
      <c r="F901" t="s"/>
      <c r="G901" t="s"/>
      <c r="H901" t="s"/>
      <c r="I901" t="s"/>
      <c r="J901" t="n">
        <v>-0.5859</v>
      </c>
      <c r="K901" t="n">
        <v>0.173</v>
      </c>
      <c r="L901" t="n">
        <v>0.827</v>
      </c>
      <c r="M901" t="n">
        <v>0</v>
      </c>
    </row>
    <row r="902" spans="1:13">
      <c r="A902" s="1">
        <f>HYPERLINK("http://www.twitter.com/NathanBLawrence/status/996269349630595072", "996269349630595072")</f>
        <v/>
      </c>
      <c r="B902" s="2" t="n">
        <v>43235.25112268519</v>
      </c>
      <c r="C902" t="n">
        <v>0</v>
      </c>
      <c r="D902" t="n">
        <v>19</v>
      </c>
      <c r="E902" t="s">
        <v>901</v>
      </c>
      <c r="F902">
        <f>HYPERLINK("http://pbs.twimg.com/media/DdM1vjkX0AAhzgz.jpg", "http://pbs.twimg.com/media/DdM1vjkX0AAhzgz.jpg")</f>
        <v/>
      </c>
      <c r="G902" t="s"/>
      <c r="H902" t="s"/>
      <c r="I902" t="s"/>
      <c r="J902" t="n">
        <v>-0.296</v>
      </c>
      <c r="K902" t="n">
        <v>0.095</v>
      </c>
      <c r="L902" t="n">
        <v>0.905</v>
      </c>
      <c r="M902" t="n">
        <v>0</v>
      </c>
    </row>
    <row r="903" spans="1:13">
      <c r="A903" s="1">
        <f>HYPERLINK("http://www.twitter.com/NathanBLawrence/status/996269332635283456", "996269332635283456")</f>
        <v/>
      </c>
      <c r="B903" s="2" t="n">
        <v>43235.25107638889</v>
      </c>
      <c r="C903" t="n">
        <v>0</v>
      </c>
      <c r="D903" t="n">
        <v>29</v>
      </c>
      <c r="E903" t="s">
        <v>902</v>
      </c>
      <c r="F903" t="s"/>
      <c r="G903" t="s"/>
      <c r="H903" t="s"/>
      <c r="I903" t="s"/>
      <c r="J903" t="n">
        <v>-0.5994</v>
      </c>
      <c r="K903" t="n">
        <v>0.237</v>
      </c>
      <c r="L903" t="n">
        <v>0.763</v>
      </c>
      <c r="M903" t="n">
        <v>0</v>
      </c>
    </row>
    <row r="904" spans="1:13">
      <c r="A904" s="1">
        <f>HYPERLINK("http://www.twitter.com/NathanBLawrence/status/996269271457128448", "996269271457128448")</f>
        <v/>
      </c>
      <c r="B904" s="2" t="n">
        <v>43235.25090277778</v>
      </c>
      <c r="C904" t="n">
        <v>0</v>
      </c>
      <c r="D904" t="n">
        <v>6</v>
      </c>
      <c r="E904" t="s">
        <v>903</v>
      </c>
      <c r="F904" t="s"/>
      <c r="G904" t="s"/>
      <c r="H904" t="s"/>
      <c r="I904" t="s"/>
      <c r="J904" t="n">
        <v>0.4939</v>
      </c>
      <c r="K904" t="n">
        <v>0</v>
      </c>
      <c r="L904" t="n">
        <v>0.802</v>
      </c>
      <c r="M904" t="n">
        <v>0.198</v>
      </c>
    </row>
    <row r="905" spans="1:13">
      <c r="A905" s="1">
        <f>HYPERLINK("http://www.twitter.com/NathanBLawrence/status/996269210325209088", "996269210325209088")</f>
        <v/>
      </c>
      <c r="B905" s="2" t="n">
        <v>43235.25074074074</v>
      </c>
      <c r="C905" t="n">
        <v>0</v>
      </c>
      <c r="D905" t="n">
        <v>5</v>
      </c>
      <c r="E905" t="s">
        <v>904</v>
      </c>
      <c r="F905" t="s"/>
      <c r="G905" t="s"/>
      <c r="H905" t="s"/>
      <c r="I905" t="s"/>
      <c r="J905" t="n">
        <v>-0.743</v>
      </c>
      <c r="K905" t="n">
        <v>0.24</v>
      </c>
      <c r="L905" t="n">
        <v>0.76</v>
      </c>
      <c r="M905" t="n">
        <v>0</v>
      </c>
    </row>
    <row r="906" spans="1:13">
      <c r="A906" s="1">
        <f>HYPERLINK("http://www.twitter.com/NathanBLawrence/status/996269112769892352", "996269112769892352")</f>
        <v/>
      </c>
      <c r="B906" s="2" t="n">
        <v>43235.25046296296</v>
      </c>
      <c r="C906" t="n">
        <v>0</v>
      </c>
      <c r="D906" t="n">
        <v>4</v>
      </c>
      <c r="E906" t="s">
        <v>905</v>
      </c>
      <c r="F906" t="s"/>
      <c r="G906" t="s"/>
      <c r="H906" t="s"/>
      <c r="I906" t="s"/>
      <c r="J906" t="n">
        <v>-0.6808</v>
      </c>
      <c r="K906" t="n">
        <v>0.219</v>
      </c>
      <c r="L906" t="n">
        <v>0.781</v>
      </c>
      <c r="M906" t="n">
        <v>0</v>
      </c>
    </row>
    <row r="907" spans="1:13">
      <c r="A907" s="1">
        <f>HYPERLINK("http://www.twitter.com/NathanBLawrence/status/996269058269073408", "996269058269073408")</f>
        <v/>
      </c>
      <c r="B907" s="2" t="n">
        <v>43235.2503125</v>
      </c>
      <c r="C907" t="n">
        <v>0</v>
      </c>
      <c r="D907" t="n">
        <v>6</v>
      </c>
      <c r="E907" t="s">
        <v>906</v>
      </c>
      <c r="F907" t="s"/>
      <c r="G907" t="s"/>
      <c r="H907" t="s"/>
      <c r="I907" t="s"/>
      <c r="J907" t="n">
        <v>0</v>
      </c>
      <c r="K907" t="n">
        <v>0</v>
      </c>
      <c r="L907" t="n">
        <v>1</v>
      </c>
      <c r="M907" t="n">
        <v>0</v>
      </c>
    </row>
    <row r="908" spans="1:13">
      <c r="A908" s="1">
        <f>HYPERLINK("http://www.twitter.com/NathanBLawrence/status/996269005659955200", "996269005659955200")</f>
        <v/>
      </c>
      <c r="B908" s="2" t="n">
        <v>43235.25017361111</v>
      </c>
      <c r="C908" t="n">
        <v>0</v>
      </c>
      <c r="D908" t="n">
        <v>12</v>
      </c>
      <c r="E908" t="s">
        <v>907</v>
      </c>
      <c r="F908" t="s"/>
      <c r="G908" t="s"/>
      <c r="H908" t="s"/>
      <c r="I908" t="s"/>
      <c r="J908" t="n">
        <v>0.4215</v>
      </c>
      <c r="K908" t="n">
        <v>0.08400000000000001</v>
      </c>
      <c r="L908" t="n">
        <v>0.6929999999999999</v>
      </c>
      <c r="M908" t="n">
        <v>0.223</v>
      </c>
    </row>
    <row r="909" spans="1:13">
      <c r="A909" s="1">
        <f>HYPERLINK("http://www.twitter.com/NathanBLawrence/status/996268908448567296", "996268908448567296")</f>
        <v/>
      </c>
      <c r="B909" s="2" t="n">
        <v>43235.24990740741</v>
      </c>
      <c r="C909" t="n">
        <v>0</v>
      </c>
      <c r="D909" t="n">
        <v>3</v>
      </c>
      <c r="E909" t="s">
        <v>908</v>
      </c>
      <c r="F909" t="s"/>
      <c r="G909" t="s"/>
      <c r="H909" t="s"/>
      <c r="I909" t="s"/>
      <c r="J909" t="n">
        <v>-0.34</v>
      </c>
      <c r="K909" t="n">
        <v>0.198</v>
      </c>
      <c r="L909" t="n">
        <v>0.714</v>
      </c>
      <c r="M909" t="n">
        <v>0.08699999999999999</v>
      </c>
    </row>
    <row r="910" spans="1:13">
      <c r="A910" s="1">
        <f>HYPERLINK("http://www.twitter.com/NathanBLawrence/status/996268846385377280", "996268846385377280")</f>
        <v/>
      </c>
      <c r="B910" s="2" t="n">
        <v>43235.2497337963</v>
      </c>
      <c r="C910" t="n">
        <v>0</v>
      </c>
      <c r="D910" t="n">
        <v>13</v>
      </c>
      <c r="E910" t="s">
        <v>909</v>
      </c>
      <c r="F910">
        <f>HYPERLINK("http://pbs.twimg.com/media/DdNNmBfWkAIePMt.jpg", "http://pbs.twimg.com/media/DdNNmBfWkAIePMt.jpg")</f>
        <v/>
      </c>
      <c r="G910" t="s"/>
      <c r="H910" t="s"/>
      <c r="I910" t="s"/>
      <c r="J910" t="n">
        <v>0</v>
      </c>
      <c r="K910" t="n">
        <v>0</v>
      </c>
      <c r="L910" t="n">
        <v>1</v>
      </c>
      <c r="M910" t="n">
        <v>0</v>
      </c>
    </row>
    <row r="911" spans="1:13">
      <c r="A911" s="1">
        <f>HYPERLINK("http://www.twitter.com/NathanBLawrence/status/996268610174771205", "996268610174771205")</f>
        <v/>
      </c>
      <c r="B911" s="2" t="n">
        <v>43235.24908564815</v>
      </c>
      <c r="C911" t="n">
        <v>0</v>
      </c>
      <c r="D911" t="n">
        <v>15</v>
      </c>
      <c r="E911" t="s">
        <v>910</v>
      </c>
      <c r="F911" t="s"/>
      <c r="G911" t="s"/>
      <c r="H911" t="s"/>
      <c r="I911" t="s"/>
      <c r="J911" t="n">
        <v>-0.296</v>
      </c>
      <c r="K911" t="n">
        <v>0.109</v>
      </c>
      <c r="L911" t="n">
        <v>0.891</v>
      </c>
      <c r="M911" t="n">
        <v>0</v>
      </c>
    </row>
    <row r="912" spans="1:13">
      <c r="A912" s="1">
        <f>HYPERLINK("http://www.twitter.com/NathanBLawrence/status/996268577543081984", "996268577543081984")</f>
        <v/>
      </c>
      <c r="B912" s="2" t="n">
        <v>43235.24899305555</v>
      </c>
      <c r="C912" t="n">
        <v>0</v>
      </c>
      <c r="D912" t="n">
        <v>307</v>
      </c>
      <c r="E912" t="s">
        <v>911</v>
      </c>
      <c r="F912" t="s"/>
      <c r="G912" t="s"/>
      <c r="H912" t="s"/>
      <c r="I912" t="s"/>
      <c r="J912" t="n">
        <v>0</v>
      </c>
      <c r="K912" t="n">
        <v>0</v>
      </c>
      <c r="L912" t="n">
        <v>1</v>
      </c>
      <c r="M912" t="n">
        <v>0</v>
      </c>
    </row>
    <row r="913" spans="1:13">
      <c r="A913" s="1">
        <f>HYPERLINK("http://www.twitter.com/NathanBLawrence/status/996268553950162944", "996268553950162944")</f>
        <v/>
      </c>
      <c r="B913" s="2" t="n">
        <v>43235.24892361111</v>
      </c>
      <c r="C913" t="n">
        <v>0</v>
      </c>
      <c r="D913" t="n">
        <v>1288</v>
      </c>
      <c r="E913" t="s">
        <v>912</v>
      </c>
      <c r="F913" t="s"/>
      <c r="G913" t="s"/>
      <c r="H913" t="s"/>
      <c r="I913" t="s"/>
      <c r="J913" t="n">
        <v>0</v>
      </c>
      <c r="K913" t="n">
        <v>0</v>
      </c>
      <c r="L913" t="n">
        <v>1</v>
      </c>
      <c r="M913" t="n">
        <v>0</v>
      </c>
    </row>
    <row r="914" spans="1:13">
      <c r="A914" s="1">
        <f>HYPERLINK("http://www.twitter.com/NathanBLawrence/status/996268336911736833", "996268336911736833")</f>
        <v/>
      </c>
      <c r="B914" s="2" t="n">
        <v>43235.24832175926</v>
      </c>
      <c r="C914" t="n">
        <v>0</v>
      </c>
      <c r="D914" t="n">
        <v>7</v>
      </c>
      <c r="E914" t="s">
        <v>913</v>
      </c>
      <c r="F914" t="s"/>
      <c r="G914" t="s"/>
      <c r="H914" t="s"/>
      <c r="I914" t="s"/>
      <c r="J914" t="n">
        <v>0</v>
      </c>
      <c r="K914" t="n">
        <v>0</v>
      </c>
      <c r="L914" t="n">
        <v>1</v>
      </c>
      <c r="M914" t="n">
        <v>0</v>
      </c>
    </row>
    <row r="915" spans="1:13">
      <c r="A915" s="1">
        <f>HYPERLINK("http://www.twitter.com/NathanBLawrence/status/996268069411545089", "996268069411545089")</f>
        <v/>
      </c>
      <c r="B915" s="2" t="n">
        <v>43235.24759259259</v>
      </c>
      <c r="C915" t="n">
        <v>0</v>
      </c>
      <c r="D915" t="n">
        <v>10</v>
      </c>
      <c r="E915" t="s">
        <v>914</v>
      </c>
      <c r="F915" t="s"/>
      <c r="G915" t="s"/>
      <c r="H915" t="s"/>
      <c r="I915" t="s"/>
      <c r="J915" t="n">
        <v>-0.5423</v>
      </c>
      <c r="K915" t="n">
        <v>0.163</v>
      </c>
      <c r="L915" t="n">
        <v>0.837</v>
      </c>
      <c r="M915" t="n">
        <v>0</v>
      </c>
    </row>
    <row r="916" spans="1:13">
      <c r="A916" s="1">
        <f>HYPERLINK("http://www.twitter.com/NathanBLawrence/status/996268000633348096", "996268000633348096")</f>
        <v/>
      </c>
      <c r="B916" s="2" t="n">
        <v>43235.24739583334</v>
      </c>
      <c r="C916" t="n">
        <v>0</v>
      </c>
      <c r="D916" t="n">
        <v>5</v>
      </c>
      <c r="E916" t="s">
        <v>915</v>
      </c>
      <c r="F916" t="s"/>
      <c r="G916" t="s"/>
      <c r="H916" t="s"/>
      <c r="I916" t="s"/>
      <c r="J916" t="n">
        <v>0</v>
      </c>
      <c r="K916" t="n">
        <v>0</v>
      </c>
      <c r="L916" t="n">
        <v>1</v>
      </c>
      <c r="M916" t="n">
        <v>0</v>
      </c>
    </row>
    <row r="917" spans="1:13">
      <c r="A917" s="1">
        <f>HYPERLINK("http://www.twitter.com/NathanBLawrence/status/996267521878712320", "996267521878712320")</f>
        <v/>
      </c>
      <c r="B917" s="2" t="n">
        <v>43235.24607638889</v>
      </c>
      <c r="C917" t="n">
        <v>0</v>
      </c>
      <c r="D917" t="n">
        <v>19</v>
      </c>
      <c r="E917" t="s">
        <v>916</v>
      </c>
      <c r="F917" t="s"/>
      <c r="G917" t="s"/>
      <c r="H917" t="s"/>
      <c r="I917" t="s"/>
      <c r="J917" t="n">
        <v>-0.802</v>
      </c>
      <c r="K917" t="n">
        <v>0.297</v>
      </c>
      <c r="L917" t="n">
        <v>0.655</v>
      </c>
      <c r="M917" t="n">
        <v>0.048</v>
      </c>
    </row>
    <row r="918" spans="1:13">
      <c r="A918" s="1">
        <f>HYPERLINK("http://www.twitter.com/NathanBLawrence/status/996267380455235584", "996267380455235584")</f>
        <v/>
      </c>
      <c r="B918" s="2" t="n">
        <v>43235.24568287037</v>
      </c>
      <c r="C918" t="n">
        <v>0</v>
      </c>
      <c r="D918" t="n">
        <v>5</v>
      </c>
      <c r="E918" t="s">
        <v>917</v>
      </c>
      <c r="F918" t="s"/>
      <c r="G918" t="s"/>
      <c r="H918" t="s"/>
      <c r="I918" t="s"/>
      <c r="J918" t="n">
        <v>0.3182</v>
      </c>
      <c r="K918" t="n">
        <v>0</v>
      </c>
      <c r="L918" t="n">
        <v>0.827</v>
      </c>
      <c r="M918" t="n">
        <v>0.173</v>
      </c>
    </row>
    <row r="919" spans="1:13">
      <c r="A919" s="1">
        <f>HYPERLINK("http://www.twitter.com/NathanBLawrence/status/996267368212058113", "996267368212058113")</f>
        <v/>
      </c>
      <c r="B919" s="2" t="n">
        <v>43235.24564814815</v>
      </c>
      <c r="C919" t="n">
        <v>0</v>
      </c>
      <c r="D919" t="n">
        <v>10</v>
      </c>
      <c r="E919" t="s">
        <v>918</v>
      </c>
      <c r="F919" t="s"/>
      <c r="G919" t="s"/>
      <c r="H919" t="s"/>
      <c r="I919" t="s"/>
      <c r="J919" t="n">
        <v>-0.6868</v>
      </c>
      <c r="K919" t="n">
        <v>0.23</v>
      </c>
      <c r="L919" t="n">
        <v>0.77</v>
      </c>
      <c r="M919" t="n">
        <v>0</v>
      </c>
    </row>
    <row r="920" spans="1:13">
      <c r="A920" s="1">
        <f>HYPERLINK("http://www.twitter.com/NathanBLawrence/status/996267324746366977", "996267324746366977")</f>
        <v/>
      </c>
      <c r="B920" s="2" t="n">
        <v>43235.24553240741</v>
      </c>
      <c r="C920" t="n">
        <v>0</v>
      </c>
      <c r="D920" t="n">
        <v>13</v>
      </c>
      <c r="E920" t="s">
        <v>919</v>
      </c>
      <c r="F920" t="s"/>
      <c r="G920" t="s"/>
      <c r="H920" t="s"/>
      <c r="I920" t="s"/>
      <c r="J920" t="n">
        <v>-0.2778</v>
      </c>
      <c r="K920" t="n">
        <v>0.211</v>
      </c>
      <c r="L920" t="n">
        <v>0.6899999999999999</v>
      </c>
      <c r="M920" t="n">
        <v>0.098</v>
      </c>
    </row>
    <row r="921" spans="1:13">
      <c r="A921" s="1">
        <f>HYPERLINK("http://www.twitter.com/NathanBLawrence/status/996267262314237954", "996267262314237954")</f>
        <v/>
      </c>
      <c r="B921" s="2" t="n">
        <v>43235.2453587963</v>
      </c>
      <c r="C921" t="n">
        <v>0</v>
      </c>
      <c r="D921" t="n">
        <v>7</v>
      </c>
      <c r="E921" t="s">
        <v>920</v>
      </c>
      <c r="F921" t="s"/>
      <c r="G921" t="s"/>
      <c r="H921" t="s"/>
      <c r="I921" t="s"/>
      <c r="J921" t="n">
        <v>0.364</v>
      </c>
      <c r="K921" t="n">
        <v>0</v>
      </c>
      <c r="L921" t="n">
        <v>0.893</v>
      </c>
      <c r="M921" t="n">
        <v>0.107</v>
      </c>
    </row>
    <row r="922" spans="1:13">
      <c r="A922" s="1">
        <f>HYPERLINK("http://www.twitter.com/NathanBLawrence/status/996267165237088261", "996267165237088261")</f>
        <v/>
      </c>
      <c r="B922" s="2" t="n">
        <v>43235.2450925926</v>
      </c>
      <c r="C922" t="n">
        <v>0</v>
      </c>
      <c r="D922" t="n">
        <v>61</v>
      </c>
      <c r="E922" t="s">
        <v>921</v>
      </c>
      <c r="F922" t="s"/>
      <c r="G922" t="s"/>
      <c r="H922" t="s"/>
      <c r="I922" t="s"/>
      <c r="J922" t="n">
        <v>-0.3612</v>
      </c>
      <c r="K922" t="n">
        <v>0.106</v>
      </c>
      <c r="L922" t="n">
        <v>0.894</v>
      </c>
      <c r="M922" t="n">
        <v>0</v>
      </c>
    </row>
    <row r="923" spans="1:13">
      <c r="A923" s="1">
        <f>HYPERLINK("http://www.twitter.com/NathanBLawrence/status/996267078297509888", "996267078297509888")</f>
        <v/>
      </c>
      <c r="B923" s="2" t="n">
        <v>43235.24484953703</v>
      </c>
      <c r="C923" t="n">
        <v>0</v>
      </c>
      <c r="D923" t="n">
        <v>22</v>
      </c>
      <c r="E923" t="s">
        <v>922</v>
      </c>
      <c r="F923" t="s"/>
      <c r="G923" t="s"/>
      <c r="H923" t="s"/>
      <c r="I923" t="s"/>
      <c r="J923" t="n">
        <v>0</v>
      </c>
      <c r="K923" t="n">
        <v>0</v>
      </c>
      <c r="L923" t="n">
        <v>1</v>
      </c>
      <c r="M923" t="n">
        <v>0</v>
      </c>
    </row>
    <row r="924" spans="1:13">
      <c r="A924" s="1">
        <f>HYPERLINK("http://www.twitter.com/NathanBLawrence/status/996267064330477568", "996267064330477568")</f>
        <v/>
      </c>
      <c r="B924" s="2" t="n">
        <v>43235.24481481482</v>
      </c>
      <c r="C924" t="n">
        <v>0</v>
      </c>
      <c r="D924" t="n">
        <v>23</v>
      </c>
      <c r="E924" t="s">
        <v>923</v>
      </c>
      <c r="F924">
        <f>HYPERLINK("http://pbs.twimg.com/media/DdMvXEtU8AAgf7a.jpg", "http://pbs.twimg.com/media/DdMvXEtU8AAgf7a.jpg")</f>
        <v/>
      </c>
      <c r="G924" t="s"/>
      <c r="H924" t="s"/>
      <c r="I924" t="s"/>
      <c r="J924" t="n">
        <v>-0.296</v>
      </c>
      <c r="K924" t="n">
        <v>0.104</v>
      </c>
      <c r="L924" t="n">
        <v>0.896</v>
      </c>
      <c r="M924" t="n">
        <v>0</v>
      </c>
    </row>
    <row r="925" spans="1:13">
      <c r="A925" s="1">
        <f>HYPERLINK("http://www.twitter.com/NathanBLawrence/status/996267013151567872", "996267013151567872")</f>
        <v/>
      </c>
      <c r="B925" s="2" t="n">
        <v>43235.24467592593</v>
      </c>
      <c r="C925" t="n">
        <v>0</v>
      </c>
      <c r="D925" t="n">
        <v>17</v>
      </c>
      <c r="E925" t="s">
        <v>924</v>
      </c>
      <c r="F925">
        <f>HYPERLINK("http://pbs.twimg.com/media/DdNbxqDWAAAfDNi.jpg", "http://pbs.twimg.com/media/DdNbxqDWAAAfDNi.jpg")</f>
        <v/>
      </c>
      <c r="G925" t="s"/>
      <c r="H925" t="s"/>
      <c r="I925" t="s"/>
      <c r="J925" t="n">
        <v>-0.703</v>
      </c>
      <c r="K925" t="n">
        <v>0.226</v>
      </c>
      <c r="L925" t="n">
        <v>0.774</v>
      </c>
      <c r="M925" t="n">
        <v>0</v>
      </c>
    </row>
    <row r="926" spans="1:13">
      <c r="A926" s="1">
        <f>HYPERLINK("http://www.twitter.com/NathanBLawrence/status/996266962153037824", "996266962153037824")</f>
        <v/>
      </c>
      <c r="B926" s="2" t="n">
        <v>43235.24453703704</v>
      </c>
      <c r="C926" t="n">
        <v>0</v>
      </c>
      <c r="D926" t="n">
        <v>6</v>
      </c>
      <c r="E926" t="s">
        <v>925</v>
      </c>
      <c r="F926" t="s"/>
      <c r="G926" t="s"/>
      <c r="H926" t="s"/>
      <c r="I926" t="s"/>
      <c r="J926" t="n">
        <v>0.128</v>
      </c>
      <c r="K926" t="n">
        <v>0.091</v>
      </c>
      <c r="L926" t="n">
        <v>0.798</v>
      </c>
      <c r="M926" t="n">
        <v>0.11</v>
      </c>
    </row>
    <row r="927" spans="1:13">
      <c r="A927" s="1">
        <f>HYPERLINK("http://www.twitter.com/NathanBLawrence/status/996266865302364160", "996266865302364160")</f>
        <v/>
      </c>
      <c r="B927" s="2" t="n">
        <v>43235.24427083333</v>
      </c>
      <c r="C927" t="n">
        <v>0</v>
      </c>
      <c r="D927" t="n">
        <v>14</v>
      </c>
      <c r="E927" t="s">
        <v>926</v>
      </c>
      <c r="F927">
        <f>HYPERLINK("http://pbs.twimg.com/media/DdNjTeNWAAEUR_D.jpg", "http://pbs.twimg.com/media/DdNjTeNWAAEUR_D.jpg")</f>
        <v/>
      </c>
      <c r="G927" t="s"/>
      <c r="H927" t="s"/>
      <c r="I927" t="s"/>
      <c r="J927" t="n">
        <v>0.4389</v>
      </c>
      <c r="K927" t="n">
        <v>0.054</v>
      </c>
      <c r="L927" t="n">
        <v>0.778</v>
      </c>
      <c r="M927" t="n">
        <v>0.167</v>
      </c>
    </row>
    <row r="928" spans="1:13">
      <c r="A928" s="1">
        <f>HYPERLINK("http://www.twitter.com/NathanBLawrence/status/996266853092732928", "996266853092732928")</f>
        <v/>
      </c>
      <c r="B928" s="2" t="n">
        <v>43235.24423611111</v>
      </c>
      <c r="C928" t="n">
        <v>0</v>
      </c>
      <c r="D928" t="n">
        <v>26</v>
      </c>
      <c r="E928" t="s">
        <v>927</v>
      </c>
      <c r="F928" t="s"/>
      <c r="G928" t="s"/>
      <c r="H928" t="s"/>
      <c r="I928" t="s"/>
      <c r="J928" t="n">
        <v>0.0258</v>
      </c>
      <c r="K928" t="n">
        <v>0.114</v>
      </c>
      <c r="L928" t="n">
        <v>0.769</v>
      </c>
      <c r="M928" t="n">
        <v>0.117</v>
      </c>
    </row>
    <row r="929" spans="1:13">
      <c r="A929" s="1">
        <f>HYPERLINK("http://www.twitter.com/NathanBLawrence/status/996266818691063808", "996266818691063808")</f>
        <v/>
      </c>
      <c r="B929" s="2" t="n">
        <v>43235.24413194445</v>
      </c>
      <c r="C929" t="n">
        <v>0</v>
      </c>
      <c r="D929" t="n">
        <v>30</v>
      </c>
      <c r="E929" t="s">
        <v>928</v>
      </c>
      <c r="F929" t="s"/>
      <c r="G929" t="s"/>
      <c r="H929" t="s"/>
      <c r="I929" t="s"/>
      <c r="J929" t="n">
        <v>-0.3182</v>
      </c>
      <c r="K929" t="n">
        <v>0.209</v>
      </c>
      <c r="L929" t="n">
        <v>0.672</v>
      </c>
      <c r="M929" t="n">
        <v>0.119</v>
      </c>
    </row>
    <row r="930" spans="1:13">
      <c r="A930" s="1">
        <f>HYPERLINK("http://www.twitter.com/NathanBLawrence/status/996266490755190784", "996266490755190784")</f>
        <v/>
      </c>
      <c r="B930" s="2" t="n">
        <v>43235.24322916667</v>
      </c>
      <c r="C930" t="n">
        <v>0</v>
      </c>
      <c r="D930" t="n">
        <v>0</v>
      </c>
      <c r="E930" t="s">
        <v>929</v>
      </c>
      <c r="F930" t="s"/>
      <c r="G930" t="s"/>
      <c r="H930" t="s"/>
      <c r="I930" t="s"/>
      <c r="J930" t="n">
        <v>-0.4767</v>
      </c>
      <c r="K930" t="n">
        <v>0.22</v>
      </c>
      <c r="L930" t="n">
        <v>0.78</v>
      </c>
      <c r="M930" t="n">
        <v>0</v>
      </c>
    </row>
    <row r="931" spans="1:13">
      <c r="A931" s="1">
        <f>HYPERLINK("http://www.twitter.com/NathanBLawrence/status/996266166082469888", "996266166082469888")</f>
        <v/>
      </c>
      <c r="B931" s="2" t="n">
        <v>43235.24233796296</v>
      </c>
      <c r="C931" t="n">
        <v>0</v>
      </c>
      <c r="D931" t="n">
        <v>20</v>
      </c>
      <c r="E931" t="s">
        <v>930</v>
      </c>
      <c r="F931">
        <f>HYPERLINK("http://pbs.twimg.com/media/Dc8KCQdVAAAxDRc.jpg", "http://pbs.twimg.com/media/Dc8KCQdVAAAxDRc.jpg")</f>
        <v/>
      </c>
      <c r="G931" t="s"/>
      <c r="H931" t="s"/>
      <c r="I931" t="s"/>
      <c r="J931" t="n">
        <v>0</v>
      </c>
      <c r="K931" t="n">
        <v>0</v>
      </c>
      <c r="L931" t="n">
        <v>1</v>
      </c>
      <c r="M931" t="n">
        <v>0</v>
      </c>
    </row>
    <row r="932" spans="1:13">
      <c r="A932" s="1">
        <f>HYPERLINK("http://www.twitter.com/NathanBLawrence/status/996266134214270977", "996266134214270977")</f>
        <v/>
      </c>
      <c r="B932" s="2" t="n">
        <v>43235.24224537037</v>
      </c>
      <c r="C932" t="n">
        <v>0</v>
      </c>
      <c r="D932" t="n">
        <v>6795</v>
      </c>
      <c r="E932" t="s">
        <v>931</v>
      </c>
      <c r="F932" t="s"/>
      <c r="G932" t="s"/>
      <c r="H932" t="s"/>
      <c r="I932" t="s"/>
      <c r="J932" t="n">
        <v>0</v>
      </c>
      <c r="K932" t="n">
        <v>0</v>
      </c>
      <c r="L932" t="n">
        <v>1</v>
      </c>
      <c r="M932" t="n">
        <v>0</v>
      </c>
    </row>
    <row r="933" spans="1:13">
      <c r="A933" s="1">
        <f>HYPERLINK("http://www.twitter.com/NathanBLawrence/status/996266085421912064", "996266085421912064")</f>
        <v/>
      </c>
      <c r="B933" s="2" t="n">
        <v>43235.24211805555</v>
      </c>
      <c r="C933" t="n">
        <v>0</v>
      </c>
      <c r="D933" t="n">
        <v>0</v>
      </c>
      <c r="E933" t="s">
        <v>932</v>
      </c>
      <c r="F933" t="s"/>
      <c r="G933" t="s"/>
      <c r="H933" t="s"/>
      <c r="I933" t="s"/>
      <c r="J933" t="n">
        <v>0</v>
      </c>
      <c r="K933" t="n">
        <v>0</v>
      </c>
      <c r="L933" t="n">
        <v>1</v>
      </c>
      <c r="M933" t="n">
        <v>0</v>
      </c>
    </row>
    <row r="934" spans="1:13">
      <c r="A934" s="1">
        <f>HYPERLINK("http://www.twitter.com/NathanBLawrence/status/996266019449724928", "996266019449724928")</f>
        <v/>
      </c>
      <c r="B934" s="2" t="n">
        <v>43235.24193287037</v>
      </c>
      <c r="C934" t="n">
        <v>0</v>
      </c>
      <c r="D934" t="n">
        <v>2</v>
      </c>
      <c r="E934" t="s">
        <v>933</v>
      </c>
      <c r="F934" t="s"/>
      <c r="G934" t="s"/>
      <c r="H934" t="s"/>
      <c r="I934" t="s"/>
      <c r="J934" t="n">
        <v>0.09</v>
      </c>
      <c r="K934" t="n">
        <v>0</v>
      </c>
      <c r="L934" t="n">
        <v>0.9419999999999999</v>
      </c>
      <c r="M934" t="n">
        <v>0.058</v>
      </c>
    </row>
    <row r="935" spans="1:13">
      <c r="A935" s="1">
        <f>HYPERLINK("http://www.twitter.com/NathanBLawrence/status/996265845130227713", "996265845130227713")</f>
        <v/>
      </c>
      <c r="B935" s="2" t="n">
        <v>43235.24144675926</v>
      </c>
      <c r="C935" t="n">
        <v>0</v>
      </c>
      <c r="D935" t="n">
        <v>379</v>
      </c>
      <c r="E935" t="s">
        <v>934</v>
      </c>
      <c r="F935">
        <f>HYPERLINK("http://pbs.twimg.com/media/DdKSpsBV0AMHGjS.jpg", "http://pbs.twimg.com/media/DdKSpsBV0AMHGjS.jpg")</f>
        <v/>
      </c>
      <c r="G935" t="s"/>
      <c r="H935" t="s"/>
      <c r="I935" t="s"/>
      <c r="J935" t="n">
        <v>0</v>
      </c>
      <c r="K935" t="n">
        <v>0</v>
      </c>
      <c r="L935" t="n">
        <v>1</v>
      </c>
      <c r="M935" t="n">
        <v>0</v>
      </c>
    </row>
    <row r="936" spans="1:13">
      <c r="A936" s="1">
        <f>HYPERLINK("http://www.twitter.com/NathanBLawrence/status/996265815296135168", "996265815296135168")</f>
        <v/>
      </c>
      <c r="B936" s="2" t="n">
        <v>43235.24136574074</v>
      </c>
      <c r="C936" t="n">
        <v>0</v>
      </c>
      <c r="D936" t="n">
        <v>2775</v>
      </c>
      <c r="E936" t="s">
        <v>935</v>
      </c>
      <c r="F936" t="s"/>
      <c r="G936" t="s"/>
      <c r="H936" t="s"/>
      <c r="I936" t="s"/>
      <c r="J936" t="n">
        <v>-0.25</v>
      </c>
      <c r="K936" t="n">
        <v>0.125</v>
      </c>
      <c r="L936" t="n">
        <v>0.875</v>
      </c>
      <c r="M936" t="n">
        <v>0</v>
      </c>
    </row>
    <row r="937" spans="1:13">
      <c r="A937" s="1">
        <f>HYPERLINK("http://www.twitter.com/NathanBLawrence/status/996265646668251137", "996265646668251137")</f>
        <v/>
      </c>
      <c r="B937" s="2" t="n">
        <v>43235.24090277778</v>
      </c>
      <c r="C937" t="n">
        <v>0</v>
      </c>
      <c r="D937" t="n">
        <v>12478</v>
      </c>
      <c r="E937" t="s">
        <v>936</v>
      </c>
      <c r="F937" t="s"/>
      <c r="G937" t="s"/>
      <c r="H937" t="s"/>
      <c r="I937" t="s"/>
      <c r="J937" t="n">
        <v>0</v>
      </c>
      <c r="K937" t="n">
        <v>0</v>
      </c>
      <c r="L937" t="n">
        <v>1</v>
      </c>
      <c r="M937" t="n">
        <v>0</v>
      </c>
    </row>
    <row r="938" spans="1:13">
      <c r="A938" s="1">
        <f>HYPERLINK("http://www.twitter.com/NathanBLawrence/status/996265632726503424", "996265632726503424")</f>
        <v/>
      </c>
      <c r="B938" s="2" t="n">
        <v>43235.24086805555</v>
      </c>
      <c r="C938" t="n">
        <v>0</v>
      </c>
      <c r="D938" t="n">
        <v>623</v>
      </c>
      <c r="E938" t="s">
        <v>937</v>
      </c>
      <c r="F938" t="s"/>
      <c r="G938" t="s"/>
      <c r="H938" t="s"/>
      <c r="I938" t="s"/>
      <c r="J938" t="n">
        <v>-0.5574</v>
      </c>
      <c r="K938" t="n">
        <v>0.141</v>
      </c>
      <c r="L938" t="n">
        <v>0.859</v>
      </c>
      <c r="M938" t="n">
        <v>0</v>
      </c>
    </row>
    <row r="939" spans="1:13">
      <c r="A939" s="1">
        <f>HYPERLINK("http://www.twitter.com/NathanBLawrence/status/996265606365302786", "996265606365302786")</f>
        <v/>
      </c>
      <c r="B939" s="2" t="n">
        <v>43235.24078703704</v>
      </c>
      <c r="C939" t="n">
        <v>0</v>
      </c>
      <c r="D939" t="n">
        <v>1</v>
      </c>
      <c r="E939" t="s">
        <v>938</v>
      </c>
      <c r="F939" t="s"/>
      <c r="G939" t="s"/>
      <c r="H939" t="s"/>
      <c r="I939" t="s"/>
      <c r="J939" t="n">
        <v>-0.7269</v>
      </c>
      <c r="K939" t="n">
        <v>0.276</v>
      </c>
      <c r="L939" t="n">
        <v>0.724</v>
      </c>
      <c r="M939" t="n">
        <v>0</v>
      </c>
    </row>
    <row r="940" spans="1:13">
      <c r="A940" s="1">
        <f>HYPERLINK("http://www.twitter.com/NathanBLawrence/status/996265589093076992", "996265589093076992")</f>
        <v/>
      </c>
      <c r="B940" s="2" t="n">
        <v>43235.24074074074</v>
      </c>
      <c r="C940" t="n">
        <v>0</v>
      </c>
      <c r="D940" t="n">
        <v>8185</v>
      </c>
      <c r="E940" t="s">
        <v>939</v>
      </c>
      <c r="F940" t="s"/>
      <c r="G940" t="s"/>
      <c r="H940" t="s"/>
      <c r="I940" t="s"/>
      <c r="J940" t="n">
        <v>0.4019</v>
      </c>
      <c r="K940" t="n">
        <v>0</v>
      </c>
      <c r="L940" t="n">
        <v>0.891</v>
      </c>
      <c r="M940" t="n">
        <v>0.109</v>
      </c>
    </row>
    <row r="941" spans="1:13">
      <c r="A941" s="1">
        <f>HYPERLINK("http://www.twitter.com/NathanBLawrence/status/996220878366093313", "996220878366093313")</f>
        <v/>
      </c>
      <c r="B941" s="2" t="n">
        <v>43235.11736111111</v>
      </c>
      <c r="C941" t="n">
        <v>2</v>
      </c>
      <c r="D941" t="n">
        <v>1</v>
      </c>
      <c r="E941" t="s">
        <v>940</v>
      </c>
      <c r="F941" t="s"/>
      <c r="G941" t="s"/>
      <c r="H941" t="s"/>
      <c r="I941" t="s"/>
      <c r="J941" t="n">
        <v>0.2023</v>
      </c>
      <c r="K941" t="n">
        <v>0</v>
      </c>
      <c r="L941" t="n">
        <v>0.95</v>
      </c>
      <c r="M941" t="n">
        <v>0.05</v>
      </c>
    </row>
    <row r="942" spans="1:13">
      <c r="A942" s="1">
        <f>HYPERLINK("http://www.twitter.com/NathanBLawrence/status/996220426966749184", "996220426966749184")</f>
        <v/>
      </c>
      <c r="B942" s="2" t="n">
        <v>43235.11612268518</v>
      </c>
      <c r="C942" t="n">
        <v>0</v>
      </c>
      <c r="D942" t="n">
        <v>11</v>
      </c>
      <c r="E942" t="s">
        <v>941</v>
      </c>
      <c r="F942">
        <f>HYPERLINK("http://pbs.twimg.com/media/DdM32eKVAAALbAz.jpg", "http://pbs.twimg.com/media/DdM32eKVAAALbAz.jpg")</f>
        <v/>
      </c>
      <c r="G942">
        <f>HYPERLINK("http://pbs.twimg.com/media/DdM33KfU8AM3oUw.jpg", "http://pbs.twimg.com/media/DdM33KfU8AM3oUw.jpg")</f>
        <v/>
      </c>
      <c r="H942" t="s"/>
      <c r="I942" t="s"/>
      <c r="J942" t="n">
        <v>0</v>
      </c>
      <c r="K942" t="n">
        <v>0</v>
      </c>
      <c r="L942" t="n">
        <v>1</v>
      </c>
      <c r="M942" t="n">
        <v>0</v>
      </c>
    </row>
    <row r="943" spans="1:13">
      <c r="A943" s="1">
        <f>HYPERLINK("http://www.twitter.com/NathanBLawrence/status/996188207170703360", "996188207170703360")</f>
        <v/>
      </c>
      <c r="B943" s="2" t="n">
        <v>43235.02721064815</v>
      </c>
      <c r="C943" t="n">
        <v>0</v>
      </c>
      <c r="D943" t="n">
        <v>5</v>
      </c>
      <c r="E943" t="s">
        <v>942</v>
      </c>
      <c r="F943" t="s"/>
      <c r="G943" t="s"/>
      <c r="H943" t="s"/>
      <c r="I943" t="s"/>
      <c r="J943" t="n">
        <v>0.3226</v>
      </c>
      <c r="K943" t="n">
        <v>0.098</v>
      </c>
      <c r="L943" t="n">
        <v>0.712</v>
      </c>
      <c r="M943" t="n">
        <v>0.19</v>
      </c>
    </row>
    <row r="944" spans="1:13">
      <c r="A944" s="1">
        <f>HYPERLINK("http://www.twitter.com/NathanBLawrence/status/996186219766829056", "996186219766829056")</f>
        <v/>
      </c>
      <c r="B944" s="2" t="n">
        <v>43235.02172453704</v>
      </c>
      <c r="C944" t="n">
        <v>0</v>
      </c>
      <c r="D944" t="n">
        <v>36</v>
      </c>
      <c r="E944" t="s">
        <v>943</v>
      </c>
      <c r="F944">
        <f>HYPERLINK("http://pbs.twimg.com/media/DdMo_hGWAAA9-6q.jpg", "http://pbs.twimg.com/media/DdMo_hGWAAA9-6q.jpg")</f>
        <v/>
      </c>
      <c r="G944" t="s"/>
      <c r="H944" t="s"/>
      <c r="I944" t="s"/>
      <c r="J944" t="n">
        <v>-0.3578</v>
      </c>
      <c r="K944" t="n">
        <v>0.112</v>
      </c>
      <c r="L944" t="n">
        <v>0.837</v>
      </c>
      <c r="M944" t="n">
        <v>0.05</v>
      </c>
    </row>
    <row r="945" spans="1:13">
      <c r="A945" s="1">
        <f>HYPERLINK("http://www.twitter.com/NathanBLawrence/status/996186183997718529", "996186183997718529")</f>
        <v/>
      </c>
      <c r="B945" s="2" t="n">
        <v>43235.02163194444</v>
      </c>
      <c r="C945" t="n">
        <v>0</v>
      </c>
      <c r="D945" t="n">
        <v>34</v>
      </c>
      <c r="E945" t="s">
        <v>944</v>
      </c>
      <c r="F945" t="s"/>
      <c r="G945" t="s"/>
      <c r="H945" t="s"/>
      <c r="I945" t="s"/>
      <c r="J945" t="n">
        <v>-0.6486</v>
      </c>
      <c r="K945" t="n">
        <v>0.202</v>
      </c>
      <c r="L945" t="n">
        <v>0.798</v>
      </c>
      <c r="M945" t="n">
        <v>0</v>
      </c>
    </row>
    <row r="946" spans="1:13">
      <c r="A946" s="1">
        <f>HYPERLINK("http://www.twitter.com/NathanBLawrence/status/996175602427334656", "996175602427334656")</f>
        <v/>
      </c>
      <c r="B946" s="2" t="n">
        <v>43234.99243055555</v>
      </c>
      <c r="C946" t="n">
        <v>0</v>
      </c>
      <c r="D946" t="n">
        <v>3</v>
      </c>
      <c r="E946" t="s">
        <v>945</v>
      </c>
      <c r="F946" t="s"/>
      <c r="G946" t="s"/>
      <c r="H946" t="s"/>
      <c r="I946" t="s"/>
      <c r="J946" t="n">
        <v>0.7269</v>
      </c>
      <c r="K946" t="n">
        <v>0</v>
      </c>
      <c r="L946" t="n">
        <v>0.717</v>
      </c>
      <c r="M946" t="n">
        <v>0.283</v>
      </c>
    </row>
    <row r="947" spans="1:13">
      <c r="A947" s="1">
        <f>HYPERLINK("http://www.twitter.com/NathanBLawrence/status/996175490900725760", "996175490900725760")</f>
        <v/>
      </c>
      <c r="B947" s="2" t="n">
        <v>43234.99211805555</v>
      </c>
      <c r="C947" t="n">
        <v>0</v>
      </c>
      <c r="D947" t="n">
        <v>10</v>
      </c>
      <c r="E947" t="s">
        <v>946</v>
      </c>
      <c r="F947" t="s"/>
      <c r="G947" t="s"/>
      <c r="H947" t="s"/>
      <c r="I947" t="s"/>
      <c r="J947" t="n">
        <v>0.0493</v>
      </c>
      <c r="K947" t="n">
        <v>0.229</v>
      </c>
      <c r="L947" t="n">
        <v>0.5659999999999999</v>
      </c>
      <c r="M947" t="n">
        <v>0.205</v>
      </c>
    </row>
    <row r="948" spans="1:13">
      <c r="A948" s="1">
        <f>HYPERLINK("http://www.twitter.com/NathanBLawrence/status/996175479311863808", "996175479311863808")</f>
        <v/>
      </c>
      <c r="B948" s="2" t="n">
        <v>43234.99208333333</v>
      </c>
      <c r="C948" t="n">
        <v>0</v>
      </c>
      <c r="D948" t="n">
        <v>12</v>
      </c>
      <c r="E948" t="s">
        <v>947</v>
      </c>
      <c r="F948">
        <f>HYPERLINK("http://pbs.twimg.com/media/DdMdlqcUQAIoYqR.jpg", "http://pbs.twimg.com/media/DdMdlqcUQAIoYqR.jpg")</f>
        <v/>
      </c>
      <c r="G948" t="s"/>
      <c r="H948" t="s"/>
      <c r="I948" t="s"/>
      <c r="J948" t="n">
        <v>-0.34</v>
      </c>
      <c r="K948" t="n">
        <v>0.195</v>
      </c>
      <c r="L948" t="n">
        <v>0.699</v>
      </c>
      <c r="M948" t="n">
        <v>0.107</v>
      </c>
    </row>
    <row r="949" spans="1:13">
      <c r="A949" s="1">
        <f>HYPERLINK("http://www.twitter.com/NathanBLawrence/status/996175460743688195", "996175460743688195")</f>
        <v/>
      </c>
      <c r="B949" s="2" t="n">
        <v>43234.99203703704</v>
      </c>
      <c r="C949" t="n">
        <v>0</v>
      </c>
      <c r="D949" t="n">
        <v>10</v>
      </c>
      <c r="E949" t="s">
        <v>948</v>
      </c>
      <c r="F949" t="s"/>
      <c r="G949" t="s"/>
      <c r="H949" t="s"/>
      <c r="I949" t="s"/>
      <c r="J949" t="n">
        <v>-0.34</v>
      </c>
      <c r="K949" t="n">
        <v>0.188</v>
      </c>
      <c r="L949" t="n">
        <v>0.709</v>
      </c>
      <c r="M949" t="n">
        <v>0.103</v>
      </c>
    </row>
    <row r="950" spans="1:13">
      <c r="A950" s="1">
        <f>HYPERLINK("http://www.twitter.com/NathanBLawrence/status/996172652560740352", "996172652560740352")</f>
        <v/>
      </c>
      <c r="B950" s="2" t="n">
        <v>43234.98429398148</v>
      </c>
      <c r="C950" t="n">
        <v>0</v>
      </c>
      <c r="D950" t="n">
        <v>5</v>
      </c>
      <c r="E950" t="s">
        <v>949</v>
      </c>
      <c r="F950" t="s"/>
      <c r="G950" t="s"/>
      <c r="H950" t="s"/>
      <c r="I950" t="s"/>
      <c r="J950" t="n">
        <v>-0.0772</v>
      </c>
      <c r="K950" t="n">
        <v>0.06900000000000001</v>
      </c>
      <c r="L950" t="n">
        <v>0.876</v>
      </c>
      <c r="M950" t="n">
        <v>0.055</v>
      </c>
    </row>
    <row r="951" spans="1:13">
      <c r="A951" s="1">
        <f>HYPERLINK("http://www.twitter.com/NathanBLawrence/status/996172633975803906", "996172633975803906")</f>
        <v/>
      </c>
      <c r="B951" s="2" t="n">
        <v>43234.98423611111</v>
      </c>
      <c r="C951" t="n">
        <v>0</v>
      </c>
      <c r="D951" t="n">
        <v>3</v>
      </c>
      <c r="E951" t="s">
        <v>950</v>
      </c>
      <c r="F951" t="s"/>
      <c r="G951" t="s"/>
      <c r="H951" t="s"/>
      <c r="I951" t="s"/>
      <c r="J951" t="n">
        <v>0.2584</v>
      </c>
      <c r="K951" t="n">
        <v>0</v>
      </c>
      <c r="L951" t="n">
        <v>0.912</v>
      </c>
      <c r="M951" t="n">
        <v>0.08799999999999999</v>
      </c>
    </row>
    <row r="952" spans="1:13">
      <c r="A952" s="1">
        <f>HYPERLINK("http://www.twitter.com/NathanBLawrence/status/996172610156232704", "996172610156232704")</f>
        <v/>
      </c>
      <c r="B952" s="2" t="n">
        <v>43234.98416666667</v>
      </c>
      <c r="C952" t="n">
        <v>0</v>
      </c>
      <c r="D952" t="n">
        <v>14</v>
      </c>
      <c r="E952" t="s">
        <v>951</v>
      </c>
      <c r="F952" t="s"/>
      <c r="G952" t="s"/>
      <c r="H952" t="s"/>
      <c r="I952" t="s"/>
      <c r="J952" t="n">
        <v>0.1531</v>
      </c>
      <c r="K952" t="n">
        <v>0.137</v>
      </c>
      <c r="L952" t="n">
        <v>0.703</v>
      </c>
      <c r="M952" t="n">
        <v>0.16</v>
      </c>
    </row>
    <row r="953" spans="1:13">
      <c r="A953" s="1">
        <f>HYPERLINK("http://www.twitter.com/NathanBLawrence/status/996172580737503232", "996172580737503232")</f>
        <v/>
      </c>
      <c r="B953" s="2" t="n">
        <v>43234.98408564815</v>
      </c>
      <c r="C953" t="n">
        <v>0</v>
      </c>
      <c r="D953" t="n">
        <v>10</v>
      </c>
      <c r="E953" t="s">
        <v>952</v>
      </c>
      <c r="F953" t="s"/>
      <c r="G953" t="s"/>
      <c r="H953" t="s"/>
      <c r="I953" t="s"/>
      <c r="J953" t="n">
        <v>0</v>
      </c>
      <c r="K953" t="n">
        <v>0</v>
      </c>
      <c r="L953" t="n">
        <v>1</v>
      </c>
      <c r="M953" t="n">
        <v>0</v>
      </c>
    </row>
    <row r="954" spans="1:13">
      <c r="A954" s="1">
        <f>HYPERLINK("http://www.twitter.com/NathanBLawrence/status/996172524907003905", "996172524907003905")</f>
        <v/>
      </c>
      <c r="B954" s="2" t="n">
        <v>43234.98393518518</v>
      </c>
      <c r="C954" t="n">
        <v>2</v>
      </c>
      <c r="D954" t="n">
        <v>0</v>
      </c>
      <c r="E954" t="s">
        <v>953</v>
      </c>
      <c r="F954" t="s"/>
      <c r="G954" t="s"/>
      <c r="H954" t="s"/>
      <c r="I954" t="s"/>
      <c r="J954" t="n">
        <v>-0.5266999999999999</v>
      </c>
      <c r="K954" t="n">
        <v>0.254</v>
      </c>
      <c r="L954" t="n">
        <v>0.746</v>
      </c>
      <c r="M954" t="n">
        <v>0</v>
      </c>
    </row>
    <row r="955" spans="1:13">
      <c r="A955" s="1">
        <f>HYPERLINK("http://www.twitter.com/NathanBLawrence/status/996172218387312641", "996172218387312641")</f>
        <v/>
      </c>
      <c r="B955" s="2" t="n">
        <v>43234.98309027778</v>
      </c>
      <c r="C955" t="n">
        <v>8</v>
      </c>
      <c r="D955" t="n">
        <v>3</v>
      </c>
      <c r="E955" t="s">
        <v>954</v>
      </c>
      <c r="F955" t="s"/>
      <c r="G955" t="s"/>
      <c r="H955" t="s"/>
      <c r="I955" t="s"/>
      <c r="J955" t="n">
        <v>0.7269</v>
      </c>
      <c r="K955" t="n">
        <v>0</v>
      </c>
      <c r="L955" t="n">
        <v>0.705</v>
      </c>
      <c r="M955" t="n">
        <v>0.295</v>
      </c>
    </row>
    <row r="956" spans="1:13">
      <c r="A956" s="1">
        <f>HYPERLINK("http://www.twitter.com/NathanBLawrence/status/996170064041791491", "996170064041791491")</f>
        <v/>
      </c>
      <c r="B956" s="2" t="n">
        <v>43234.9771412037</v>
      </c>
      <c r="C956" t="n">
        <v>11</v>
      </c>
      <c r="D956" t="n">
        <v>2</v>
      </c>
      <c r="E956" t="s">
        <v>955</v>
      </c>
      <c r="F956" t="s"/>
      <c r="G956" t="s"/>
      <c r="H956" t="s"/>
      <c r="I956" t="s"/>
      <c r="J956" t="n">
        <v>-0.4199</v>
      </c>
      <c r="K956" t="n">
        <v>0.583</v>
      </c>
      <c r="L956" t="n">
        <v>0.417</v>
      </c>
      <c r="M956" t="n">
        <v>0</v>
      </c>
    </row>
    <row r="957" spans="1:13">
      <c r="A957" s="1">
        <f>HYPERLINK("http://www.twitter.com/NathanBLawrence/status/996170022060949509", "996170022060949509")</f>
        <v/>
      </c>
      <c r="B957" s="2" t="n">
        <v>43234.97702546296</v>
      </c>
      <c r="C957" t="n">
        <v>0</v>
      </c>
      <c r="D957" t="n">
        <v>84</v>
      </c>
      <c r="E957" t="s">
        <v>956</v>
      </c>
      <c r="F957" t="s"/>
      <c r="G957" t="s"/>
      <c r="H957" t="s"/>
      <c r="I957" t="s"/>
      <c r="J957" t="n">
        <v>0.6249</v>
      </c>
      <c r="K957" t="n">
        <v>0</v>
      </c>
      <c r="L957" t="n">
        <v>0.854</v>
      </c>
      <c r="M957" t="n">
        <v>0.146</v>
      </c>
    </row>
    <row r="958" spans="1:13">
      <c r="A958" s="1">
        <f>HYPERLINK("http://www.twitter.com/NathanBLawrence/status/996170011113910278", "996170011113910278")</f>
        <v/>
      </c>
      <c r="B958" s="2" t="n">
        <v>43234.97700231482</v>
      </c>
      <c r="C958" t="n">
        <v>0</v>
      </c>
      <c r="D958" t="n">
        <v>69</v>
      </c>
      <c r="E958" t="s">
        <v>957</v>
      </c>
      <c r="F958" t="s"/>
      <c r="G958" t="s"/>
      <c r="H958" t="s"/>
      <c r="I958" t="s"/>
      <c r="J958" t="n">
        <v>0.9022</v>
      </c>
      <c r="K958" t="n">
        <v>0</v>
      </c>
      <c r="L958" t="n">
        <v>0.584</v>
      </c>
      <c r="M958" t="n">
        <v>0.416</v>
      </c>
    </row>
    <row r="959" spans="1:13">
      <c r="A959" s="1">
        <f>HYPERLINK("http://www.twitter.com/NathanBLawrence/status/996170001722769410", "996170001722769410")</f>
        <v/>
      </c>
      <c r="B959" s="2" t="n">
        <v>43234.97697916667</v>
      </c>
      <c r="C959" t="n">
        <v>0</v>
      </c>
      <c r="D959" t="n">
        <v>58</v>
      </c>
      <c r="E959" t="s">
        <v>958</v>
      </c>
      <c r="F959" t="s"/>
      <c r="G959" t="s"/>
      <c r="H959" t="s"/>
      <c r="I959" t="s"/>
      <c r="J959" t="n">
        <v>-0.128</v>
      </c>
      <c r="K959" t="n">
        <v>0.155</v>
      </c>
      <c r="L959" t="n">
        <v>0.741</v>
      </c>
      <c r="M959" t="n">
        <v>0.104</v>
      </c>
    </row>
    <row r="960" spans="1:13">
      <c r="A960" s="1">
        <f>HYPERLINK("http://www.twitter.com/NathanBLawrence/status/996169978096312322", "996169978096312322")</f>
        <v/>
      </c>
      <c r="B960" s="2" t="n">
        <v>43234.97690972222</v>
      </c>
      <c r="C960" t="n">
        <v>0</v>
      </c>
      <c r="D960" t="n">
        <v>59</v>
      </c>
      <c r="E960" t="s">
        <v>959</v>
      </c>
      <c r="F960" t="s"/>
      <c r="G960" t="s"/>
      <c r="H960" t="s"/>
      <c r="I960" t="s"/>
      <c r="J960" t="n">
        <v>0.5023</v>
      </c>
      <c r="K960" t="n">
        <v>0.068</v>
      </c>
      <c r="L960" t="n">
        <v>0.791</v>
      </c>
      <c r="M960" t="n">
        <v>0.142</v>
      </c>
    </row>
    <row r="961" spans="1:13">
      <c r="A961" s="1">
        <f>HYPERLINK("http://www.twitter.com/NathanBLawrence/status/996169963663749120", "996169963663749120")</f>
        <v/>
      </c>
      <c r="B961" s="2" t="n">
        <v>43234.97686342592</v>
      </c>
      <c r="C961" t="n">
        <v>0</v>
      </c>
      <c r="D961" t="n">
        <v>61</v>
      </c>
      <c r="E961" t="s">
        <v>960</v>
      </c>
      <c r="F961" t="s"/>
      <c r="G961" t="s"/>
      <c r="H961" t="s"/>
      <c r="I961" t="s"/>
      <c r="J961" t="n">
        <v>0</v>
      </c>
      <c r="K961" t="n">
        <v>0</v>
      </c>
      <c r="L961" t="n">
        <v>1</v>
      </c>
      <c r="M961" t="n">
        <v>0</v>
      </c>
    </row>
    <row r="962" spans="1:13">
      <c r="A962" s="1">
        <f>HYPERLINK("http://www.twitter.com/NathanBLawrence/status/996169918667218944", "996169918667218944")</f>
        <v/>
      </c>
      <c r="B962" s="2" t="n">
        <v>43234.97674768518</v>
      </c>
      <c r="C962" t="n">
        <v>0</v>
      </c>
      <c r="D962" t="n">
        <v>482</v>
      </c>
      <c r="E962" t="s">
        <v>961</v>
      </c>
      <c r="F962" t="s"/>
      <c r="G962" t="s"/>
      <c r="H962" t="s"/>
      <c r="I962" t="s"/>
      <c r="J962" t="n">
        <v>0.4588</v>
      </c>
      <c r="K962" t="n">
        <v>0.08</v>
      </c>
      <c r="L962" t="n">
        <v>0.763</v>
      </c>
      <c r="M962" t="n">
        <v>0.156</v>
      </c>
    </row>
    <row r="963" spans="1:13">
      <c r="A963" s="1">
        <f>HYPERLINK("http://www.twitter.com/NathanBLawrence/status/996169578844737537", "996169578844737537")</f>
        <v/>
      </c>
      <c r="B963" s="2" t="n">
        <v>43234.97581018518</v>
      </c>
      <c r="C963" t="n">
        <v>0</v>
      </c>
      <c r="D963" t="n">
        <v>6</v>
      </c>
      <c r="E963" t="s">
        <v>962</v>
      </c>
      <c r="F963" t="s"/>
      <c r="G963" t="s"/>
      <c r="H963" t="s"/>
      <c r="I963" t="s"/>
      <c r="J963" t="n">
        <v>0.296</v>
      </c>
      <c r="K963" t="n">
        <v>0.144</v>
      </c>
      <c r="L963" t="n">
        <v>0.638</v>
      </c>
      <c r="M963" t="n">
        <v>0.218</v>
      </c>
    </row>
    <row r="964" spans="1:13">
      <c r="A964" s="1">
        <f>HYPERLINK("http://www.twitter.com/NathanBLawrence/status/996169377203589121", "996169377203589121")</f>
        <v/>
      </c>
      <c r="B964" s="2" t="n">
        <v>43234.97525462963</v>
      </c>
      <c r="C964" t="n">
        <v>6</v>
      </c>
      <c r="D964" t="n">
        <v>6</v>
      </c>
      <c r="E964" t="s">
        <v>963</v>
      </c>
      <c r="F964" t="s"/>
      <c r="G964" t="s"/>
      <c r="H964" t="s"/>
      <c r="I964" t="s"/>
      <c r="J964" t="n">
        <v>-0.1548</v>
      </c>
      <c r="K964" t="n">
        <v>0.159</v>
      </c>
      <c r="L964" t="n">
        <v>0.674</v>
      </c>
      <c r="M964" t="n">
        <v>0.167</v>
      </c>
    </row>
    <row r="965" spans="1:13">
      <c r="A965" s="1">
        <f>HYPERLINK("http://www.twitter.com/NathanBLawrence/status/996168939825696769", "996168939825696769")</f>
        <v/>
      </c>
      <c r="B965" s="2" t="n">
        <v>43234.97403935185</v>
      </c>
      <c r="C965" t="n">
        <v>0</v>
      </c>
      <c r="D965" t="n">
        <v>3</v>
      </c>
      <c r="E965" t="s">
        <v>964</v>
      </c>
      <c r="F965" t="s"/>
      <c r="G965" t="s"/>
      <c r="H965" t="s"/>
      <c r="I965" t="s"/>
      <c r="J965" t="n">
        <v>-0.3818</v>
      </c>
      <c r="K965" t="n">
        <v>0.106</v>
      </c>
      <c r="L965" t="n">
        <v>0.894</v>
      </c>
      <c r="M965" t="n">
        <v>0</v>
      </c>
    </row>
    <row r="966" spans="1:13">
      <c r="A966" s="1">
        <f>HYPERLINK("http://www.twitter.com/NathanBLawrence/status/996168519170576384", "996168519170576384")</f>
        <v/>
      </c>
      <c r="B966" s="2" t="n">
        <v>43234.97288194444</v>
      </c>
      <c r="C966" t="n">
        <v>0</v>
      </c>
      <c r="D966" t="n">
        <v>9</v>
      </c>
      <c r="E966" t="s">
        <v>965</v>
      </c>
      <c r="F966" t="s"/>
      <c r="G966" t="s"/>
      <c r="H966" t="s"/>
      <c r="I966" t="s"/>
      <c r="J966" t="n">
        <v>-0.9062</v>
      </c>
      <c r="K966" t="n">
        <v>0.359</v>
      </c>
      <c r="L966" t="n">
        <v>0.641</v>
      </c>
      <c r="M966" t="n">
        <v>0</v>
      </c>
    </row>
    <row r="967" spans="1:13">
      <c r="A967" s="1">
        <f>HYPERLINK("http://www.twitter.com/NathanBLawrence/status/996168493157552130", "996168493157552130")</f>
        <v/>
      </c>
      <c r="B967" s="2" t="n">
        <v>43234.9728125</v>
      </c>
      <c r="C967" t="n">
        <v>0</v>
      </c>
      <c r="D967" t="n">
        <v>5</v>
      </c>
      <c r="E967" t="s">
        <v>966</v>
      </c>
      <c r="F967" t="s"/>
      <c r="G967" t="s"/>
      <c r="H967" t="s"/>
      <c r="I967" t="s"/>
      <c r="J967" t="n">
        <v>0.6832</v>
      </c>
      <c r="K967" t="n">
        <v>0</v>
      </c>
      <c r="L967" t="n">
        <v>0.731</v>
      </c>
      <c r="M967" t="n">
        <v>0.269</v>
      </c>
    </row>
    <row r="968" spans="1:13">
      <c r="A968" s="1">
        <f>HYPERLINK("http://www.twitter.com/NathanBLawrence/status/996168471347105792", "996168471347105792")</f>
        <v/>
      </c>
      <c r="B968" s="2" t="n">
        <v>43234.97275462963</v>
      </c>
      <c r="C968" t="n">
        <v>0</v>
      </c>
      <c r="D968" t="n">
        <v>4</v>
      </c>
      <c r="E968" t="s">
        <v>967</v>
      </c>
      <c r="F968" t="s"/>
      <c r="G968" t="s"/>
      <c r="H968" t="s"/>
      <c r="I968" t="s"/>
      <c r="J968" t="n">
        <v>0</v>
      </c>
      <c r="K968" t="n">
        <v>0</v>
      </c>
      <c r="L968" t="n">
        <v>1</v>
      </c>
      <c r="M968" t="n">
        <v>0</v>
      </c>
    </row>
    <row r="969" spans="1:13">
      <c r="A969" s="1">
        <f>HYPERLINK("http://www.twitter.com/NathanBLawrence/status/996168413159591938", "996168413159591938")</f>
        <v/>
      </c>
      <c r="B969" s="2" t="n">
        <v>43234.9725925926</v>
      </c>
      <c r="C969" t="n">
        <v>9</v>
      </c>
      <c r="D969" t="n">
        <v>3</v>
      </c>
      <c r="E969" t="s">
        <v>968</v>
      </c>
      <c r="F969" t="s"/>
      <c r="G969" t="s"/>
      <c r="H969" t="s"/>
      <c r="I969" t="s"/>
      <c r="J969" t="n">
        <v>0.2584</v>
      </c>
      <c r="K969" t="n">
        <v>0</v>
      </c>
      <c r="L969" t="n">
        <v>0.912</v>
      </c>
      <c r="M969" t="n">
        <v>0.08799999999999999</v>
      </c>
    </row>
    <row r="970" spans="1:13">
      <c r="A970" s="1">
        <f>HYPERLINK("http://www.twitter.com/NathanBLawrence/status/996168263431311360", "996168263431311360")</f>
        <v/>
      </c>
      <c r="B970" s="2" t="n">
        <v>43234.97217592593</v>
      </c>
      <c r="C970" t="n">
        <v>0</v>
      </c>
      <c r="D970" t="n">
        <v>16</v>
      </c>
      <c r="E970" t="s">
        <v>969</v>
      </c>
      <c r="F970" t="s"/>
      <c r="G970" t="s"/>
      <c r="H970" t="s"/>
      <c r="I970" t="s"/>
      <c r="J970" t="n">
        <v>0</v>
      </c>
      <c r="K970" t="n">
        <v>0</v>
      </c>
      <c r="L970" t="n">
        <v>1</v>
      </c>
      <c r="M970" t="n">
        <v>0</v>
      </c>
    </row>
    <row r="971" spans="1:13">
      <c r="A971" s="1">
        <f>HYPERLINK("http://www.twitter.com/NathanBLawrence/status/996168122834046978", "996168122834046978")</f>
        <v/>
      </c>
      <c r="B971" s="2" t="n">
        <v>43234.97179398148</v>
      </c>
      <c r="C971" t="n">
        <v>0</v>
      </c>
      <c r="D971" t="n">
        <v>3</v>
      </c>
      <c r="E971" t="s">
        <v>970</v>
      </c>
      <c r="F971">
        <f>HYPERLINK("https://video.twimg.com/ext_tw_video/996164669562814464/pu/vid/640x360/jPv9j0JcWEQV2ZDm.mp4?tag=3", "https://video.twimg.com/ext_tw_video/996164669562814464/pu/vid/640x360/jPv9j0JcWEQV2ZDm.mp4?tag=3")</f>
        <v/>
      </c>
      <c r="G971" t="s"/>
      <c r="H971" t="s"/>
      <c r="I971" t="s"/>
      <c r="J971" t="n">
        <v>0</v>
      </c>
      <c r="K971" t="n">
        <v>0</v>
      </c>
      <c r="L971" t="n">
        <v>1</v>
      </c>
      <c r="M971" t="n">
        <v>0</v>
      </c>
    </row>
    <row r="972" spans="1:13">
      <c r="A972" s="1">
        <f>HYPERLINK("http://www.twitter.com/NathanBLawrence/status/996168076973563907", "996168076973563907")</f>
        <v/>
      </c>
      <c r="B972" s="2" t="n">
        <v>43234.97166666666</v>
      </c>
      <c r="C972" t="n">
        <v>3</v>
      </c>
      <c r="D972" t="n">
        <v>5</v>
      </c>
      <c r="E972" t="s">
        <v>971</v>
      </c>
      <c r="F972" t="s"/>
      <c r="G972" t="s"/>
      <c r="H972" t="s"/>
      <c r="I972" t="s"/>
      <c r="J972" t="n">
        <v>-0.0253</v>
      </c>
      <c r="K972" t="n">
        <v>0.08400000000000001</v>
      </c>
      <c r="L972" t="n">
        <v>0.835</v>
      </c>
      <c r="M972" t="n">
        <v>0.081</v>
      </c>
    </row>
    <row r="973" spans="1:13">
      <c r="A973" s="1">
        <f>HYPERLINK("http://www.twitter.com/NathanBLawrence/status/996167467859955713", "996167467859955713")</f>
        <v/>
      </c>
      <c r="B973" s="2" t="n">
        <v>43234.96997685185</v>
      </c>
      <c r="C973" t="n">
        <v>0</v>
      </c>
      <c r="D973" t="n">
        <v>3</v>
      </c>
      <c r="E973" t="s">
        <v>972</v>
      </c>
      <c r="F973" t="s"/>
      <c r="G973" t="s"/>
      <c r="H973" t="s"/>
      <c r="I973" t="s"/>
      <c r="J973" t="n">
        <v>0</v>
      </c>
      <c r="K973" t="n">
        <v>0</v>
      </c>
      <c r="L973" t="n">
        <v>1</v>
      </c>
      <c r="M973" t="n">
        <v>0</v>
      </c>
    </row>
    <row r="974" spans="1:13">
      <c r="A974" s="1">
        <f>HYPERLINK("http://www.twitter.com/NathanBLawrence/status/996167384502296587", "996167384502296587")</f>
        <v/>
      </c>
      <c r="B974" s="2" t="n">
        <v>43234.96975694445</v>
      </c>
      <c r="C974" t="n">
        <v>5</v>
      </c>
      <c r="D974" t="n">
        <v>3</v>
      </c>
      <c r="E974" t="s">
        <v>973</v>
      </c>
      <c r="F974" t="s"/>
      <c r="G974" t="s"/>
      <c r="H974" t="s"/>
      <c r="I974" t="s"/>
      <c r="J974" t="n">
        <v>-0.3736</v>
      </c>
      <c r="K974" t="n">
        <v>0.061</v>
      </c>
      <c r="L974" t="n">
        <v>0.91</v>
      </c>
      <c r="M974" t="n">
        <v>0.029</v>
      </c>
    </row>
    <row r="975" spans="1:13">
      <c r="A975" s="1">
        <f>HYPERLINK("http://www.twitter.com/NathanBLawrence/status/996166732283809793", "996166732283809793")</f>
        <v/>
      </c>
      <c r="B975" s="2" t="n">
        <v>43234.96795138889</v>
      </c>
      <c r="C975" t="n">
        <v>0</v>
      </c>
      <c r="D975" t="n">
        <v>197</v>
      </c>
      <c r="E975" t="s">
        <v>974</v>
      </c>
      <c r="F975" t="s"/>
      <c r="G975" t="s"/>
      <c r="H975" t="s"/>
      <c r="I975" t="s"/>
      <c r="J975" t="n">
        <v>-0.8442</v>
      </c>
      <c r="K975" t="n">
        <v>0.336</v>
      </c>
      <c r="L975" t="n">
        <v>0.664</v>
      </c>
      <c r="M975" t="n">
        <v>0</v>
      </c>
    </row>
    <row r="976" spans="1:13">
      <c r="A976" s="1">
        <f>HYPERLINK("http://www.twitter.com/NathanBLawrence/status/996166691792080896", "996166691792080896")</f>
        <v/>
      </c>
      <c r="B976" s="2" t="n">
        <v>43234.96783564815</v>
      </c>
      <c r="C976" t="n">
        <v>0</v>
      </c>
      <c r="D976" t="n">
        <v>0</v>
      </c>
      <c r="E976" t="s">
        <v>975</v>
      </c>
      <c r="F976" t="s"/>
      <c r="G976" t="s"/>
      <c r="H976" t="s"/>
      <c r="I976" t="s"/>
      <c r="J976" t="n">
        <v>0</v>
      </c>
      <c r="K976" t="n">
        <v>0</v>
      </c>
      <c r="L976" t="n">
        <v>1</v>
      </c>
      <c r="M976" t="n">
        <v>0</v>
      </c>
    </row>
    <row r="977" spans="1:13">
      <c r="A977" s="1">
        <f>HYPERLINK("http://www.twitter.com/NathanBLawrence/status/996166402259275777", "996166402259275777")</f>
        <v/>
      </c>
      <c r="B977" s="2" t="n">
        <v>43234.96703703704</v>
      </c>
      <c r="C977" t="n">
        <v>0</v>
      </c>
      <c r="D977" t="n">
        <v>10</v>
      </c>
      <c r="E977" t="s">
        <v>976</v>
      </c>
      <c r="F977">
        <f>HYPERLINK("http://pbs.twimg.com/media/DdMXphAX4AQ0mJd.jpg", "http://pbs.twimg.com/media/DdMXphAX4AQ0mJd.jpg")</f>
        <v/>
      </c>
      <c r="G977" t="s"/>
      <c r="H977" t="s"/>
      <c r="I977" t="s"/>
      <c r="J977" t="n">
        <v>0.1225</v>
      </c>
      <c r="K977" t="n">
        <v>0.141</v>
      </c>
      <c r="L977" t="n">
        <v>0.699</v>
      </c>
      <c r="M977" t="n">
        <v>0.16</v>
      </c>
    </row>
    <row r="978" spans="1:13">
      <c r="A978" s="1">
        <f>HYPERLINK("http://www.twitter.com/NathanBLawrence/status/996165951950409729", "996165951950409729")</f>
        <v/>
      </c>
      <c r="B978" s="2" t="n">
        <v>43234.96579861111</v>
      </c>
      <c r="C978" t="n">
        <v>12</v>
      </c>
      <c r="D978" t="n">
        <v>10</v>
      </c>
      <c r="E978" t="s">
        <v>977</v>
      </c>
      <c r="F978">
        <f>HYPERLINK("http://pbs.twimg.com/media/DdMXphAX4AQ0mJd.jpg", "http://pbs.twimg.com/media/DdMXphAX4AQ0mJd.jpg")</f>
        <v/>
      </c>
      <c r="G978" t="s"/>
      <c r="H978" t="s"/>
      <c r="I978" t="s"/>
      <c r="J978" t="n">
        <v>0.4579</v>
      </c>
      <c r="K978" t="n">
        <v>0.123</v>
      </c>
      <c r="L978" t="n">
        <v>0.714</v>
      </c>
      <c r="M978" t="n">
        <v>0.163</v>
      </c>
    </row>
    <row r="979" spans="1:13">
      <c r="A979" s="1">
        <f>HYPERLINK("http://www.twitter.com/NathanBLawrence/status/996163996276412416", "996163996276412416")</f>
        <v/>
      </c>
      <c r="B979" s="2" t="n">
        <v>43234.96040509259</v>
      </c>
      <c r="C979" t="n">
        <v>0</v>
      </c>
      <c r="D979" t="n">
        <v>6</v>
      </c>
      <c r="E979" t="s">
        <v>978</v>
      </c>
      <c r="F979" t="s"/>
      <c r="G979" t="s"/>
      <c r="H979" t="s"/>
      <c r="I979" t="s"/>
      <c r="J979" t="n">
        <v>0</v>
      </c>
      <c r="K979" t="n">
        <v>0</v>
      </c>
      <c r="L979" t="n">
        <v>1</v>
      </c>
      <c r="M979" t="n">
        <v>0</v>
      </c>
    </row>
    <row r="980" spans="1:13">
      <c r="A980" s="1">
        <f>HYPERLINK("http://www.twitter.com/NathanBLawrence/status/996163775391772679", "996163775391772679")</f>
        <v/>
      </c>
      <c r="B980" s="2" t="n">
        <v>43234.95979166667</v>
      </c>
      <c r="C980" t="n">
        <v>0</v>
      </c>
      <c r="D980" t="n">
        <v>5</v>
      </c>
      <c r="E980" t="s">
        <v>979</v>
      </c>
      <c r="F980" t="s"/>
      <c r="G980" t="s"/>
      <c r="H980" t="s"/>
      <c r="I980" t="s"/>
      <c r="J980" t="n">
        <v>-0.2551</v>
      </c>
      <c r="K980" t="n">
        <v>0.197</v>
      </c>
      <c r="L980" t="n">
        <v>0.714</v>
      </c>
      <c r="M980" t="n">
        <v>0.089</v>
      </c>
    </row>
    <row r="981" spans="1:13">
      <c r="A981" s="1">
        <f>HYPERLINK("http://www.twitter.com/NathanBLawrence/status/996163666566369286", "996163666566369286")</f>
        <v/>
      </c>
      <c r="B981" s="2" t="n">
        <v>43234.95949074074</v>
      </c>
      <c r="C981" t="n">
        <v>1</v>
      </c>
      <c r="D981" t="n">
        <v>0</v>
      </c>
      <c r="E981" t="s">
        <v>980</v>
      </c>
      <c r="F981" t="s"/>
      <c r="G981" t="s"/>
      <c r="H981" t="s"/>
      <c r="I981" t="s"/>
      <c r="J981" t="n">
        <v>0.34</v>
      </c>
      <c r="K981" t="n">
        <v>0</v>
      </c>
      <c r="L981" t="n">
        <v>0.821</v>
      </c>
      <c r="M981" t="n">
        <v>0.179</v>
      </c>
    </row>
    <row r="982" spans="1:13">
      <c r="A982" s="1">
        <f>HYPERLINK("http://www.twitter.com/NathanBLawrence/status/996162373273735168", "996162373273735168")</f>
        <v/>
      </c>
      <c r="B982" s="2" t="n">
        <v>43234.95592592593</v>
      </c>
      <c r="C982" t="n">
        <v>8</v>
      </c>
      <c r="D982" t="n">
        <v>5</v>
      </c>
      <c r="E982" t="s">
        <v>981</v>
      </c>
      <c r="F982" t="s"/>
      <c r="G982" t="s"/>
      <c r="H982" t="s"/>
      <c r="I982" t="s"/>
      <c r="J982" t="n">
        <v>0.7026</v>
      </c>
      <c r="K982" t="n">
        <v>0.04</v>
      </c>
      <c r="L982" t="n">
        <v>0.788</v>
      </c>
      <c r="M982" t="n">
        <v>0.172</v>
      </c>
    </row>
    <row r="983" spans="1:13">
      <c r="A983" s="1">
        <f>HYPERLINK("http://www.twitter.com/NathanBLawrence/status/996161805331456002", "996161805331456002")</f>
        <v/>
      </c>
      <c r="B983" s="2" t="n">
        <v>43234.95435185185</v>
      </c>
      <c r="C983" t="n">
        <v>5</v>
      </c>
      <c r="D983" t="n">
        <v>3</v>
      </c>
      <c r="E983" t="s">
        <v>982</v>
      </c>
      <c r="F983" t="s"/>
      <c r="G983" t="s"/>
      <c r="H983" t="s"/>
      <c r="I983" t="s"/>
      <c r="J983" t="n">
        <v>-0.34</v>
      </c>
      <c r="K983" t="n">
        <v>0.12</v>
      </c>
      <c r="L983" t="n">
        <v>0.8100000000000001</v>
      </c>
      <c r="M983" t="n">
        <v>0.07000000000000001</v>
      </c>
    </row>
    <row r="984" spans="1:13">
      <c r="A984" s="1">
        <f>HYPERLINK("http://www.twitter.com/NathanBLawrence/status/996161419023446016", "996161419023446016")</f>
        <v/>
      </c>
      <c r="B984" s="2" t="n">
        <v>43234.95328703704</v>
      </c>
      <c r="C984" t="n">
        <v>1</v>
      </c>
      <c r="D984" t="n">
        <v>2</v>
      </c>
      <c r="E984" t="s">
        <v>983</v>
      </c>
      <c r="F984" t="s"/>
      <c r="G984" t="s"/>
      <c r="H984" t="s"/>
      <c r="I984" t="s"/>
      <c r="J984" t="n">
        <v>0.4588</v>
      </c>
      <c r="K984" t="n">
        <v>0</v>
      </c>
      <c r="L984" t="n">
        <v>0.879</v>
      </c>
      <c r="M984" t="n">
        <v>0.121</v>
      </c>
    </row>
    <row r="985" spans="1:13">
      <c r="A985" s="1">
        <f>HYPERLINK("http://www.twitter.com/NathanBLawrence/status/996160373974818817", "996160373974818817")</f>
        <v/>
      </c>
      <c r="B985" s="2" t="n">
        <v>43234.95040509259</v>
      </c>
      <c r="C985" t="n">
        <v>8</v>
      </c>
      <c r="D985" t="n">
        <v>5</v>
      </c>
      <c r="E985" t="s">
        <v>984</v>
      </c>
      <c r="F985" t="s"/>
      <c r="G985" t="s"/>
      <c r="H985" t="s"/>
      <c r="I985" t="s"/>
      <c r="J985" t="n">
        <v>-0.7919</v>
      </c>
      <c r="K985" t="n">
        <v>0.241</v>
      </c>
      <c r="L985" t="n">
        <v>0.711</v>
      </c>
      <c r="M985" t="n">
        <v>0.048</v>
      </c>
    </row>
    <row r="986" spans="1:13">
      <c r="A986" s="1">
        <f>HYPERLINK("http://www.twitter.com/NathanBLawrence/status/996158025994993666", "996158025994993666")</f>
        <v/>
      </c>
      <c r="B986" s="2" t="n">
        <v>43234.94392361111</v>
      </c>
      <c r="C986" t="n">
        <v>4</v>
      </c>
      <c r="D986" t="n">
        <v>2</v>
      </c>
      <c r="E986" t="s">
        <v>985</v>
      </c>
      <c r="F986" t="s"/>
      <c r="G986" t="s"/>
      <c r="H986" t="s"/>
      <c r="I986" t="s"/>
      <c r="J986" t="n">
        <v>0</v>
      </c>
      <c r="K986" t="n">
        <v>0</v>
      </c>
      <c r="L986" t="n">
        <v>1</v>
      </c>
      <c r="M986" t="n">
        <v>0</v>
      </c>
    </row>
    <row r="987" spans="1:13">
      <c r="A987" s="1">
        <f>HYPERLINK("http://www.twitter.com/NathanBLawrence/status/996157639645155328", "996157639645155328")</f>
        <v/>
      </c>
      <c r="B987" s="2" t="n">
        <v>43234.9428587963</v>
      </c>
      <c r="C987" t="n">
        <v>6</v>
      </c>
      <c r="D987" t="n">
        <v>3</v>
      </c>
      <c r="E987" t="s">
        <v>986</v>
      </c>
      <c r="F987" t="s"/>
      <c r="G987" t="s"/>
      <c r="H987" t="s"/>
      <c r="I987" t="s"/>
      <c r="J987" t="n">
        <v>0.4871</v>
      </c>
      <c r="K987" t="n">
        <v>0</v>
      </c>
      <c r="L987" t="n">
        <v>0.864</v>
      </c>
      <c r="M987" t="n">
        <v>0.136</v>
      </c>
    </row>
    <row r="988" spans="1:13">
      <c r="A988" s="1">
        <f>HYPERLINK("http://www.twitter.com/NathanBLawrence/status/996157498028711937", "996157498028711937")</f>
        <v/>
      </c>
      <c r="B988" s="2" t="n">
        <v>43234.94246527777</v>
      </c>
      <c r="C988" t="n">
        <v>4</v>
      </c>
      <c r="D988" t="n">
        <v>2</v>
      </c>
      <c r="E988" t="s">
        <v>987</v>
      </c>
      <c r="F988" t="s"/>
      <c r="G988" t="s"/>
      <c r="H988" t="s"/>
      <c r="I988" t="s"/>
      <c r="J988" t="n">
        <v>0.444</v>
      </c>
      <c r="K988" t="n">
        <v>0.067</v>
      </c>
      <c r="L988" t="n">
        <v>0.806</v>
      </c>
      <c r="M988" t="n">
        <v>0.127</v>
      </c>
    </row>
    <row r="989" spans="1:13">
      <c r="A989" s="1">
        <f>HYPERLINK("http://www.twitter.com/NathanBLawrence/status/996156584601489413", "996156584601489413")</f>
        <v/>
      </c>
      <c r="B989" s="2" t="n">
        <v>43234.9399537037</v>
      </c>
      <c r="C989" t="n">
        <v>3</v>
      </c>
      <c r="D989" t="n">
        <v>1</v>
      </c>
      <c r="E989" t="s">
        <v>988</v>
      </c>
      <c r="F989" t="s"/>
      <c r="G989" t="s"/>
      <c r="H989" t="s"/>
      <c r="I989" t="s"/>
      <c r="J989" t="n">
        <v>-0.8156</v>
      </c>
      <c r="K989" t="n">
        <v>0.308</v>
      </c>
      <c r="L989" t="n">
        <v>0.6919999999999999</v>
      </c>
      <c r="M989" t="n">
        <v>0</v>
      </c>
    </row>
    <row r="990" spans="1:13">
      <c r="A990" s="1">
        <f>HYPERLINK("http://www.twitter.com/NathanBLawrence/status/996156344142090240", "996156344142090240")</f>
        <v/>
      </c>
      <c r="B990" s="2" t="n">
        <v>43234.93928240741</v>
      </c>
      <c r="C990" t="n">
        <v>1</v>
      </c>
      <c r="D990" t="n">
        <v>0</v>
      </c>
      <c r="E990" t="s">
        <v>989</v>
      </c>
      <c r="F990" t="s"/>
      <c r="G990" t="s"/>
      <c r="H990" t="s"/>
      <c r="I990" t="s"/>
      <c r="J990" t="n">
        <v>-0.1316</v>
      </c>
      <c r="K990" t="n">
        <v>0.131</v>
      </c>
      <c r="L990" t="n">
        <v>0.869</v>
      </c>
      <c r="M990" t="n">
        <v>0</v>
      </c>
    </row>
    <row r="991" spans="1:13">
      <c r="A991" s="1">
        <f>HYPERLINK("http://www.twitter.com/NathanBLawrence/status/996156183890333696", "996156183890333696")</f>
        <v/>
      </c>
      <c r="B991" s="2" t="n">
        <v>43234.93884259259</v>
      </c>
      <c r="C991" t="n">
        <v>0</v>
      </c>
      <c r="D991" t="n">
        <v>6</v>
      </c>
      <c r="E991" t="s">
        <v>990</v>
      </c>
      <c r="F991" t="s"/>
      <c r="G991" t="s"/>
      <c r="H991" t="s"/>
      <c r="I991" t="s"/>
      <c r="J991" t="n">
        <v>0.6892</v>
      </c>
      <c r="K991" t="n">
        <v>0</v>
      </c>
      <c r="L991" t="n">
        <v>0.8179999999999999</v>
      </c>
      <c r="M991" t="n">
        <v>0.182</v>
      </c>
    </row>
    <row r="992" spans="1:13">
      <c r="A992" s="1">
        <f>HYPERLINK("http://www.twitter.com/NathanBLawrence/status/996156089413586944", "996156089413586944")</f>
        <v/>
      </c>
      <c r="B992" s="2" t="n">
        <v>43234.93858796296</v>
      </c>
      <c r="C992" t="n">
        <v>0</v>
      </c>
      <c r="D992" t="n">
        <v>18</v>
      </c>
      <c r="E992" t="s">
        <v>991</v>
      </c>
      <c r="F992">
        <f>HYPERLINK("http://pbs.twimg.com/media/DdMOkaXWkAAAXgn.jpg", "http://pbs.twimg.com/media/DdMOkaXWkAAAXgn.jpg")</f>
        <v/>
      </c>
      <c r="G992">
        <f>HYPERLINK("http://pbs.twimg.com/media/DdMOk5wWkAE2Duq.jpg", "http://pbs.twimg.com/media/DdMOk5wWkAE2Duq.jpg")</f>
        <v/>
      </c>
      <c r="H992" t="s"/>
      <c r="I992" t="s"/>
      <c r="J992" t="n">
        <v>-0.3447</v>
      </c>
      <c r="K992" t="n">
        <v>0.153</v>
      </c>
      <c r="L992" t="n">
        <v>0.847</v>
      </c>
      <c r="M992" t="n">
        <v>0</v>
      </c>
    </row>
    <row r="993" spans="1:13">
      <c r="A993" s="1">
        <f>HYPERLINK("http://www.twitter.com/NathanBLawrence/status/996155975718629377", "996155975718629377")</f>
        <v/>
      </c>
      <c r="B993" s="2" t="n">
        <v>43234.93826388889</v>
      </c>
      <c r="C993" t="n">
        <v>24</v>
      </c>
      <c r="D993" t="n">
        <v>18</v>
      </c>
      <c r="E993" t="s">
        <v>992</v>
      </c>
      <c r="F993">
        <f>HYPERLINK("http://pbs.twimg.com/media/DdMOkaXWkAAAXgn.jpg", "http://pbs.twimg.com/media/DdMOkaXWkAAAXgn.jpg")</f>
        <v/>
      </c>
      <c r="G993">
        <f>HYPERLINK("http://pbs.twimg.com/media/DdMOk5wWkAE2Duq.jpg", "http://pbs.twimg.com/media/DdMOk5wWkAE2Duq.jpg")</f>
        <v/>
      </c>
      <c r="H993" t="s"/>
      <c r="I993" t="s"/>
      <c r="J993" t="n">
        <v>-0.4471</v>
      </c>
      <c r="K993" t="n">
        <v>0.105</v>
      </c>
      <c r="L993" t="n">
        <v>0.895</v>
      </c>
      <c r="M993" t="n">
        <v>0</v>
      </c>
    </row>
    <row r="994" spans="1:13">
      <c r="A994" s="1">
        <f>HYPERLINK("http://www.twitter.com/NathanBLawrence/status/996154790508933122", "996154790508933122")</f>
        <v/>
      </c>
      <c r="B994" s="2" t="n">
        <v>43234.935</v>
      </c>
      <c r="C994" t="n">
        <v>0</v>
      </c>
      <c r="D994" t="n">
        <v>32</v>
      </c>
      <c r="E994" t="s">
        <v>993</v>
      </c>
      <c r="F994" t="s"/>
      <c r="G994" t="s"/>
      <c r="H994" t="s"/>
      <c r="I994" t="s"/>
      <c r="J994" t="n">
        <v>0</v>
      </c>
      <c r="K994" t="n">
        <v>0</v>
      </c>
      <c r="L994" t="n">
        <v>1</v>
      </c>
      <c r="M994" t="n">
        <v>0</v>
      </c>
    </row>
    <row r="995" spans="1:13">
      <c r="A995" s="1">
        <f>HYPERLINK("http://www.twitter.com/NathanBLawrence/status/996154501936697345", "996154501936697345")</f>
        <v/>
      </c>
      <c r="B995" s="2" t="n">
        <v>43234.93420138889</v>
      </c>
      <c r="C995" t="n">
        <v>0</v>
      </c>
      <c r="D995" t="n">
        <v>25</v>
      </c>
      <c r="E995" t="s">
        <v>994</v>
      </c>
      <c r="F995">
        <f>HYPERLINK("http://pbs.twimg.com/media/DdL_Qf5WkAAFmlm.jpg", "http://pbs.twimg.com/media/DdL_Qf5WkAAFmlm.jpg")</f>
        <v/>
      </c>
      <c r="G995" t="s"/>
      <c r="H995" t="s"/>
      <c r="I995" t="s"/>
      <c r="J995" t="n">
        <v>-0.4184</v>
      </c>
      <c r="K995" t="n">
        <v>0.108</v>
      </c>
      <c r="L995" t="n">
        <v>0.892</v>
      </c>
      <c r="M995" t="n">
        <v>0</v>
      </c>
    </row>
    <row r="996" spans="1:13">
      <c r="A996" s="1">
        <f>HYPERLINK("http://www.twitter.com/NathanBLawrence/status/996153596440965121", "996153596440965121")</f>
        <v/>
      </c>
      <c r="B996" s="2" t="n">
        <v>43234.93170138889</v>
      </c>
      <c r="C996" t="n">
        <v>3</v>
      </c>
      <c r="D996" t="n">
        <v>1</v>
      </c>
      <c r="E996" t="s">
        <v>995</v>
      </c>
      <c r="F996" t="s"/>
      <c r="G996" t="s"/>
      <c r="H996" t="s"/>
      <c r="I996" t="s"/>
      <c r="J996" t="n">
        <v>0</v>
      </c>
      <c r="K996" t="n">
        <v>0</v>
      </c>
      <c r="L996" t="n">
        <v>1</v>
      </c>
      <c r="M996" t="n">
        <v>0</v>
      </c>
    </row>
    <row r="997" spans="1:13">
      <c r="A997" s="1">
        <f>HYPERLINK("http://www.twitter.com/NathanBLawrence/status/996153447186685957", "996153447186685957")</f>
        <v/>
      </c>
      <c r="B997" s="2" t="n">
        <v>43234.93129629629</v>
      </c>
      <c r="C997" t="n">
        <v>3</v>
      </c>
      <c r="D997" t="n">
        <v>2</v>
      </c>
      <c r="E997" t="s">
        <v>996</v>
      </c>
      <c r="F997" t="s"/>
      <c r="G997" t="s"/>
      <c r="H997" t="s"/>
      <c r="I997" t="s"/>
      <c r="J997" t="n">
        <v>0.2091</v>
      </c>
      <c r="K997" t="n">
        <v>0.125</v>
      </c>
      <c r="L997" t="n">
        <v>0.762</v>
      </c>
      <c r="M997" t="n">
        <v>0.112</v>
      </c>
    </row>
    <row r="998" spans="1:13">
      <c r="A998" s="1">
        <f>HYPERLINK("http://www.twitter.com/NathanBLawrence/status/996151511477641217", "996151511477641217")</f>
        <v/>
      </c>
      <c r="B998" s="2" t="n">
        <v>43234.92594907407</v>
      </c>
      <c r="C998" t="n">
        <v>1</v>
      </c>
      <c r="D998" t="n">
        <v>0</v>
      </c>
      <c r="E998" t="s">
        <v>997</v>
      </c>
      <c r="F998" t="s"/>
      <c r="G998" t="s"/>
      <c r="H998" t="s"/>
      <c r="I998" t="s"/>
      <c r="J998" t="n">
        <v>0</v>
      </c>
      <c r="K998" t="n">
        <v>0</v>
      </c>
      <c r="L998" t="n">
        <v>1</v>
      </c>
      <c r="M998" t="n">
        <v>0</v>
      </c>
    </row>
    <row r="999" spans="1:13">
      <c r="A999" s="1">
        <f>HYPERLINK("http://www.twitter.com/NathanBLawrence/status/996151373061345280", "996151373061345280")</f>
        <v/>
      </c>
      <c r="B999" s="2" t="n">
        <v>43234.92556712963</v>
      </c>
      <c r="C999" t="n">
        <v>6</v>
      </c>
      <c r="D999" t="n">
        <v>3</v>
      </c>
      <c r="E999" t="s">
        <v>998</v>
      </c>
      <c r="F999" t="s"/>
      <c r="G999" t="s"/>
      <c r="H999" t="s"/>
      <c r="I999" t="s"/>
      <c r="J999" t="n">
        <v>-0.2076</v>
      </c>
      <c r="K999" t="n">
        <v>0.178</v>
      </c>
      <c r="L999" t="n">
        <v>0.822</v>
      </c>
      <c r="M999" t="n">
        <v>0</v>
      </c>
    </row>
    <row r="1000" spans="1:13">
      <c r="A1000" s="1">
        <f>HYPERLINK("http://www.twitter.com/NathanBLawrence/status/996151197076684801", "996151197076684801")</f>
        <v/>
      </c>
      <c r="B1000" s="2" t="n">
        <v>43234.92508101852</v>
      </c>
      <c r="C1000" t="n">
        <v>3</v>
      </c>
      <c r="D1000" t="n">
        <v>2</v>
      </c>
      <c r="E1000" t="s">
        <v>999</v>
      </c>
      <c r="F1000" t="s"/>
      <c r="G1000" t="s"/>
      <c r="H1000" t="s"/>
      <c r="I1000" t="s"/>
      <c r="J1000" t="n">
        <v>0</v>
      </c>
      <c r="K1000" t="n">
        <v>0</v>
      </c>
      <c r="L1000" t="n">
        <v>1</v>
      </c>
      <c r="M1000" t="n">
        <v>0</v>
      </c>
    </row>
    <row r="1001" spans="1:13">
      <c r="A1001" s="1">
        <f>HYPERLINK("http://www.twitter.com/NathanBLawrence/status/996150927525629952", "996150927525629952")</f>
        <v/>
      </c>
      <c r="B1001" s="2" t="n">
        <v>43234.92434027778</v>
      </c>
      <c r="C1001" t="n">
        <v>6</v>
      </c>
      <c r="D1001" t="n">
        <v>3</v>
      </c>
      <c r="E1001" t="s">
        <v>1000</v>
      </c>
      <c r="F1001" t="s"/>
      <c r="G1001" t="s"/>
      <c r="H1001" t="s"/>
      <c r="I1001" t="s"/>
      <c r="J1001" t="n">
        <v>-0.6204</v>
      </c>
      <c r="K1001" t="n">
        <v>0.108</v>
      </c>
      <c r="L1001" t="n">
        <v>0.892</v>
      </c>
      <c r="M1001" t="n">
        <v>0</v>
      </c>
    </row>
    <row r="1002" spans="1:13">
      <c r="A1002" s="1">
        <f>HYPERLINK("http://www.twitter.com/NathanBLawrence/status/996136738706935808", "996136738706935808")</f>
        <v/>
      </c>
      <c r="B1002" s="2" t="n">
        <v>43234.88518518519</v>
      </c>
      <c r="C1002" t="n">
        <v>0</v>
      </c>
      <c r="D1002" t="n">
        <v>6</v>
      </c>
      <c r="E1002" t="s">
        <v>1001</v>
      </c>
      <c r="F1002">
        <f>HYPERLINK("https://video.twimg.com/ext_tw_video/996136293829632001/pu/vid/176x144/c-vb1ryDhCHOYCNU.mp4?tag=3", "https://video.twimg.com/ext_tw_video/996136293829632001/pu/vid/176x144/c-vb1ryDhCHOYCNU.mp4?tag=3")</f>
        <v/>
      </c>
      <c r="G1002" t="s"/>
      <c r="H1002" t="s"/>
      <c r="I1002" t="s"/>
      <c r="J1002" t="n">
        <v>0</v>
      </c>
      <c r="K1002" t="n">
        <v>0</v>
      </c>
      <c r="L1002" t="n">
        <v>1</v>
      </c>
      <c r="M1002" t="n">
        <v>0</v>
      </c>
    </row>
    <row r="1003" spans="1:13">
      <c r="A1003" s="1">
        <f>HYPERLINK("http://www.twitter.com/NathanBLawrence/status/996136668410281986", "996136668410281986")</f>
        <v/>
      </c>
      <c r="B1003" s="2" t="n">
        <v>43234.88498842593</v>
      </c>
      <c r="C1003" t="n">
        <v>0</v>
      </c>
      <c r="D1003" t="n">
        <v>4</v>
      </c>
      <c r="E1003" t="s">
        <v>1002</v>
      </c>
      <c r="F1003" t="s"/>
      <c r="G1003" t="s"/>
      <c r="H1003" t="s"/>
      <c r="I1003" t="s"/>
      <c r="J1003" t="n">
        <v>-0.296</v>
      </c>
      <c r="K1003" t="n">
        <v>0.196</v>
      </c>
      <c r="L1003" t="n">
        <v>0.804</v>
      </c>
      <c r="M1003" t="n">
        <v>0</v>
      </c>
    </row>
    <row r="1004" spans="1:13">
      <c r="A1004" s="1">
        <f>HYPERLINK("http://www.twitter.com/NathanBLawrence/status/996136539112517633", "996136539112517633")</f>
        <v/>
      </c>
      <c r="B1004" s="2" t="n">
        <v>43234.88462962963</v>
      </c>
      <c r="C1004" t="n">
        <v>0</v>
      </c>
      <c r="D1004" t="n">
        <v>16</v>
      </c>
      <c r="E1004" t="s">
        <v>1003</v>
      </c>
      <c r="F1004">
        <f>HYPERLINK("http://pbs.twimg.com/media/DdL3TSfXkAI5rYv.jpg", "http://pbs.twimg.com/media/DdL3TSfXkAI5rYv.jpg")</f>
        <v/>
      </c>
      <c r="G1004" t="s"/>
      <c r="H1004" t="s"/>
      <c r="I1004" t="s"/>
      <c r="J1004" t="n">
        <v>0.6124000000000001</v>
      </c>
      <c r="K1004" t="n">
        <v>0</v>
      </c>
      <c r="L1004" t="n">
        <v>0.8</v>
      </c>
      <c r="M1004" t="n">
        <v>0.2</v>
      </c>
    </row>
    <row r="1005" spans="1:13">
      <c r="A1005" s="1">
        <f>HYPERLINK("http://www.twitter.com/NathanBLawrence/status/996136525640413185", "996136525640413185")</f>
        <v/>
      </c>
      <c r="B1005" s="2" t="n">
        <v>43234.88459490741</v>
      </c>
      <c r="C1005" t="n">
        <v>0</v>
      </c>
      <c r="D1005" t="n">
        <v>15</v>
      </c>
      <c r="E1005" t="s">
        <v>1004</v>
      </c>
      <c r="F1005" t="s"/>
      <c r="G1005" t="s"/>
      <c r="H1005" t="s"/>
      <c r="I1005" t="s"/>
      <c r="J1005" t="n">
        <v>0.1779</v>
      </c>
      <c r="K1005" t="n">
        <v>0.073</v>
      </c>
      <c r="L1005" t="n">
        <v>0.822</v>
      </c>
      <c r="M1005" t="n">
        <v>0.105</v>
      </c>
    </row>
    <row r="1006" spans="1:13">
      <c r="A1006" s="1">
        <f>HYPERLINK("http://www.twitter.com/NathanBLawrence/status/996136477661724673", "996136477661724673")</f>
        <v/>
      </c>
      <c r="B1006" s="2" t="n">
        <v>43234.88446759259</v>
      </c>
      <c r="C1006" t="n">
        <v>0</v>
      </c>
      <c r="D1006" t="n">
        <v>9</v>
      </c>
      <c r="E1006" t="s">
        <v>1005</v>
      </c>
      <c r="F1006">
        <f>HYPERLINK("http://pbs.twimg.com/media/DdL51LtXUAIcIlQ.jpg", "http://pbs.twimg.com/media/DdL51LtXUAIcIlQ.jpg")</f>
        <v/>
      </c>
      <c r="G1006" t="s"/>
      <c r="H1006" t="s"/>
      <c r="I1006" t="s"/>
      <c r="J1006" t="n">
        <v>-0.4588</v>
      </c>
      <c r="K1006" t="n">
        <v>0.13</v>
      </c>
      <c r="L1006" t="n">
        <v>0.87</v>
      </c>
      <c r="M1006" t="n">
        <v>0</v>
      </c>
    </row>
    <row r="1007" spans="1:13">
      <c r="A1007" s="1">
        <f>HYPERLINK("http://www.twitter.com/NathanBLawrence/status/996136442446405632", "996136442446405632")</f>
        <v/>
      </c>
      <c r="B1007" s="2" t="n">
        <v>43234.88436342592</v>
      </c>
      <c r="C1007" t="n">
        <v>0</v>
      </c>
      <c r="D1007" t="n">
        <v>44</v>
      </c>
      <c r="E1007" t="s">
        <v>1006</v>
      </c>
      <c r="F1007" t="s"/>
      <c r="G1007" t="s"/>
      <c r="H1007" t="s"/>
      <c r="I1007" t="s"/>
      <c r="J1007" t="n">
        <v>-0.3612</v>
      </c>
      <c r="K1007" t="n">
        <v>0.111</v>
      </c>
      <c r="L1007" t="n">
        <v>0.889</v>
      </c>
      <c r="M1007" t="n">
        <v>0</v>
      </c>
    </row>
    <row r="1008" spans="1:13">
      <c r="A1008" s="1">
        <f>HYPERLINK("http://www.twitter.com/NathanBLawrence/status/996136334069764103", "996136334069764103")</f>
        <v/>
      </c>
      <c r="B1008" s="2" t="n">
        <v>43234.88407407407</v>
      </c>
      <c r="C1008" t="n">
        <v>10</v>
      </c>
      <c r="D1008" t="n">
        <v>6</v>
      </c>
      <c r="E1008" t="s">
        <v>1007</v>
      </c>
      <c r="F1008">
        <f>HYPERLINK("https://video.twimg.com/ext_tw_video/996136293829632001/pu/vid/176x144/c-vb1ryDhCHOYCNU.mp4?tag=3", "https://video.twimg.com/ext_tw_video/996136293829632001/pu/vid/176x144/c-vb1ryDhCHOYCNU.mp4?tag=3")</f>
        <v/>
      </c>
      <c r="G1008" t="s"/>
      <c r="H1008" t="s"/>
      <c r="I1008" t="s"/>
      <c r="J1008" t="n">
        <v>0</v>
      </c>
      <c r="K1008" t="n">
        <v>0</v>
      </c>
      <c r="L1008" t="n">
        <v>1</v>
      </c>
      <c r="M1008" t="n">
        <v>0</v>
      </c>
    </row>
    <row r="1009" spans="1:13">
      <c r="A1009" s="1">
        <f>HYPERLINK("http://www.twitter.com/NathanBLawrence/status/996133168192409600", "996133168192409600")</f>
        <v/>
      </c>
      <c r="B1009" s="2" t="n">
        <v>43234.87533564815</v>
      </c>
      <c r="C1009" t="n">
        <v>10</v>
      </c>
      <c r="D1009" t="n">
        <v>9</v>
      </c>
      <c r="E1009" t="s">
        <v>1008</v>
      </c>
      <c r="F1009">
        <f>HYPERLINK("http://pbs.twimg.com/media/DdL51LtXUAIcIlQ.jpg", "http://pbs.twimg.com/media/DdL51LtXUAIcIlQ.jpg")</f>
        <v/>
      </c>
      <c r="G1009" t="s"/>
      <c r="H1009" t="s"/>
      <c r="I1009" t="s"/>
      <c r="J1009" t="n">
        <v>-0.8677</v>
      </c>
      <c r="K1009" t="n">
        <v>0.192</v>
      </c>
      <c r="L1009" t="n">
        <v>0.8080000000000001</v>
      </c>
      <c r="M1009" t="n">
        <v>0</v>
      </c>
    </row>
    <row r="1010" spans="1:13">
      <c r="A1010" s="1">
        <f>HYPERLINK("http://www.twitter.com/NathanBLawrence/status/996130384864862209", "996130384864862209")</f>
        <v/>
      </c>
      <c r="B1010" s="2" t="n">
        <v>43234.86765046296</v>
      </c>
      <c r="C1010" t="n">
        <v>22</v>
      </c>
      <c r="D1010" t="n">
        <v>16</v>
      </c>
      <c r="E1010" t="s">
        <v>1009</v>
      </c>
      <c r="F1010">
        <f>HYPERLINK("http://pbs.twimg.com/media/DdL3TSfXkAI5rYv.jpg", "http://pbs.twimg.com/media/DdL3TSfXkAI5rYv.jpg")</f>
        <v/>
      </c>
      <c r="G1010" t="s"/>
      <c r="H1010" t="s"/>
      <c r="I1010" t="s"/>
      <c r="J1010" t="n">
        <v>0.6124000000000001</v>
      </c>
      <c r="K1010" t="n">
        <v>0</v>
      </c>
      <c r="L1010" t="n">
        <v>0.872</v>
      </c>
      <c r="M1010" t="n">
        <v>0.128</v>
      </c>
    </row>
    <row r="1011" spans="1:13">
      <c r="A1011" s="1">
        <f>HYPERLINK("http://www.twitter.com/NathanBLawrence/status/996127452131987457", "996127452131987457")</f>
        <v/>
      </c>
      <c r="B1011" s="2" t="n">
        <v>43234.85956018518</v>
      </c>
      <c r="C1011" t="n">
        <v>0</v>
      </c>
      <c r="D1011" t="n">
        <v>5</v>
      </c>
      <c r="E1011" t="s">
        <v>1010</v>
      </c>
      <c r="F1011" t="s"/>
      <c r="G1011" t="s"/>
      <c r="H1011" t="s"/>
      <c r="I1011" t="s"/>
      <c r="J1011" t="n">
        <v>-0.6486</v>
      </c>
      <c r="K1011" t="n">
        <v>0.181</v>
      </c>
      <c r="L1011" t="n">
        <v>0.819</v>
      </c>
      <c r="M1011" t="n">
        <v>0</v>
      </c>
    </row>
    <row r="1012" spans="1:13">
      <c r="A1012" s="1">
        <f>HYPERLINK("http://www.twitter.com/NathanBLawrence/status/996127434033463296", "996127434033463296")</f>
        <v/>
      </c>
      <c r="B1012" s="2" t="n">
        <v>43234.85951388889</v>
      </c>
      <c r="C1012" t="n">
        <v>0</v>
      </c>
      <c r="D1012" t="n">
        <v>6</v>
      </c>
      <c r="E1012" t="s">
        <v>1011</v>
      </c>
      <c r="F1012" t="s"/>
      <c r="G1012" t="s"/>
      <c r="H1012" t="s"/>
      <c r="I1012" t="s"/>
      <c r="J1012" t="n">
        <v>0</v>
      </c>
      <c r="K1012" t="n">
        <v>0</v>
      </c>
      <c r="L1012" t="n">
        <v>1</v>
      </c>
      <c r="M1012" t="n">
        <v>0</v>
      </c>
    </row>
    <row r="1013" spans="1:13">
      <c r="A1013" s="1">
        <f>HYPERLINK("http://www.twitter.com/NathanBLawrence/status/996127313589829634", "996127313589829634")</f>
        <v/>
      </c>
      <c r="B1013" s="2" t="n">
        <v>43234.85917824074</v>
      </c>
      <c r="C1013" t="n">
        <v>0</v>
      </c>
      <c r="D1013" t="n">
        <v>0</v>
      </c>
      <c r="E1013" t="s">
        <v>1012</v>
      </c>
      <c r="F1013" t="s"/>
      <c r="G1013" t="s"/>
      <c r="H1013" t="s"/>
      <c r="I1013" t="s"/>
      <c r="J1013" t="n">
        <v>0.4497</v>
      </c>
      <c r="K1013" t="n">
        <v>0.106</v>
      </c>
      <c r="L1013" t="n">
        <v>0.608</v>
      </c>
      <c r="M1013" t="n">
        <v>0.286</v>
      </c>
    </row>
    <row r="1014" spans="1:13">
      <c r="A1014" s="1">
        <f>HYPERLINK("http://www.twitter.com/NathanBLawrence/status/996127246325870598", "996127246325870598")</f>
        <v/>
      </c>
      <c r="B1014" s="2" t="n">
        <v>43234.85899305555</v>
      </c>
      <c r="C1014" t="n">
        <v>0</v>
      </c>
      <c r="D1014" t="n">
        <v>0</v>
      </c>
      <c r="E1014" t="s">
        <v>1013</v>
      </c>
      <c r="F1014" t="s"/>
      <c r="G1014" t="s"/>
      <c r="H1014" t="s"/>
      <c r="I1014" t="s"/>
      <c r="J1014" t="n">
        <v>-0.5859</v>
      </c>
      <c r="K1014" t="n">
        <v>0.306</v>
      </c>
      <c r="L1014" t="n">
        <v>0.597</v>
      </c>
      <c r="M1014" t="n">
        <v>0.097</v>
      </c>
    </row>
    <row r="1015" spans="1:13">
      <c r="A1015" s="1">
        <f>HYPERLINK("http://www.twitter.com/NathanBLawrence/status/996127190973632513", "996127190973632513")</f>
        <v/>
      </c>
      <c r="B1015" s="2" t="n">
        <v>43234.85884259259</v>
      </c>
      <c r="C1015" t="n">
        <v>0</v>
      </c>
      <c r="D1015" t="n">
        <v>0</v>
      </c>
      <c r="E1015" t="s">
        <v>1014</v>
      </c>
      <c r="F1015" t="s"/>
      <c r="G1015" t="s"/>
      <c r="H1015" t="s"/>
      <c r="I1015" t="s"/>
      <c r="J1015" t="n">
        <v>-0.4592</v>
      </c>
      <c r="K1015" t="n">
        <v>0.235</v>
      </c>
      <c r="L1015" t="n">
        <v>0.765</v>
      </c>
      <c r="M1015" t="n">
        <v>0</v>
      </c>
    </row>
    <row r="1016" spans="1:13">
      <c r="A1016" s="1">
        <f>HYPERLINK("http://www.twitter.com/NathanBLawrence/status/996127092613009410", "996127092613009410")</f>
        <v/>
      </c>
      <c r="B1016" s="2" t="n">
        <v>43234.85856481481</v>
      </c>
      <c r="C1016" t="n">
        <v>0</v>
      </c>
      <c r="D1016" t="n">
        <v>4</v>
      </c>
      <c r="E1016" t="s">
        <v>1015</v>
      </c>
      <c r="F1016" t="s"/>
      <c r="G1016" t="s"/>
      <c r="H1016" t="s"/>
      <c r="I1016" t="s"/>
      <c r="J1016" t="n">
        <v>-0.7096</v>
      </c>
      <c r="K1016" t="n">
        <v>0.216</v>
      </c>
      <c r="L1016" t="n">
        <v>0.742</v>
      </c>
      <c r="M1016" t="n">
        <v>0.042</v>
      </c>
    </row>
    <row r="1017" spans="1:13">
      <c r="A1017" s="1">
        <f>HYPERLINK("http://www.twitter.com/NathanBLawrence/status/996127006659137538", "996127006659137538")</f>
        <v/>
      </c>
      <c r="B1017" s="2" t="n">
        <v>43234.85833333333</v>
      </c>
      <c r="C1017" t="n">
        <v>13</v>
      </c>
      <c r="D1017" t="n">
        <v>5</v>
      </c>
      <c r="E1017" t="s">
        <v>1016</v>
      </c>
      <c r="F1017" t="s"/>
      <c r="G1017" t="s"/>
      <c r="H1017" t="s"/>
      <c r="I1017" t="s"/>
      <c r="J1017" t="n">
        <v>-0.4767</v>
      </c>
      <c r="K1017" t="n">
        <v>0.127</v>
      </c>
      <c r="L1017" t="n">
        <v>0.8149999999999999</v>
      </c>
      <c r="M1017" t="n">
        <v>0.058</v>
      </c>
    </row>
    <row r="1018" spans="1:13">
      <c r="A1018" s="1">
        <f>HYPERLINK("http://www.twitter.com/NathanBLawrence/status/996126048428478467", "996126048428478467")</f>
        <v/>
      </c>
      <c r="B1018" s="2" t="n">
        <v>43234.85568287037</v>
      </c>
      <c r="C1018" t="n">
        <v>9</v>
      </c>
      <c r="D1018" t="n">
        <v>6</v>
      </c>
      <c r="E1018" t="s">
        <v>1017</v>
      </c>
      <c r="F1018" t="s"/>
      <c r="G1018" t="s"/>
      <c r="H1018" t="s"/>
      <c r="I1018" t="s"/>
      <c r="J1018" t="n">
        <v>0</v>
      </c>
      <c r="K1018" t="n">
        <v>0</v>
      </c>
      <c r="L1018" t="n">
        <v>1</v>
      </c>
      <c r="M1018" t="n">
        <v>0</v>
      </c>
    </row>
    <row r="1019" spans="1:13">
      <c r="A1019" s="1">
        <f>HYPERLINK("http://www.twitter.com/NathanBLawrence/status/996125669737291785", "996125669737291785")</f>
        <v/>
      </c>
      <c r="B1019" s="2" t="n">
        <v>43234.8546412037</v>
      </c>
      <c r="C1019" t="n">
        <v>0</v>
      </c>
      <c r="D1019" t="n">
        <v>0</v>
      </c>
      <c r="E1019" t="s">
        <v>1018</v>
      </c>
      <c r="F1019" t="s"/>
      <c r="G1019" t="s"/>
      <c r="H1019" t="s"/>
      <c r="I1019" t="s"/>
      <c r="J1019" t="n">
        <v>-0.5996</v>
      </c>
      <c r="K1019" t="n">
        <v>0.243</v>
      </c>
      <c r="L1019" t="n">
        <v>0.671</v>
      </c>
      <c r="M1019" t="n">
        <v>0.08599999999999999</v>
      </c>
    </row>
    <row r="1020" spans="1:13">
      <c r="A1020" s="1">
        <f>HYPERLINK("http://www.twitter.com/NathanBLawrence/status/996125406540509188", "996125406540509188")</f>
        <v/>
      </c>
      <c r="B1020" s="2" t="n">
        <v>43234.85391203704</v>
      </c>
      <c r="C1020" t="n">
        <v>6</v>
      </c>
      <c r="D1020" t="n">
        <v>4</v>
      </c>
      <c r="E1020" t="s">
        <v>1019</v>
      </c>
      <c r="F1020" t="s"/>
      <c r="G1020" t="s"/>
      <c r="H1020" t="s"/>
      <c r="I1020" t="s"/>
      <c r="J1020" t="n">
        <v>-0.8992</v>
      </c>
      <c r="K1020" t="n">
        <v>0.241</v>
      </c>
      <c r="L1020" t="n">
        <v>0.735</v>
      </c>
      <c r="M1020" t="n">
        <v>0.024</v>
      </c>
    </row>
    <row r="1021" spans="1:13">
      <c r="A1021" s="1">
        <f>HYPERLINK("http://www.twitter.com/NathanBLawrence/status/996124123469361152", "996124123469361152")</f>
        <v/>
      </c>
      <c r="B1021" s="2" t="n">
        <v>43234.85037037037</v>
      </c>
      <c r="C1021" t="n">
        <v>0</v>
      </c>
      <c r="D1021" t="n">
        <v>28</v>
      </c>
      <c r="E1021" t="s">
        <v>1020</v>
      </c>
      <c r="F1021" t="s"/>
      <c r="G1021" t="s"/>
      <c r="H1021" t="s"/>
      <c r="I1021" t="s"/>
      <c r="J1021" t="n">
        <v>-0.9353</v>
      </c>
      <c r="K1021" t="n">
        <v>0.488</v>
      </c>
      <c r="L1021" t="n">
        <v>0.512</v>
      </c>
      <c r="M1021" t="n">
        <v>0</v>
      </c>
    </row>
    <row r="1022" spans="1:13">
      <c r="A1022" s="1">
        <f>HYPERLINK("http://www.twitter.com/NathanBLawrence/status/996123944829714436", "996123944829714436")</f>
        <v/>
      </c>
      <c r="B1022" s="2" t="n">
        <v>43234.84988425926</v>
      </c>
      <c r="C1022" t="n">
        <v>0</v>
      </c>
      <c r="D1022" t="n">
        <v>0</v>
      </c>
      <c r="E1022" t="s">
        <v>1021</v>
      </c>
      <c r="F1022" t="s"/>
      <c r="G1022" t="s"/>
      <c r="H1022" t="s"/>
      <c r="I1022" t="s"/>
      <c r="J1022" t="n">
        <v>0.0041</v>
      </c>
      <c r="K1022" t="n">
        <v>0.14</v>
      </c>
      <c r="L1022" t="n">
        <v>0.752</v>
      </c>
      <c r="M1022" t="n">
        <v>0.108</v>
      </c>
    </row>
    <row r="1023" spans="1:13">
      <c r="A1023" s="1">
        <f>HYPERLINK("http://www.twitter.com/NathanBLawrence/status/996123033470488576", "996123033470488576")</f>
        <v/>
      </c>
      <c r="B1023" s="2" t="n">
        <v>43234.84736111111</v>
      </c>
      <c r="C1023" t="n">
        <v>0</v>
      </c>
      <c r="D1023" t="n">
        <v>3</v>
      </c>
      <c r="E1023" t="s">
        <v>1022</v>
      </c>
      <c r="F1023" t="s"/>
      <c r="G1023" t="s"/>
      <c r="H1023" t="s"/>
      <c r="I1023" t="s"/>
      <c r="J1023" t="n">
        <v>0.197</v>
      </c>
      <c r="K1023" t="n">
        <v>0.07199999999999999</v>
      </c>
      <c r="L1023" t="n">
        <v>0.794</v>
      </c>
      <c r="M1023" t="n">
        <v>0.134</v>
      </c>
    </row>
    <row r="1024" spans="1:13">
      <c r="A1024" s="1">
        <f>HYPERLINK("http://www.twitter.com/NathanBLawrence/status/996122250301583361", "996122250301583361")</f>
        <v/>
      </c>
      <c r="B1024" s="2" t="n">
        <v>43234.84520833333</v>
      </c>
      <c r="C1024" t="n">
        <v>4</v>
      </c>
      <c r="D1024" t="n">
        <v>3</v>
      </c>
      <c r="E1024" t="s">
        <v>1023</v>
      </c>
      <c r="F1024" t="s"/>
      <c r="G1024" t="s"/>
      <c r="H1024" t="s"/>
      <c r="I1024" t="s"/>
      <c r="J1024" t="n">
        <v>0.7714</v>
      </c>
      <c r="K1024" t="n">
        <v>0.04</v>
      </c>
      <c r="L1024" t="n">
        <v>0.771</v>
      </c>
      <c r="M1024" t="n">
        <v>0.189</v>
      </c>
    </row>
    <row r="1025" spans="1:13">
      <c r="A1025" s="1">
        <f>HYPERLINK("http://www.twitter.com/NathanBLawrence/status/996120385329532929", "996120385329532929")</f>
        <v/>
      </c>
      <c r="B1025" s="2" t="n">
        <v>43234.84005787037</v>
      </c>
      <c r="C1025" t="n">
        <v>0</v>
      </c>
      <c r="D1025" t="n">
        <v>11</v>
      </c>
      <c r="E1025" t="s">
        <v>1024</v>
      </c>
      <c r="F1025" t="s"/>
      <c r="G1025" t="s"/>
      <c r="H1025" t="s"/>
      <c r="I1025" t="s"/>
      <c r="J1025" t="n">
        <v>-0.8221000000000001</v>
      </c>
      <c r="K1025" t="n">
        <v>0.348</v>
      </c>
      <c r="L1025" t="n">
        <v>0.652</v>
      </c>
      <c r="M1025" t="n">
        <v>0</v>
      </c>
    </row>
    <row r="1026" spans="1:13">
      <c r="A1026" s="1">
        <f>HYPERLINK("http://www.twitter.com/NathanBLawrence/status/996119591813369859", "996119591813369859")</f>
        <v/>
      </c>
      <c r="B1026" s="2" t="n">
        <v>43234.83787037037</v>
      </c>
      <c r="C1026" t="n">
        <v>0</v>
      </c>
      <c r="D1026" t="n">
        <v>4</v>
      </c>
      <c r="E1026" t="s">
        <v>1025</v>
      </c>
      <c r="F1026" t="s"/>
      <c r="G1026" t="s"/>
      <c r="H1026" t="s"/>
      <c r="I1026" t="s"/>
      <c r="J1026" t="n">
        <v>-0.296</v>
      </c>
      <c r="K1026" t="n">
        <v>0.095</v>
      </c>
      <c r="L1026" t="n">
        <v>0.905</v>
      </c>
      <c r="M1026" t="n">
        <v>0</v>
      </c>
    </row>
    <row r="1027" spans="1:13">
      <c r="A1027" s="1">
        <f>HYPERLINK("http://www.twitter.com/NathanBLawrence/status/996117951412625410", "996117951412625410")</f>
        <v/>
      </c>
      <c r="B1027" s="2" t="n">
        <v>43234.83334490741</v>
      </c>
      <c r="C1027" t="n">
        <v>0</v>
      </c>
      <c r="D1027" t="n">
        <v>14</v>
      </c>
      <c r="E1027" t="s">
        <v>1026</v>
      </c>
      <c r="F1027" t="s"/>
      <c r="G1027" t="s"/>
      <c r="H1027" t="s"/>
      <c r="I1027" t="s"/>
      <c r="J1027" t="n">
        <v>-0.296</v>
      </c>
      <c r="K1027" t="n">
        <v>0.095</v>
      </c>
      <c r="L1027" t="n">
        <v>0.905</v>
      </c>
      <c r="M1027" t="n">
        <v>0</v>
      </c>
    </row>
    <row r="1028" spans="1:13">
      <c r="A1028" s="1">
        <f>HYPERLINK("http://www.twitter.com/NathanBLawrence/status/996117914326634496", "996117914326634496")</f>
        <v/>
      </c>
      <c r="B1028" s="2" t="n">
        <v>43234.83324074074</v>
      </c>
      <c r="C1028" t="n">
        <v>0</v>
      </c>
      <c r="D1028" t="n">
        <v>3</v>
      </c>
      <c r="E1028" t="s">
        <v>1027</v>
      </c>
      <c r="F1028" t="s"/>
      <c r="G1028" t="s"/>
      <c r="H1028" t="s"/>
      <c r="I1028" t="s"/>
      <c r="J1028" t="n">
        <v>-0.25</v>
      </c>
      <c r="K1028" t="n">
        <v>0.109</v>
      </c>
      <c r="L1028" t="n">
        <v>0.82</v>
      </c>
      <c r="M1028" t="n">
        <v>0.07000000000000001</v>
      </c>
    </row>
    <row r="1029" spans="1:13">
      <c r="A1029" s="1">
        <f>HYPERLINK("http://www.twitter.com/NathanBLawrence/status/996117813181014017", "996117813181014017")</f>
        <v/>
      </c>
      <c r="B1029" s="2" t="n">
        <v>43234.83296296297</v>
      </c>
      <c r="C1029" t="n">
        <v>0</v>
      </c>
      <c r="D1029" t="n">
        <v>0</v>
      </c>
      <c r="E1029" t="s">
        <v>1028</v>
      </c>
      <c r="F1029" t="s"/>
      <c r="G1029" t="s"/>
      <c r="H1029" t="s"/>
      <c r="I1029" t="s"/>
      <c r="J1029" t="n">
        <v>0.3182</v>
      </c>
      <c r="K1029" t="n">
        <v>0</v>
      </c>
      <c r="L1029" t="n">
        <v>0.839</v>
      </c>
      <c r="M1029" t="n">
        <v>0.161</v>
      </c>
    </row>
    <row r="1030" spans="1:13">
      <c r="A1030" s="1">
        <f>HYPERLINK("http://www.twitter.com/NathanBLawrence/status/996117691885858816", "996117691885858816")</f>
        <v/>
      </c>
      <c r="B1030" s="2" t="n">
        <v>43234.83262731481</v>
      </c>
      <c r="C1030" t="n">
        <v>0</v>
      </c>
      <c r="D1030" t="n">
        <v>1</v>
      </c>
      <c r="E1030" t="s">
        <v>1029</v>
      </c>
      <c r="F1030" t="s"/>
      <c r="G1030" t="s"/>
      <c r="H1030" t="s"/>
      <c r="I1030" t="s"/>
      <c r="J1030" t="n">
        <v>-0.25</v>
      </c>
      <c r="K1030" t="n">
        <v>0.201</v>
      </c>
      <c r="L1030" t="n">
        <v>0.598</v>
      </c>
      <c r="M1030" t="n">
        <v>0.201</v>
      </c>
    </row>
    <row r="1031" spans="1:13">
      <c r="A1031" s="1">
        <f>HYPERLINK("http://www.twitter.com/NathanBLawrence/status/996117188229713920", "996117188229713920")</f>
        <v/>
      </c>
      <c r="B1031" s="2" t="n">
        <v>43234.83123842593</v>
      </c>
      <c r="C1031" t="n">
        <v>2</v>
      </c>
      <c r="D1031" t="n">
        <v>0</v>
      </c>
      <c r="E1031" t="s">
        <v>1030</v>
      </c>
      <c r="F1031" t="s"/>
      <c r="G1031" t="s"/>
      <c r="H1031" t="s"/>
      <c r="I1031" t="s"/>
      <c r="J1031" t="n">
        <v>0</v>
      </c>
      <c r="K1031" t="n">
        <v>0</v>
      </c>
      <c r="L1031" t="n">
        <v>1</v>
      </c>
      <c r="M1031" t="n">
        <v>0</v>
      </c>
    </row>
    <row r="1032" spans="1:13">
      <c r="A1032" s="1">
        <f>HYPERLINK("http://www.twitter.com/NathanBLawrence/status/996115888410685441", "996115888410685441")</f>
        <v/>
      </c>
      <c r="B1032" s="2" t="n">
        <v>43234.82765046296</v>
      </c>
      <c r="C1032" t="n">
        <v>0</v>
      </c>
      <c r="D1032" t="n">
        <v>21</v>
      </c>
      <c r="E1032" t="s">
        <v>1031</v>
      </c>
      <c r="F1032">
        <f>HYPERLINK("http://pbs.twimg.com/media/DdKHAOYVQAEImFM.jpg", "http://pbs.twimg.com/media/DdKHAOYVQAEImFM.jpg")</f>
        <v/>
      </c>
      <c r="G1032" t="s"/>
      <c r="H1032" t="s"/>
      <c r="I1032" t="s"/>
      <c r="J1032" t="n">
        <v>-0.3939</v>
      </c>
      <c r="K1032" t="n">
        <v>0.1</v>
      </c>
      <c r="L1032" t="n">
        <v>0.9</v>
      </c>
      <c r="M1032" t="n">
        <v>0</v>
      </c>
    </row>
    <row r="1033" spans="1:13">
      <c r="A1033" s="1">
        <f>HYPERLINK("http://www.twitter.com/NathanBLawrence/status/996115795519459329", "996115795519459329")</f>
        <v/>
      </c>
      <c r="B1033" s="2" t="n">
        <v>43234.82739583333</v>
      </c>
      <c r="C1033" t="n">
        <v>0</v>
      </c>
      <c r="D1033" t="n">
        <v>10</v>
      </c>
      <c r="E1033" t="s">
        <v>1032</v>
      </c>
      <c r="F1033">
        <f>HYPERLINK("http://pbs.twimg.com/media/DdLp_MKX0AEVmKU.jpg", "http://pbs.twimg.com/media/DdLp_MKX0AEVmKU.jpg")</f>
        <v/>
      </c>
      <c r="G1033" t="s"/>
      <c r="H1033" t="s"/>
      <c r="I1033" t="s"/>
      <c r="J1033" t="n">
        <v>0</v>
      </c>
      <c r="K1033" t="n">
        <v>0</v>
      </c>
      <c r="L1033" t="n">
        <v>1</v>
      </c>
      <c r="M1033" t="n">
        <v>0</v>
      </c>
    </row>
    <row r="1034" spans="1:13">
      <c r="A1034" s="1">
        <f>HYPERLINK("http://www.twitter.com/NathanBLawrence/status/996115761755193345", "996115761755193345")</f>
        <v/>
      </c>
      <c r="B1034" s="2" t="n">
        <v>43234.82730324074</v>
      </c>
      <c r="C1034" t="n">
        <v>16</v>
      </c>
      <c r="D1034" t="n">
        <v>10</v>
      </c>
      <c r="E1034" t="s">
        <v>1033</v>
      </c>
      <c r="F1034">
        <f>HYPERLINK("http://pbs.twimg.com/media/DdLp_MKX0AEVmKU.jpg", "http://pbs.twimg.com/media/DdLp_MKX0AEVmKU.jpg")</f>
        <v/>
      </c>
      <c r="G1034" t="s"/>
      <c r="H1034" t="s"/>
      <c r="I1034" t="s"/>
      <c r="J1034" t="n">
        <v>-0.5775</v>
      </c>
      <c r="K1034" t="n">
        <v>0.08599999999999999</v>
      </c>
      <c r="L1034" t="n">
        <v>0.914</v>
      </c>
      <c r="M1034" t="n">
        <v>0</v>
      </c>
    </row>
    <row r="1035" spans="1:13">
      <c r="A1035" s="1">
        <f>HYPERLINK("http://www.twitter.com/NathanBLawrence/status/996114546828988422", "996114546828988422")</f>
        <v/>
      </c>
      <c r="B1035" s="2" t="n">
        <v>43234.82394675926</v>
      </c>
      <c r="C1035" t="n">
        <v>6</v>
      </c>
      <c r="D1035" t="n">
        <v>3</v>
      </c>
      <c r="E1035" t="s">
        <v>1034</v>
      </c>
      <c r="F1035" t="s"/>
      <c r="G1035" t="s"/>
      <c r="H1035" t="s"/>
      <c r="I1035" t="s"/>
      <c r="J1035" t="n">
        <v>-0.6808</v>
      </c>
      <c r="K1035" t="n">
        <v>0.142</v>
      </c>
      <c r="L1035" t="n">
        <v>0.824</v>
      </c>
      <c r="M1035" t="n">
        <v>0.034</v>
      </c>
    </row>
    <row r="1036" spans="1:13">
      <c r="A1036" s="1">
        <f>HYPERLINK("http://www.twitter.com/NathanBLawrence/status/996113170380058625", "996113170380058625")</f>
        <v/>
      </c>
      <c r="B1036" s="2" t="n">
        <v>43234.82015046296</v>
      </c>
      <c r="C1036" t="n">
        <v>0</v>
      </c>
      <c r="D1036" t="n">
        <v>0</v>
      </c>
      <c r="E1036" t="s">
        <v>1035</v>
      </c>
      <c r="F1036" t="s"/>
      <c r="G1036" t="s"/>
      <c r="H1036" t="s"/>
      <c r="I1036" t="s"/>
      <c r="J1036" t="n">
        <v>0</v>
      </c>
      <c r="K1036" t="n">
        <v>0</v>
      </c>
      <c r="L1036" t="n">
        <v>1</v>
      </c>
      <c r="M1036" t="n">
        <v>0</v>
      </c>
    </row>
    <row r="1037" spans="1:13">
      <c r="A1037" s="1">
        <f>HYPERLINK("http://www.twitter.com/NathanBLawrence/status/996106479575977987", "996106479575977987")</f>
        <v/>
      </c>
      <c r="B1037" s="2" t="n">
        <v>43234.80168981481</v>
      </c>
      <c r="C1037" t="n">
        <v>1</v>
      </c>
      <c r="D1037" t="n">
        <v>1</v>
      </c>
      <c r="E1037" t="s">
        <v>1036</v>
      </c>
      <c r="F1037" t="s"/>
      <c r="G1037" t="s"/>
      <c r="H1037" t="s"/>
      <c r="I1037" t="s"/>
      <c r="J1037" t="n">
        <v>-0.1531</v>
      </c>
      <c r="K1037" t="n">
        <v>0.137</v>
      </c>
      <c r="L1037" t="n">
        <v>0.752</v>
      </c>
      <c r="M1037" t="n">
        <v>0.111</v>
      </c>
    </row>
    <row r="1038" spans="1:13">
      <c r="A1038" s="1">
        <f>HYPERLINK("http://www.twitter.com/NathanBLawrence/status/996106338412396544", "996106338412396544")</f>
        <v/>
      </c>
      <c r="B1038" s="2" t="n">
        <v>43234.8012962963</v>
      </c>
      <c r="C1038" t="n">
        <v>0</v>
      </c>
      <c r="D1038" t="n">
        <v>3</v>
      </c>
      <c r="E1038" t="s">
        <v>1037</v>
      </c>
      <c r="F1038" t="s"/>
      <c r="G1038" t="s"/>
      <c r="H1038" t="s"/>
      <c r="I1038" t="s"/>
      <c r="J1038" t="n">
        <v>0</v>
      </c>
      <c r="K1038" t="n">
        <v>0</v>
      </c>
      <c r="L1038" t="n">
        <v>1</v>
      </c>
      <c r="M1038" t="n">
        <v>0</v>
      </c>
    </row>
    <row r="1039" spans="1:13">
      <c r="A1039" s="1">
        <f>HYPERLINK("http://www.twitter.com/NathanBLawrence/status/996106133373882373", "996106133373882373")</f>
        <v/>
      </c>
      <c r="B1039" s="2" t="n">
        <v>43234.80072916667</v>
      </c>
      <c r="C1039" t="n">
        <v>0</v>
      </c>
      <c r="D1039" t="n">
        <v>6</v>
      </c>
      <c r="E1039" t="s">
        <v>1038</v>
      </c>
      <c r="F1039">
        <f>HYPERLINK("http://pbs.twimg.com/media/DdLdFccXcAERwtO.jpg", "http://pbs.twimg.com/media/DdLdFccXcAERwtO.jpg")</f>
        <v/>
      </c>
      <c r="G1039" t="s"/>
      <c r="H1039" t="s"/>
      <c r="I1039" t="s"/>
      <c r="J1039" t="n">
        <v>0</v>
      </c>
      <c r="K1039" t="n">
        <v>0</v>
      </c>
      <c r="L1039" t="n">
        <v>1</v>
      </c>
      <c r="M1039" t="n">
        <v>0</v>
      </c>
    </row>
    <row r="1040" spans="1:13">
      <c r="A1040" s="1">
        <f>HYPERLINK("http://www.twitter.com/NathanBLawrence/status/996104931479302145", "996104931479302145")</f>
        <v/>
      </c>
      <c r="B1040" s="2" t="n">
        <v>43234.79741898148</v>
      </c>
      <c r="C1040" t="n">
        <v>2</v>
      </c>
      <c r="D1040" t="n">
        <v>0</v>
      </c>
      <c r="E1040" t="s">
        <v>1039</v>
      </c>
      <c r="F1040" t="s"/>
      <c r="G1040" t="s"/>
      <c r="H1040" t="s"/>
      <c r="I1040" t="s"/>
      <c r="J1040" t="n">
        <v>0</v>
      </c>
      <c r="K1040" t="n">
        <v>0</v>
      </c>
      <c r="L1040" t="n">
        <v>1</v>
      </c>
      <c r="M1040" t="n">
        <v>0</v>
      </c>
    </row>
    <row r="1041" spans="1:13">
      <c r="A1041" s="1">
        <f>HYPERLINK("http://www.twitter.com/NathanBLawrence/status/996104747554951170", "996104747554951170")</f>
        <v/>
      </c>
      <c r="B1041" s="2" t="n">
        <v>43234.79690972222</v>
      </c>
      <c r="C1041" t="n">
        <v>1</v>
      </c>
      <c r="D1041" t="n">
        <v>1</v>
      </c>
      <c r="E1041" t="s">
        <v>1040</v>
      </c>
      <c r="F1041" t="s"/>
      <c r="G1041" t="s"/>
      <c r="H1041" t="s"/>
      <c r="I1041" t="s"/>
      <c r="J1041" t="n">
        <v>0</v>
      </c>
      <c r="K1041" t="n">
        <v>0</v>
      </c>
      <c r="L1041" t="n">
        <v>1</v>
      </c>
      <c r="M1041" t="n">
        <v>0</v>
      </c>
    </row>
    <row r="1042" spans="1:13">
      <c r="A1042" s="1">
        <f>HYPERLINK("http://www.twitter.com/NathanBLawrence/status/996104568231616512", "996104568231616512")</f>
        <v/>
      </c>
      <c r="B1042" s="2" t="n">
        <v>43234.79641203704</v>
      </c>
      <c r="C1042" t="n">
        <v>0</v>
      </c>
      <c r="D1042" t="n">
        <v>16</v>
      </c>
      <c r="E1042" t="s">
        <v>1041</v>
      </c>
      <c r="F1042" t="s"/>
      <c r="G1042" t="s"/>
      <c r="H1042" t="s"/>
      <c r="I1042" t="s"/>
      <c r="J1042" t="n">
        <v>0.128</v>
      </c>
      <c r="K1042" t="n">
        <v>0.089</v>
      </c>
      <c r="L1042" t="n">
        <v>0.802</v>
      </c>
      <c r="M1042" t="n">
        <v>0.11</v>
      </c>
    </row>
    <row r="1043" spans="1:13">
      <c r="A1043" s="1">
        <f>HYPERLINK("http://www.twitter.com/NathanBLawrence/status/996104524648640513", "996104524648640513")</f>
        <v/>
      </c>
      <c r="B1043" s="2" t="n">
        <v>43234.7962962963</v>
      </c>
      <c r="C1043" t="n">
        <v>1</v>
      </c>
      <c r="D1043" t="n">
        <v>0</v>
      </c>
      <c r="E1043" t="s">
        <v>1042</v>
      </c>
      <c r="F1043" t="s"/>
      <c r="G1043" t="s"/>
      <c r="H1043" t="s"/>
      <c r="I1043" t="s"/>
      <c r="J1043" t="n">
        <v>0</v>
      </c>
      <c r="K1043" t="n">
        <v>0</v>
      </c>
      <c r="L1043" t="n">
        <v>1</v>
      </c>
      <c r="M1043" t="n">
        <v>0</v>
      </c>
    </row>
    <row r="1044" spans="1:13">
      <c r="A1044" s="1">
        <f>HYPERLINK("http://www.twitter.com/NathanBLawrence/status/996102736960720899", "996102736960720899")</f>
        <v/>
      </c>
      <c r="B1044" s="2" t="n">
        <v>43234.79135416666</v>
      </c>
      <c r="C1044" t="n">
        <v>0</v>
      </c>
      <c r="D1044" t="n">
        <v>0</v>
      </c>
      <c r="E1044" t="s">
        <v>1043</v>
      </c>
      <c r="F1044" t="s"/>
      <c r="G1044" t="s"/>
      <c r="H1044" t="s"/>
      <c r="I1044" t="s"/>
      <c r="J1044" t="n">
        <v>-0.4404</v>
      </c>
      <c r="K1044" t="n">
        <v>0.218</v>
      </c>
      <c r="L1044" t="n">
        <v>0.782</v>
      </c>
      <c r="M1044" t="n">
        <v>0</v>
      </c>
    </row>
    <row r="1045" spans="1:13">
      <c r="A1045" s="1">
        <f>HYPERLINK("http://www.twitter.com/NathanBLawrence/status/996102425655246848", "996102425655246848")</f>
        <v/>
      </c>
      <c r="B1045" s="2" t="n">
        <v>43234.79049768519</v>
      </c>
      <c r="C1045" t="n">
        <v>0</v>
      </c>
      <c r="D1045" t="n">
        <v>63</v>
      </c>
      <c r="E1045" t="s">
        <v>1044</v>
      </c>
      <c r="F1045" t="s"/>
      <c r="G1045" t="s"/>
      <c r="H1045" t="s"/>
      <c r="I1045" t="s"/>
      <c r="J1045" t="n">
        <v>-0.296</v>
      </c>
      <c r="K1045" t="n">
        <v>0.095</v>
      </c>
      <c r="L1045" t="n">
        <v>0.905</v>
      </c>
      <c r="M1045" t="n">
        <v>0</v>
      </c>
    </row>
    <row r="1046" spans="1:13">
      <c r="A1046" s="1">
        <f>HYPERLINK("http://www.twitter.com/NathanBLawrence/status/996102266590556161", "996102266590556161")</f>
        <v/>
      </c>
      <c r="B1046" s="2" t="n">
        <v>43234.79005787037</v>
      </c>
      <c r="C1046" t="n">
        <v>1</v>
      </c>
      <c r="D1046" t="n">
        <v>0</v>
      </c>
      <c r="E1046" t="s">
        <v>1045</v>
      </c>
      <c r="F1046" t="s"/>
      <c r="G1046" t="s"/>
      <c r="H1046" t="s"/>
      <c r="I1046" t="s"/>
      <c r="J1046" t="n">
        <v>0.658</v>
      </c>
      <c r="K1046" t="n">
        <v>0.065</v>
      </c>
      <c r="L1046" t="n">
        <v>0.71</v>
      </c>
      <c r="M1046" t="n">
        <v>0.224</v>
      </c>
    </row>
    <row r="1047" spans="1:13">
      <c r="A1047" s="1">
        <f>HYPERLINK("http://www.twitter.com/NathanBLawrence/status/996101559875461120", "996101559875461120")</f>
        <v/>
      </c>
      <c r="B1047" s="2" t="n">
        <v>43234.78811342592</v>
      </c>
      <c r="C1047" t="n">
        <v>12</v>
      </c>
      <c r="D1047" t="n">
        <v>6</v>
      </c>
      <c r="E1047" t="s">
        <v>1046</v>
      </c>
      <c r="F1047">
        <f>HYPERLINK("http://pbs.twimg.com/media/DdLdFccXcAERwtO.jpg", "http://pbs.twimg.com/media/DdLdFccXcAERwtO.jpg")</f>
        <v/>
      </c>
      <c r="G1047" t="s"/>
      <c r="H1047" t="s"/>
      <c r="I1047" t="s"/>
      <c r="J1047" t="n">
        <v>0</v>
      </c>
      <c r="K1047" t="n">
        <v>0</v>
      </c>
      <c r="L1047" t="n">
        <v>1</v>
      </c>
      <c r="M1047" t="n">
        <v>0</v>
      </c>
    </row>
    <row r="1048" spans="1:13">
      <c r="A1048" s="1">
        <f>HYPERLINK("http://www.twitter.com/NathanBLawrence/status/996100787339132928", "996100787339132928")</f>
        <v/>
      </c>
      <c r="B1048" s="2" t="n">
        <v>43234.7859837963</v>
      </c>
      <c r="C1048" t="n">
        <v>7</v>
      </c>
      <c r="D1048" t="n">
        <v>5</v>
      </c>
      <c r="E1048" t="s">
        <v>1047</v>
      </c>
      <c r="F1048" t="s"/>
      <c r="G1048" t="s"/>
      <c r="H1048" t="s"/>
      <c r="I1048" t="s"/>
      <c r="J1048" t="n">
        <v>0</v>
      </c>
      <c r="K1048" t="n">
        <v>0</v>
      </c>
      <c r="L1048" t="n">
        <v>1</v>
      </c>
      <c r="M1048" t="n">
        <v>0</v>
      </c>
    </row>
    <row r="1049" spans="1:13">
      <c r="A1049" s="1">
        <f>HYPERLINK("http://www.twitter.com/NathanBLawrence/status/996099789086449665", "996099789086449665")</f>
        <v/>
      </c>
      <c r="B1049" s="2" t="n">
        <v>43234.78322916666</v>
      </c>
      <c r="C1049" t="n">
        <v>2</v>
      </c>
      <c r="D1049" t="n">
        <v>1</v>
      </c>
      <c r="E1049" t="s">
        <v>1048</v>
      </c>
      <c r="F1049" t="s"/>
      <c r="G1049" t="s"/>
      <c r="H1049" t="s"/>
      <c r="I1049" t="s"/>
      <c r="J1049" t="n">
        <v>0.4588</v>
      </c>
      <c r="K1049" t="n">
        <v>0.055</v>
      </c>
      <c r="L1049" t="n">
        <v>0.8120000000000001</v>
      </c>
      <c r="M1049" t="n">
        <v>0.134</v>
      </c>
    </row>
    <row r="1050" spans="1:13">
      <c r="A1050" s="1">
        <f>HYPERLINK("http://www.twitter.com/NathanBLawrence/status/996099156631609344", "996099156631609344")</f>
        <v/>
      </c>
      <c r="B1050" s="2" t="n">
        <v>43234.78148148148</v>
      </c>
      <c r="C1050" t="n">
        <v>1</v>
      </c>
      <c r="D1050" t="n">
        <v>0</v>
      </c>
      <c r="E1050" t="s">
        <v>1049</v>
      </c>
      <c r="F1050" t="s"/>
      <c r="G1050" t="s"/>
      <c r="H1050" t="s"/>
      <c r="I1050" t="s"/>
      <c r="J1050" t="n">
        <v>0</v>
      </c>
      <c r="K1050" t="n">
        <v>0</v>
      </c>
      <c r="L1050" t="n">
        <v>1</v>
      </c>
      <c r="M1050" t="n">
        <v>0</v>
      </c>
    </row>
    <row r="1051" spans="1:13">
      <c r="A1051" s="1">
        <f>HYPERLINK("http://www.twitter.com/NathanBLawrence/status/996092897257762817", "996092897257762817")</f>
        <v/>
      </c>
      <c r="B1051" s="2" t="n">
        <v>43234.76420138889</v>
      </c>
      <c r="C1051" t="n">
        <v>1</v>
      </c>
      <c r="D1051" t="n">
        <v>0</v>
      </c>
      <c r="E1051" t="s">
        <v>1050</v>
      </c>
      <c r="F1051" t="s"/>
      <c r="G1051" t="s"/>
      <c r="H1051" t="s"/>
      <c r="I1051" t="s"/>
      <c r="J1051" t="n">
        <v>0</v>
      </c>
      <c r="K1051" t="n">
        <v>0</v>
      </c>
      <c r="L1051" t="n">
        <v>1</v>
      </c>
      <c r="M1051" t="n">
        <v>0</v>
      </c>
    </row>
    <row r="1052" spans="1:13">
      <c r="A1052" s="1">
        <f>HYPERLINK("http://www.twitter.com/NathanBLawrence/status/996091547178319872", "996091547178319872")</f>
        <v/>
      </c>
      <c r="B1052" s="2" t="n">
        <v>43234.76047453703</v>
      </c>
      <c r="C1052" t="n">
        <v>6</v>
      </c>
      <c r="D1052" t="n">
        <v>4</v>
      </c>
      <c r="E1052" t="s">
        <v>1051</v>
      </c>
      <c r="F1052">
        <f>HYPERLINK("http://pbs.twimg.com/media/DdLT-3aWsAML68L.jpg", "http://pbs.twimg.com/media/DdLT-3aWsAML68L.jpg")</f>
        <v/>
      </c>
      <c r="G1052" t="s"/>
      <c r="H1052" t="s"/>
      <c r="I1052" t="s"/>
      <c r="J1052" t="n">
        <v>-0.3038</v>
      </c>
      <c r="K1052" t="n">
        <v>0.092</v>
      </c>
      <c r="L1052" t="n">
        <v>0.851</v>
      </c>
      <c r="M1052" t="n">
        <v>0.057</v>
      </c>
    </row>
    <row r="1053" spans="1:13">
      <c r="A1053" s="1">
        <f>HYPERLINK("http://www.twitter.com/NathanBLawrence/status/996090857680850944", "996090857680850944")</f>
        <v/>
      </c>
      <c r="B1053" s="2" t="n">
        <v>43234.75857638889</v>
      </c>
      <c r="C1053" t="n">
        <v>0</v>
      </c>
      <c r="D1053" t="n">
        <v>178</v>
      </c>
      <c r="E1053" t="s">
        <v>1052</v>
      </c>
      <c r="F1053" t="s"/>
      <c r="G1053" t="s"/>
      <c r="H1053" t="s"/>
      <c r="I1053" t="s"/>
      <c r="J1053" t="n">
        <v>-0.3612</v>
      </c>
      <c r="K1053" t="n">
        <v>0.098</v>
      </c>
      <c r="L1053" t="n">
        <v>0.902</v>
      </c>
      <c r="M1053" t="n">
        <v>0</v>
      </c>
    </row>
    <row r="1054" spans="1:13">
      <c r="A1054" s="1">
        <f>HYPERLINK("http://www.twitter.com/NathanBLawrence/status/996090812160094211", "996090812160094211")</f>
        <v/>
      </c>
      <c r="B1054" s="2" t="n">
        <v>43234.75844907408</v>
      </c>
      <c r="C1054" t="n">
        <v>6</v>
      </c>
      <c r="D1054" t="n">
        <v>4</v>
      </c>
      <c r="E1054" t="s">
        <v>1053</v>
      </c>
      <c r="F1054" t="s"/>
      <c r="G1054" t="s"/>
      <c r="H1054" t="s"/>
      <c r="I1054" t="s"/>
      <c r="J1054" t="n">
        <v>-0.2656</v>
      </c>
      <c r="K1054" t="n">
        <v>0.24</v>
      </c>
      <c r="L1054" t="n">
        <v>0.5679999999999999</v>
      </c>
      <c r="M1054" t="n">
        <v>0.192</v>
      </c>
    </row>
    <row r="1055" spans="1:13">
      <c r="A1055" s="1">
        <f>HYPERLINK("http://www.twitter.com/NathanBLawrence/status/996089947315568641", "996089947315568641")</f>
        <v/>
      </c>
      <c r="B1055" s="2" t="n">
        <v>43234.75606481481</v>
      </c>
      <c r="C1055" t="n">
        <v>0</v>
      </c>
      <c r="D1055" t="n">
        <v>30</v>
      </c>
      <c r="E1055" t="s">
        <v>1054</v>
      </c>
      <c r="F1055">
        <f>HYPERLINK("http://pbs.twimg.com/media/DdKsTO8X0AA9v2X.jpg", "http://pbs.twimg.com/media/DdKsTO8X0AA9v2X.jpg")</f>
        <v/>
      </c>
      <c r="G1055" t="s"/>
      <c r="H1055" t="s"/>
      <c r="I1055" t="s"/>
      <c r="J1055" t="n">
        <v>0.128</v>
      </c>
      <c r="K1055" t="n">
        <v>0</v>
      </c>
      <c r="L1055" t="n">
        <v>0.9360000000000001</v>
      </c>
      <c r="M1055" t="n">
        <v>0.064</v>
      </c>
    </row>
    <row r="1056" spans="1:13">
      <c r="A1056" s="1">
        <f>HYPERLINK("http://www.twitter.com/NathanBLawrence/status/996089938746658816", "996089938746658816")</f>
        <v/>
      </c>
      <c r="B1056" s="2" t="n">
        <v>43234.75604166667</v>
      </c>
      <c r="C1056" t="n">
        <v>16</v>
      </c>
      <c r="D1056" t="n">
        <v>11</v>
      </c>
      <c r="E1056" t="s">
        <v>1055</v>
      </c>
      <c r="F1056" t="s"/>
      <c r="G1056" t="s"/>
      <c r="H1056" t="s"/>
      <c r="I1056" t="s"/>
      <c r="J1056" t="n">
        <v>-0.8221000000000001</v>
      </c>
      <c r="K1056" t="n">
        <v>0.304</v>
      </c>
      <c r="L1056" t="n">
        <v>0.696</v>
      </c>
      <c r="M1056" t="n">
        <v>0</v>
      </c>
    </row>
    <row r="1057" spans="1:13">
      <c r="A1057" s="1">
        <f>HYPERLINK("http://www.twitter.com/NathanBLawrence/status/996089595291779072", "996089595291779072")</f>
        <v/>
      </c>
      <c r="B1057" s="2" t="n">
        <v>43234.75509259259</v>
      </c>
      <c r="C1057" t="n">
        <v>0</v>
      </c>
      <c r="D1057" t="n">
        <v>1</v>
      </c>
      <c r="E1057" t="s">
        <v>1056</v>
      </c>
      <c r="F1057" t="s"/>
      <c r="G1057" t="s"/>
      <c r="H1057" t="s"/>
      <c r="I1057" t="s"/>
      <c r="J1057" t="n">
        <v>0.3612</v>
      </c>
      <c r="K1057" t="n">
        <v>0</v>
      </c>
      <c r="L1057" t="n">
        <v>0.878</v>
      </c>
      <c r="M1057" t="n">
        <v>0.122</v>
      </c>
    </row>
    <row r="1058" spans="1:13">
      <c r="A1058" s="1">
        <f>HYPERLINK("http://www.twitter.com/NathanBLawrence/status/996089567072563200", "996089567072563200")</f>
        <v/>
      </c>
      <c r="B1058" s="2" t="n">
        <v>43234.75501157407</v>
      </c>
      <c r="C1058" t="n">
        <v>1</v>
      </c>
      <c r="D1058" t="n">
        <v>1</v>
      </c>
      <c r="E1058" t="s">
        <v>1057</v>
      </c>
      <c r="F1058" t="s"/>
      <c r="G1058" t="s"/>
      <c r="H1058" t="s"/>
      <c r="I1058" t="s"/>
      <c r="J1058" t="n">
        <v>0.3885</v>
      </c>
      <c r="K1058" t="n">
        <v>0.078</v>
      </c>
      <c r="L1058" t="n">
        <v>0.749</v>
      </c>
      <c r="M1058" t="n">
        <v>0.172</v>
      </c>
    </row>
    <row r="1059" spans="1:13">
      <c r="A1059" s="1">
        <f>HYPERLINK("http://www.twitter.com/NathanBLawrence/status/996089329918263297", "996089329918263297")</f>
        <v/>
      </c>
      <c r="B1059" s="2" t="n">
        <v>43234.75436342593</v>
      </c>
      <c r="C1059" t="n">
        <v>0</v>
      </c>
      <c r="D1059" t="n">
        <v>54</v>
      </c>
      <c r="E1059" t="s">
        <v>1058</v>
      </c>
      <c r="F1059" t="s"/>
      <c r="G1059" t="s"/>
      <c r="H1059" t="s"/>
      <c r="I1059" t="s"/>
      <c r="J1059" t="n">
        <v>0</v>
      </c>
      <c r="K1059" t="n">
        <v>0</v>
      </c>
      <c r="L1059" t="n">
        <v>1</v>
      </c>
      <c r="M1059" t="n">
        <v>0</v>
      </c>
    </row>
    <row r="1060" spans="1:13">
      <c r="A1060" s="1">
        <f>HYPERLINK("http://www.twitter.com/NathanBLawrence/status/996089309320044544", "996089309320044544")</f>
        <v/>
      </c>
      <c r="B1060" s="2" t="n">
        <v>43234.75430555556</v>
      </c>
      <c r="C1060" t="n">
        <v>2</v>
      </c>
      <c r="D1060" t="n">
        <v>1</v>
      </c>
      <c r="E1060" t="s">
        <v>1059</v>
      </c>
      <c r="F1060" t="s"/>
      <c r="G1060" t="s"/>
      <c r="H1060" t="s"/>
      <c r="I1060" t="s"/>
      <c r="J1060" t="n">
        <v>0</v>
      </c>
      <c r="K1060" t="n">
        <v>0</v>
      </c>
      <c r="L1060" t="n">
        <v>1</v>
      </c>
      <c r="M1060" t="n">
        <v>0</v>
      </c>
    </row>
    <row r="1061" spans="1:13">
      <c r="A1061" s="1">
        <f>HYPERLINK("http://www.twitter.com/NathanBLawrence/status/996089003806879744", "996089003806879744")</f>
        <v/>
      </c>
      <c r="B1061" s="2" t="n">
        <v>43234.75346064815</v>
      </c>
      <c r="C1061" t="n">
        <v>0</v>
      </c>
      <c r="D1061" t="n">
        <v>3</v>
      </c>
      <c r="E1061" t="s">
        <v>1060</v>
      </c>
      <c r="F1061">
        <f>HYPERLINK("http://pbs.twimg.com/media/DdLRfOnW0AIkhoP.jpg", "http://pbs.twimg.com/media/DdLRfOnW0AIkhoP.jpg")</f>
        <v/>
      </c>
      <c r="G1061" t="s"/>
      <c r="H1061" t="s"/>
      <c r="I1061" t="s"/>
      <c r="J1061" t="n">
        <v>0.4215</v>
      </c>
      <c r="K1061" t="n">
        <v>0</v>
      </c>
      <c r="L1061" t="n">
        <v>0.865</v>
      </c>
      <c r="M1061" t="n">
        <v>0.135</v>
      </c>
    </row>
    <row r="1062" spans="1:13">
      <c r="A1062" s="1">
        <f>HYPERLINK("http://www.twitter.com/NathanBLawrence/status/996088986798981121", "996088986798981121")</f>
        <v/>
      </c>
      <c r="B1062" s="2" t="n">
        <v>43234.75341435185</v>
      </c>
      <c r="C1062" t="n">
        <v>0</v>
      </c>
      <c r="D1062" t="n">
        <v>1</v>
      </c>
      <c r="E1062" t="s">
        <v>1061</v>
      </c>
      <c r="F1062" t="s"/>
      <c r="G1062" t="s"/>
      <c r="H1062" t="s"/>
      <c r="I1062" t="s"/>
      <c r="J1062" t="n">
        <v>0.6249</v>
      </c>
      <c r="K1062" t="n">
        <v>0.172</v>
      </c>
      <c r="L1062" t="n">
        <v>0.536</v>
      </c>
      <c r="M1062" t="n">
        <v>0.291</v>
      </c>
    </row>
    <row r="1063" spans="1:13">
      <c r="A1063" s="1">
        <f>HYPERLINK("http://www.twitter.com/NathanBLawrence/status/996088942708457472", "996088942708457472")</f>
        <v/>
      </c>
      <c r="B1063" s="2" t="n">
        <v>43234.75329861111</v>
      </c>
      <c r="C1063" t="n">
        <v>0</v>
      </c>
      <c r="D1063" t="n">
        <v>35</v>
      </c>
      <c r="E1063" t="s">
        <v>1062</v>
      </c>
      <c r="F1063" t="s"/>
      <c r="G1063" t="s"/>
      <c r="H1063" t="s"/>
      <c r="I1063" t="s"/>
      <c r="J1063" t="n">
        <v>-0.6486</v>
      </c>
      <c r="K1063" t="n">
        <v>0.218</v>
      </c>
      <c r="L1063" t="n">
        <v>0.782</v>
      </c>
      <c r="M1063" t="n">
        <v>0</v>
      </c>
    </row>
    <row r="1064" spans="1:13">
      <c r="A1064" s="1">
        <f>HYPERLINK("http://www.twitter.com/NathanBLawrence/status/996088729616896001", "996088729616896001")</f>
        <v/>
      </c>
      <c r="B1064" s="2" t="n">
        <v>43234.75270833333</v>
      </c>
      <c r="C1064" t="n">
        <v>0</v>
      </c>
      <c r="D1064" t="n">
        <v>7</v>
      </c>
      <c r="E1064" t="s">
        <v>1063</v>
      </c>
      <c r="F1064">
        <f>HYPERLINK("http://pbs.twimg.com/media/DdLRX-kXkAInfig.jpg", "http://pbs.twimg.com/media/DdLRX-kXkAInfig.jpg")</f>
        <v/>
      </c>
      <c r="G1064" t="s"/>
      <c r="H1064" t="s"/>
      <c r="I1064" t="s"/>
      <c r="J1064" t="n">
        <v>-0.296</v>
      </c>
      <c r="K1064" t="n">
        <v>0.091</v>
      </c>
      <c r="L1064" t="n">
        <v>0.909</v>
      </c>
      <c r="M1064" t="n">
        <v>0</v>
      </c>
    </row>
    <row r="1065" spans="1:13">
      <c r="A1065" s="1">
        <f>HYPERLINK("http://www.twitter.com/NathanBLawrence/status/996088706745356288", "996088706745356288")</f>
        <v/>
      </c>
      <c r="B1065" s="2" t="n">
        <v>43234.75263888889</v>
      </c>
      <c r="C1065" t="n">
        <v>9</v>
      </c>
      <c r="D1065" t="n">
        <v>7</v>
      </c>
      <c r="E1065" t="s">
        <v>1064</v>
      </c>
      <c r="F1065">
        <f>HYPERLINK("http://pbs.twimg.com/media/DdLRX-kXkAInfig.jpg", "http://pbs.twimg.com/media/DdLRX-kXkAInfig.jpg")</f>
        <v/>
      </c>
      <c r="G1065" t="s"/>
      <c r="H1065" t="s"/>
      <c r="I1065" t="s"/>
      <c r="J1065" t="n">
        <v>-0.25</v>
      </c>
      <c r="K1065" t="n">
        <v>0.099</v>
      </c>
      <c r="L1065" t="n">
        <v>0.823</v>
      </c>
      <c r="M1065" t="n">
        <v>0.078</v>
      </c>
    </row>
    <row r="1066" spans="1:13">
      <c r="A1066" s="1">
        <f>HYPERLINK("http://www.twitter.com/NathanBLawrence/status/996083599341424640", "996083599341424640")</f>
        <v/>
      </c>
      <c r="B1066" s="2" t="n">
        <v>43234.73855324074</v>
      </c>
      <c r="C1066" t="n">
        <v>0</v>
      </c>
      <c r="D1066" t="n">
        <v>12</v>
      </c>
      <c r="E1066" t="s">
        <v>1065</v>
      </c>
      <c r="F1066">
        <f>HYPERLINK("http://pbs.twimg.com/media/DdLMleGVMAANN6D.jpg", "http://pbs.twimg.com/media/DdLMleGVMAANN6D.jpg")</f>
        <v/>
      </c>
      <c r="G1066" t="s"/>
      <c r="H1066" t="s"/>
      <c r="I1066" t="s"/>
      <c r="J1066" t="n">
        <v>0</v>
      </c>
      <c r="K1066" t="n">
        <v>0</v>
      </c>
      <c r="L1066" t="n">
        <v>1</v>
      </c>
      <c r="M1066" t="n">
        <v>0</v>
      </c>
    </row>
    <row r="1067" spans="1:13">
      <c r="A1067" s="1">
        <f>HYPERLINK("http://www.twitter.com/NathanBLawrence/status/996083418650828800", "996083418650828800")</f>
        <v/>
      </c>
      <c r="B1067" s="2" t="n">
        <v>43234.73804398148</v>
      </c>
      <c r="C1067" t="n">
        <v>16</v>
      </c>
      <c r="D1067" t="n">
        <v>12</v>
      </c>
      <c r="E1067" t="s">
        <v>1066</v>
      </c>
      <c r="F1067">
        <f>HYPERLINK("http://pbs.twimg.com/media/DdLMleGVMAANN6D.jpg", "http://pbs.twimg.com/media/DdLMleGVMAANN6D.jpg")</f>
        <v/>
      </c>
      <c r="G1067" t="s"/>
      <c r="H1067" t="s"/>
      <c r="I1067" t="s"/>
      <c r="J1067" t="n">
        <v>0.6908</v>
      </c>
      <c r="K1067" t="n">
        <v>0</v>
      </c>
      <c r="L1067" t="n">
        <v>0.857</v>
      </c>
      <c r="M1067" t="n">
        <v>0.143</v>
      </c>
    </row>
    <row r="1068" spans="1:13">
      <c r="A1068" s="1">
        <f>HYPERLINK("http://www.twitter.com/NathanBLawrence/status/996080661827112961", "996080661827112961")</f>
        <v/>
      </c>
      <c r="B1068" s="2" t="n">
        <v>43234.73043981481</v>
      </c>
      <c r="C1068" t="n">
        <v>0</v>
      </c>
      <c r="D1068" t="n">
        <v>4</v>
      </c>
      <c r="E1068" t="s">
        <v>1067</v>
      </c>
      <c r="F1068" t="s"/>
      <c r="G1068" t="s"/>
      <c r="H1068" t="s"/>
      <c r="I1068" t="s"/>
      <c r="J1068" t="n">
        <v>-0.5707</v>
      </c>
      <c r="K1068" t="n">
        <v>0.439</v>
      </c>
      <c r="L1068" t="n">
        <v>0.5610000000000001</v>
      </c>
      <c r="M1068" t="n">
        <v>0</v>
      </c>
    </row>
    <row r="1069" spans="1:13">
      <c r="A1069" s="1">
        <f>HYPERLINK("http://www.twitter.com/NathanBLawrence/status/996080641266601984", "996080641266601984")</f>
        <v/>
      </c>
      <c r="B1069" s="2" t="n">
        <v>43234.73038194444</v>
      </c>
      <c r="C1069" t="n">
        <v>0</v>
      </c>
      <c r="D1069" t="n">
        <v>6</v>
      </c>
      <c r="E1069" t="s">
        <v>1068</v>
      </c>
      <c r="F1069" t="s"/>
      <c r="G1069" t="s"/>
      <c r="H1069" t="s"/>
      <c r="I1069" t="s"/>
      <c r="J1069" t="n">
        <v>0</v>
      </c>
      <c r="K1069" t="n">
        <v>0</v>
      </c>
      <c r="L1069" t="n">
        <v>1</v>
      </c>
      <c r="M1069" t="n">
        <v>0</v>
      </c>
    </row>
    <row r="1070" spans="1:13">
      <c r="A1070" s="1">
        <f>HYPERLINK("http://www.twitter.com/NathanBLawrence/status/996080604910321669", "996080604910321669")</f>
        <v/>
      </c>
      <c r="B1070" s="2" t="n">
        <v>43234.73028935185</v>
      </c>
      <c r="C1070" t="n">
        <v>0</v>
      </c>
      <c r="D1070" t="n">
        <v>11</v>
      </c>
      <c r="E1070" t="s">
        <v>1069</v>
      </c>
      <c r="F1070" t="s"/>
      <c r="G1070" t="s"/>
      <c r="H1070" t="s"/>
      <c r="I1070" t="s"/>
      <c r="J1070" t="n">
        <v>0.5859</v>
      </c>
      <c r="K1070" t="n">
        <v>0</v>
      </c>
      <c r="L1070" t="n">
        <v>0.806</v>
      </c>
      <c r="M1070" t="n">
        <v>0.194</v>
      </c>
    </row>
    <row r="1071" spans="1:13">
      <c r="A1071" s="1">
        <f>HYPERLINK("http://www.twitter.com/NathanBLawrence/status/996080574673641473", "996080574673641473")</f>
        <v/>
      </c>
      <c r="B1071" s="2" t="n">
        <v>43234.73019675926</v>
      </c>
      <c r="C1071" t="n">
        <v>0</v>
      </c>
      <c r="D1071" t="n">
        <v>36</v>
      </c>
      <c r="E1071" t="s">
        <v>1070</v>
      </c>
      <c r="F1071" t="s"/>
      <c r="G1071" t="s"/>
      <c r="H1071" t="s"/>
      <c r="I1071" t="s"/>
      <c r="J1071" t="n">
        <v>0</v>
      </c>
      <c r="K1071" t="n">
        <v>0</v>
      </c>
      <c r="L1071" t="n">
        <v>1</v>
      </c>
      <c r="M1071" t="n">
        <v>0</v>
      </c>
    </row>
    <row r="1072" spans="1:13">
      <c r="A1072" s="1">
        <f>HYPERLINK("http://www.twitter.com/NathanBLawrence/status/996080373338689537", "996080373338689537")</f>
        <v/>
      </c>
      <c r="B1072" s="2" t="n">
        <v>43234.7296412037</v>
      </c>
      <c r="C1072" t="n">
        <v>0</v>
      </c>
      <c r="D1072" t="n">
        <v>15</v>
      </c>
      <c r="E1072" t="s">
        <v>1071</v>
      </c>
      <c r="F1072">
        <f>HYPERLINK("http://pbs.twimg.com/media/DdKSOVQXcAAFpad.jpg", "http://pbs.twimg.com/media/DdKSOVQXcAAFpad.jpg")</f>
        <v/>
      </c>
      <c r="G1072" t="s"/>
      <c r="H1072" t="s"/>
      <c r="I1072" t="s"/>
      <c r="J1072" t="n">
        <v>-0.34</v>
      </c>
      <c r="K1072" t="n">
        <v>0.192</v>
      </c>
      <c r="L1072" t="n">
        <v>0.698</v>
      </c>
      <c r="M1072" t="n">
        <v>0.11</v>
      </c>
    </row>
    <row r="1073" spans="1:13">
      <c r="A1073" s="1">
        <f>HYPERLINK("http://www.twitter.com/NathanBLawrence/status/996080356825722880", "996080356825722880")</f>
        <v/>
      </c>
      <c r="B1073" s="2" t="n">
        <v>43234.72960648148</v>
      </c>
      <c r="C1073" t="n">
        <v>0</v>
      </c>
      <c r="D1073" t="n">
        <v>3</v>
      </c>
      <c r="E1073" t="s">
        <v>1072</v>
      </c>
      <c r="F1073" t="s"/>
      <c r="G1073" t="s"/>
      <c r="H1073" t="s"/>
      <c r="I1073" t="s"/>
      <c r="J1073" t="n">
        <v>-0.2263</v>
      </c>
      <c r="K1073" t="n">
        <v>0.101</v>
      </c>
      <c r="L1073" t="n">
        <v>0.899</v>
      </c>
      <c r="M1073" t="n">
        <v>0</v>
      </c>
    </row>
    <row r="1074" spans="1:13">
      <c r="A1074" s="1">
        <f>HYPERLINK("http://www.twitter.com/NathanBLawrence/status/996080260318941185", "996080260318941185")</f>
        <v/>
      </c>
      <c r="B1074" s="2" t="n">
        <v>43234.7293287037</v>
      </c>
      <c r="C1074" t="n">
        <v>5</v>
      </c>
      <c r="D1074" t="n">
        <v>1</v>
      </c>
      <c r="E1074" t="s">
        <v>1073</v>
      </c>
      <c r="F1074" t="s"/>
      <c r="G1074" t="s"/>
      <c r="H1074" t="s"/>
      <c r="I1074" t="s"/>
      <c r="J1074" t="n">
        <v>0</v>
      </c>
      <c r="K1074" t="n">
        <v>0</v>
      </c>
      <c r="L1074" t="n">
        <v>1</v>
      </c>
      <c r="M1074" t="n">
        <v>0</v>
      </c>
    </row>
    <row r="1075" spans="1:13">
      <c r="A1075" s="1">
        <f>HYPERLINK("http://www.twitter.com/NathanBLawrence/status/996080030072688640", "996080030072688640")</f>
        <v/>
      </c>
      <c r="B1075" s="2" t="n">
        <v>43234.7287037037</v>
      </c>
      <c r="C1075" t="n">
        <v>0</v>
      </c>
      <c r="D1075" t="n">
        <v>35</v>
      </c>
      <c r="E1075" t="s">
        <v>1074</v>
      </c>
      <c r="F1075" t="s"/>
      <c r="G1075" t="s"/>
      <c r="H1075" t="s"/>
      <c r="I1075" t="s"/>
      <c r="J1075" t="n">
        <v>0.1027</v>
      </c>
      <c r="K1075" t="n">
        <v>0.097</v>
      </c>
      <c r="L1075" t="n">
        <v>0.741</v>
      </c>
      <c r="M1075" t="n">
        <v>0.162</v>
      </c>
    </row>
    <row r="1076" spans="1:13">
      <c r="A1076" s="1">
        <f>HYPERLINK("http://www.twitter.com/NathanBLawrence/status/996080011709992961", "996080011709992961")</f>
        <v/>
      </c>
      <c r="B1076" s="2" t="n">
        <v>43234.72864583333</v>
      </c>
      <c r="C1076" t="n">
        <v>0</v>
      </c>
      <c r="D1076" t="n">
        <v>13</v>
      </c>
      <c r="E1076" t="s">
        <v>1075</v>
      </c>
      <c r="F1076" t="s"/>
      <c r="G1076" t="s"/>
      <c r="H1076" t="s"/>
      <c r="I1076" t="s"/>
      <c r="J1076" t="n">
        <v>0</v>
      </c>
      <c r="K1076" t="n">
        <v>0.109</v>
      </c>
      <c r="L1076" t="n">
        <v>0.783</v>
      </c>
      <c r="M1076" t="n">
        <v>0.109</v>
      </c>
    </row>
    <row r="1077" spans="1:13">
      <c r="A1077" s="1">
        <f>HYPERLINK("http://www.twitter.com/NathanBLawrence/status/996079945905516545", "996079945905516545")</f>
        <v/>
      </c>
      <c r="B1077" s="2" t="n">
        <v>43234.72847222222</v>
      </c>
      <c r="C1077" t="n">
        <v>2</v>
      </c>
      <c r="D1077" t="n">
        <v>1</v>
      </c>
      <c r="E1077" t="s">
        <v>1076</v>
      </c>
      <c r="F1077" t="s"/>
      <c r="G1077" t="s"/>
      <c r="H1077" t="s"/>
      <c r="I1077" t="s"/>
      <c r="J1077" t="n">
        <v>0.7003</v>
      </c>
      <c r="K1077" t="n">
        <v>0</v>
      </c>
      <c r="L1077" t="n">
        <v>0.8179999999999999</v>
      </c>
      <c r="M1077" t="n">
        <v>0.182</v>
      </c>
    </row>
    <row r="1078" spans="1:13">
      <c r="A1078" s="1">
        <f>HYPERLINK("http://www.twitter.com/NathanBLawrence/status/996079612345151488", "996079612345151488")</f>
        <v/>
      </c>
      <c r="B1078" s="2" t="n">
        <v>43234.72754629629</v>
      </c>
      <c r="C1078" t="n">
        <v>0</v>
      </c>
      <c r="D1078" t="n">
        <v>30</v>
      </c>
      <c r="E1078" t="s">
        <v>1077</v>
      </c>
      <c r="F1078" t="s"/>
      <c r="G1078" t="s"/>
      <c r="H1078" t="s"/>
      <c r="I1078" t="s"/>
      <c r="J1078" t="n">
        <v>-0.6124000000000001</v>
      </c>
      <c r="K1078" t="n">
        <v>0.185</v>
      </c>
      <c r="L1078" t="n">
        <v>0.8149999999999999</v>
      </c>
      <c r="M1078" t="n">
        <v>0</v>
      </c>
    </row>
    <row r="1079" spans="1:13">
      <c r="A1079" s="1">
        <f>HYPERLINK("http://www.twitter.com/NathanBLawrence/status/996079600328478721", "996079600328478721")</f>
        <v/>
      </c>
      <c r="B1079" s="2" t="n">
        <v>43234.72751157408</v>
      </c>
      <c r="C1079" t="n">
        <v>0</v>
      </c>
      <c r="D1079" t="n">
        <v>14</v>
      </c>
      <c r="E1079" t="s">
        <v>1078</v>
      </c>
      <c r="F1079" t="s"/>
      <c r="G1079" t="s"/>
      <c r="H1079" t="s"/>
      <c r="I1079" t="s"/>
      <c r="J1079" t="n">
        <v>0.0772</v>
      </c>
      <c r="K1079" t="n">
        <v>0</v>
      </c>
      <c r="L1079" t="n">
        <v>0.949</v>
      </c>
      <c r="M1079" t="n">
        <v>0.051</v>
      </c>
    </row>
    <row r="1080" spans="1:13">
      <c r="A1080" s="1">
        <f>HYPERLINK("http://www.twitter.com/NathanBLawrence/status/996079574193704960", "996079574193704960")</f>
        <v/>
      </c>
      <c r="B1080" s="2" t="n">
        <v>43234.72744212963</v>
      </c>
      <c r="C1080" t="n">
        <v>0</v>
      </c>
      <c r="D1080" t="n">
        <v>28</v>
      </c>
      <c r="E1080" t="s">
        <v>1079</v>
      </c>
      <c r="F1080" t="s"/>
      <c r="G1080" t="s"/>
      <c r="H1080" t="s"/>
      <c r="I1080" t="s"/>
      <c r="J1080" t="n">
        <v>-0.3612</v>
      </c>
      <c r="K1080" t="n">
        <v>0.116</v>
      </c>
      <c r="L1080" t="n">
        <v>0.884</v>
      </c>
      <c r="M1080" t="n">
        <v>0</v>
      </c>
    </row>
    <row r="1081" spans="1:13">
      <c r="A1081" s="1">
        <f>HYPERLINK("http://www.twitter.com/NathanBLawrence/status/996079537573253123", "996079537573253123")</f>
        <v/>
      </c>
      <c r="B1081" s="2" t="n">
        <v>43234.72733796296</v>
      </c>
      <c r="C1081" t="n">
        <v>0</v>
      </c>
      <c r="D1081" t="n">
        <v>2</v>
      </c>
      <c r="E1081" t="s">
        <v>1080</v>
      </c>
      <c r="F1081">
        <f>HYPERLINK("http://pbs.twimg.com/media/DdLGH_rXUAAYJhB.jpg", "http://pbs.twimg.com/media/DdLGH_rXUAAYJhB.jpg")</f>
        <v/>
      </c>
      <c r="G1081" t="s"/>
      <c r="H1081" t="s"/>
      <c r="I1081" t="s"/>
      <c r="J1081" t="n">
        <v>-0.2263</v>
      </c>
      <c r="K1081" t="n">
        <v>0.08699999999999999</v>
      </c>
      <c r="L1081" t="n">
        <v>0.913</v>
      </c>
      <c r="M1081" t="n">
        <v>0</v>
      </c>
    </row>
    <row r="1082" spans="1:13">
      <c r="A1082" s="1">
        <f>HYPERLINK("http://www.twitter.com/NathanBLawrence/status/996079512680062976", "996079512680062976")</f>
        <v/>
      </c>
      <c r="B1082" s="2" t="n">
        <v>43234.72726851852</v>
      </c>
      <c r="C1082" t="n">
        <v>6</v>
      </c>
      <c r="D1082" t="n">
        <v>4</v>
      </c>
      <c r="E1082" t="s">
        <v>1081</v>
      </c>
      <c r="F1082" t="s"/>
      <c r="G1082" t="s"/>
      <c r="H1082" t="s"/>
      <c r="I1082" t="s"/>
      <c r="J1082" t="n">
        <v>-0.3612</v>
      </c>
      <c r="K1082" t="n">
        <v>0.145</v>
      </c>
      <c r="L1082" t="n">
        <v>0.751</v>
      </c>
      <c r="M1082" t="n">
        <v>0.105</v>
      </c>
    </row>
    <row r="1083" spans="1:13">
      <c r="A1083" s="1">
        <f>HYPERLINK("http://www.twitter.com/NathanBLawrence/status/996079195540328449", "996079195540328449")</f>
        <v/>
      </c>
      <c r="B1083" s="2" t="n">
        <v>43234.72640046296</v>
      </c>
      <c r="C1083" t="n">
        <v>4</v>
      </c>
      <c r="D1083" t="n">
        <v>3</v>
      </c>
      <c r="E1083" t="s">
        <v>1082</v>
      </c>
      <c r="F1083" t="s"/>
      <c r="G1083" t="s"/>
      <c r="H1083" t="s"/>
      <c r="I1083" t="s"/>
      <c r="J1083" t="n">
        <v>0</v>
      </c>
      <c r="K1083" t="n">
        <v>0</v>
      </c>
      <c r="L1083" t="n">
        <v>1</v>
      </c>
      <c r="M1083" t="n">
        <v>0</v>
      </c>
    </row>
    <row r="1084" spans="1:13">
      <c r="A1084" s="1">
        <f>HYPERLINK("http://www.twitter.com/NathanBLawrence/status/996078836046598146", "996078836046598146")</f>
        <v/>
      </c>
      <c r="B1084" s="2" t="n">
        <v>43234.72540509259</v>
      </c>
      <c r="C1084" t="n">
        <v>0</v>
      </c>
      <c r="D1084" t="n">
        <v>22</v>
      </c>
      <c r="E1084" t="s">
        <v>1083</v>
      </c>
      <c r="F1084" t="s"/>
      <c r="G1084" t="s"/>
      <c r="H1084" t="s"/>
      <c r="I1084" t="s"/>
      <c r="J1084" t="n">
        <v>0.2481</v>
      </c>
      <c r="K1084" t="n">
        <v>0.096</v>
      </c>
      <c r="L1084" t="n">
        <v>0.731</v>
      </c>
      <c r="M1084" t="n">
        <v>0.173</v>
      </c>
    </row>
    <row r="1085" spans="1:13">
      <c r="A1085" s="1">
        <f>HYPERLINK("http://www.twitter.com/NathanBLawrence/status/996078381966987266", "996078381966987266")</f>
        <v/>
      </c>
      <c r="B1085" s="2" t="n">
        <v>43234.72415509259</v>
      </c>
      <c r="C1085" t="n">
        <v>2</v>
      </c>
      <c r="D1085" t="n">
        <v>0</v>
      </c>
      <c r="E1085" t="s">
        <v>1084</v>
      </c>
      <c r="F1085" t="s"/>
      <c r="G1085" t="s"/>
      <c r="H1085" t="s"/>
      <c r="I1085" t="s"/>
      <c r="J1085" t="n">
        <v>0</v>
      </c>
      <c r="K1085" t="n">
        <v>0</v>
      </c>
      <c r="L1085" t="n">
        <v>1</v>
      </c>
      <c r="M1085" t="n">
        <v>0</v>
      </c>
    </row>
    <row r="1086" spans="1:13">
      <c r="A1086" s="1">
        <f>HYPERLINK("http://www.twitter.com/NathanBLawrence/status/996075555098365952", "996075555098365952")</f>
        <v/>
      </c>
      <c r="B1086" s="2" t="n">
        <v>43234.71635416667</v>
      </c>
      <c r="C1086" t="n">
        <v>0</v>
      </c>
      <c r="D1086" t="n">
        <v>18</v>
      </c>
      <c r="E1086" t="s">
        <v>1085</v>
      </c>
      <c r="F1086" t="s"/>
      <c r="G1086" t="s"/>
      <c r="H1086" t="s"/>
      <c r="I1086" t="s"/>
      <c r="J1086" t="n">
        <v>-0.4019</v>
      </c>
      <c r="K1086" t="n">
        <v>0.262</v>
      </c>
      <c r="L1086" t="n">
        <v>0.5610000000000001</v>
      </c>
      <c r="M1086" t="n">
        <v>0.178</v>
      </c>
    </row>
    <row r="1087" spans="1:13">
      <c r="A1087" s="1">
        <f>HYPERLINK("http://www.twitter.com/NathanBLawrence/status/996075471665319936", "996075471665319936")</f>
        <v/>
      </c>
      <c r="B1087" s="2" t="n">
        <v>43234.71612268518</v>
      </c>
      <c r="C1087" t="n">
        <v>1</v>
      </c>
      <c r="D1087" t="n">
        <v>0</v>
      </c>
      <c r="E1087" t="s">
        <v>1086</v>
      </c>
      <c r="F1087">
        <f>HYPERLINK("http://pbs.twimg.com/media/DdLFW7FVAAAl6HU.jpg", "http://pbs.twimg.com/media/DdLFW7FVAAAl6HU.jpg")</f>
        <v/>
      </c>
      <c r="G1087" t="s"/>
      <c r="H1087" t="s"/>
      <c r="I1087" t="s"/>
      <c r="J1087" t="n">
        <v>-0.3612</v>
      </c>
      <c r="K1087" t="n">
        <v>0.368</v>
      </c>
      <c r="L1087" t="n">
        <v>0.632</v>
      </c>
      <c r="M1087" t="n">
        <v>0</v>
      </c>
    </row>
    <row r="1088" spans="1:13">
      <c r="A1088" s="1">
        <f>HYPERLINK("http://www.twitter.com/NathanBLawrence/status/996075204186198017", "996075204186198017")</f>
        <v/>
      </c>
      <c r="B1088" s="2" t="n">
        <v>43234.71538194444</v>
      </c>
      <c r="C1088" t="n">
        <v>0</v>
      </c>
      <c r="D1088" t="n">
        <v>22</v>
      </c>
      <c r="E1088" t="s">
        <v>1087</v>
      </c>
      <c r="F1088" t="s"/>
      <c r="G1088" t="s"/>
      <c r="H1088" t="s"/>
      <c r="I1088" t="s"/>
      <c r="J1088" t="n">
        <v>0.5859</v>
      </c>
      <c r="K1088" t="n">
        <v>0</v>
      </c>
      <c r="L1088" t="n">
        <v>0.821</v>
      </c>
      <c r="M1088" t="n">
        <v>0.179</v>
      </c>
    </row>
    <row r="1089" spans="1:13">
      <c r="A1089" s="1">
        <f>HYPERLINK("http://www.twitter.com/NathanBLawrence/status/996013240982343682", "996013240982343682")</f>
        <v/>
      </c>
      <c r="B1089" s="2" t="n">
        <v>43234.54439814815</v>
      </c>
      <c r="C1089" t="n">
        <v>0</v>
      </c>
      <c r="D1089" t="n">
        <v>7</v>
      </c>
      <c r="E1089" t="s">
        <v>1088</v>
      </c>
      <c r="F1089">
        <f>HYPERLINK("http://pbs.twimg.com/media/DdKJnYcU8AAcCk7.jpg", "http://pbs.twimg.com/media/DdKJnYcU8AAcCk7.jpg")</f>
        <v/>
      </c>
      <c r="G1089" t="s"/>
      <c r="H1089" t="s"/>
      <c r="I1089" t="s"/>
      <c r="J1089" t="n">
        <v>0.8555</v>
      </c>
      <c r="K1089" t="n">
        <v>0</v>
      </c>
      <c r="L1089" t="n">
        <v>0.644</v>
      </c>
      <c r="M1089" t="n">
        <v>0.356</v>
      </c>
    </row>
    <row r="1090" spans="1:13">
      <c r="A1090" s="1">
        <f>HYPERLINK("http://www.twitter.com/NathanBLawrence/status/996013223051780096", "996013223051780096")</f>
        <v/>
      </c>
      <c r="B1090" s="2" t="n">
        <v>43234.54435185185</v>
      </c>
      <c r="C1090" t="n">
        <v>0</v>
      </c>
      <c r="D1090" t="n">
        <v>15</v>
      </c>
      <c r="E1090" t="s">
        <v>1089</v>
      </c>
      <c r="F1090">
        <f>HYPERLINK("http://pbs.twimg.com/media/DdKKwCDW4AEa_tu.jpg", "http://pbs.twimg.com/media/DdKKwCDW4AEa_tu.jpg")</f>
        <v/>
      </c>
      <c r="G1090" t="s"/>
      <c r="H1090" t="s"/>
      <c r="I1090" t="s"/>
      <c r="J1090" t="n">
        <v>-0.2732</v>
      </c>
      <c r="K1090" t="n">
        <v>0.095</v>
      </c>
      <c r="L1090" t="n">
        <v>0.905</v>
      </c>
      <c r="M1090" t="n">
        <v>0</v>
      </c>
    </row>
    <row r="1091" spans="1:13">
      <c r="A1091" s="1">
        <f>HYPERLINK("http://www.twitter.com/NathanBLawrence/status/996013187731546113", "996013187731546113")</f>
        <v/>
      </c>
      <c r="B1091" s="2" t="n">
        <v>43234.54424768518</v>
      </c>
      <c r="C1091" t="n">
        <v>0</v>
      </c>
      <c r="D1091" t="n">
        <v>135</v>
      </c>
      <c r="E1091" t="s">
        <v>1090</v>
      </c>
      <c r="F1091" t="s"/>
      <c r="G1091" t="s"/>
      <c r="H1091" t="s"/>
      <c r="I1091" t="s"/>
      <c r="J1091" t="n">
        <v>0</v>
      </c>
      <c r="K1091" t="n">
        <v>0</v>
      </c>
      <c r="L1091" t="n">
        <v>1</v>
      </c>
      <c r="M1091" t="n">
        <v>0</v>
      </c>
    </row>
    <row r="1092" spans="1:13">
      <c r="A1092" s="1">
        <f>HYPERLINK("http://www.twitter.com/NathanBLawrence/status/996011034447052800", "996011034447052800")</f>
        <v/>
      </c>
      <c r="B1092" s="2" t="n">
        <v>43234.53831018518</v>
      </c>
      <c r="C1092" t="n">
        <v>20</v>
      </c>
      <c r="D1092" t="n">
        <v>15</v>
      </c>
      <c r="E1092" t="s">
        <v>1091</v>
      </c>
      <c r="F1092">
        <f>HYPERLINK("http://pbs.twimg.com/media/DdKKwCDW4AEa_tu.jpg", "http://pbs.twimg.com/media/DdKKwCDW4AEa_tu.jpg")</f>
        <v/>
      </c>
      <c r="G1092" t="s"/>
      <c r="H1092" t="s"/>
      <c r="I1092" t="s"/>
      <c r="J1092" t="n">
        <v>-0.2732</v>
      </c>
      <c r="K1092" t="n">
        <v>0.062</v>
      </c>
      <c r="L1092" t="n">
        <v>0.9379999999999999</v>
      </c>
      <c r="M1092" t="n">
        <v>0</v>
      </c>
    </row>
    <row r="1093" spans="1:13">
      <c r="A1093" s="1">
        <f>HYPERLINK("http://www.twitter.com/NathanBLawrence/status/996007154862706688", "996007154862706688")</f>
        <v/>
      </c>
      <c r="B1093" s="2" t="n">
        <v>43234.52760416667</v>
      </c>
      <c r="C1093" t="n">
        <v>0</v>
      </c>
      <c r="D1093" t="n">
        <v>26</v>
      </c>
      <c r="E1093" t="s">
        <v>1092</v>
      </c>
      <c r="F1093" t="s"/>
      <c r="G1093" t="s"/>
      <c r="H1093" t="s"/>
      <c r="I1093" t="s"/>
      <c r="J1093" t="n">
        <v>-0.6908</v>
      </c>
      <c r="K1093" t="n">
        <v>0.222</v>
      </c>
      <c r="L1093" t="n">
        <v>0.778</v>
      </c>
      <c r="M1093" t="n">
        <v>0</v>
      </c>
    </row>
    <row r="1094" spans="1:13">
      <c r="A1094" s="1">
        <f>HYPERLINK("http://www.twitter.com/NathanBLawrence/status/996006911957979137", "996006911957979137")</f>
        <v/>
      </c>
      <c r="B1094" s="2" t="n">
        <v>43234.52693287037</v>
      </c>
      <c r="C1094" t="n">
        <v>30</v>
      </c>
      <c r="D1094" t="n">
        <v>21</v>
      </c>
      <c r="E1094" t="s">
        <v>1093</v>
      </c>
      <c r="F1094">
        <f>HYPERLINK("http://pbs.twimg.com/media/DdKHAOYVQAEImFM.jpg", "http://pbs.twimg.com/media/DdKHAOYVQAEImFM.jpg")</f>
        <v/>
      </c>
      <c r="G1094" t="s"/>
      <c r="H1094" t="s"/>
      <c r="I1094" t="s"/>
      <c r="J1094" t="n">
        <v>-0.4515</v>
      </c>
      <c r="K1094" t="n">
        <v>0.111</v>
      </c>
      <c r="L1094" t="n">
        <v>0.837</v>
      </c>
      <c r="M1094" t="n">
        <v>0.052</v>
      </c>
    </row>
    <row r="1095" spans="1:13">
      <c r="A1095" s="1">
        <f>HYPERLINK("http://www.twitter.com/NathanBLawrence/status/996003692368318465", "996003692368318465")</f>
        <v/>
      </c>
      <c r="B1095" s="2" t="n">
        <v>43234.51804398148</v>
      </c>
      <c r="C1095" t="n">
        <v>2</v>
      </c>
      <c r="D1095" t="n">
        <v>0</v>
      </c>
      <c r="E1095" t="s">
        <v>1094</v>
      </c>
      <c r="F1095" t="s"/>
      <c r="G1095" t="s"/>
      <c r="H1095" t="s"/>
      <c r="I1095" t="s"/>
      <c r="J1095" t="n">
        <v>-0.25</v>
      </c>
      <c r="K1095" t="n">
        <v>0.213</v>
      </c>
      <c r="L1095" t="n">
        <v>0.632</v>
      </c>
      <c r="M1095" t="n">
        <v>0.155</v>
      </c>
    </row>
    <row r="1096" spans="1:13">
      <c r="A1096" s="1">
        <f>HYPERLINK("http://www.twitter.com/NathanBLawrence/status/996003467549429760", "996003467549429760")</f>
        <v/>
      </c>
      <c r="B1096" s="2" t="n">
        <v>43234.51743055556</v>
      </c>
      <c r="C1096" t="n">
        <v>0</v>
      </c>
      <c r="D1096" t="n">
        <v>50</v>
      </c>
      <c r="E1096" t="s">
        <v>1095</v>
      </c>
      <c r="F1096" t="s"/>
      <c r="G1096" t="s"/>
      <c r="H1096" t="s"/>
      <c r="I1096" t="s"/>
      <c r="J1096" t="n">
        <v>0</v>
      </c>
      <c r="K1096" t="n">
        <v>0</v>
      </c>
      <c r="L1096" t="n">
        <v>1</v>
      </c>
      <c r="M1096" t="n">
        <v>0</v>
      </c>
    </row>
    <row r="1097" spans="1:13">
      <c r="A1097" s="1">
        <f>HYPERLINK("http://www.twitter.com/NathanBLawrence/status/996003242973724673", "996003242973724673")</f>
        <v/>
      </c>
      <c r="B1097" s="2" t="n">
        <v>43234.51680555556</v>
      </c>
      <c r="C1097" t="n">
        <v>1</v>
      </c>
      <c r="D1097" t="n">
        <v>0</v>
      </c>
      <c r="E1097" t="s">
        <v>1096</v>
      </c>
      <c r="F1097" t="s"/>
      <c r="G1097" t="s"/>
      <c r="H1097" t="s"/>
      <c r="I1097" t="s"/>
      <c r="J1097" t="n">
        <v>0</v>
      </c>
      <c r="K1097" t="n">
        <v>0</v>
      </c>
      <c r="L1097" t="n">
        <v>1</v>
      </c>
      <c r="M1097" t="n">
        <v>0</v>
      </c>
    </row>
    <row r="1098" spans="1:13">
      <c r="A1098" s="1">
        <f>HYPERLINK("http://www.twitter.com/NathanBLawrence/status/996002527945555968", "996002527945555968")</f>
        <v/>
      </c>
      <c r="B1098" s="2" t="n">
        <v>43234.51483796296</v>
      </c>
      <c r="C1098" t="n">
        <v>0</v>
      </c>
      <c r="D1098" t="n">
        <v>97</v>
      </c>
      <c r="E1098" t="s">
        <v>1097</v>
      </c>
      <c r="F1098" t="s"/>
      <c r="G1098" t="s"/>
      <c r="H1098" t="s"/>
      <c r="I1098" t="s"/>
      <c r="J1098" t="n">
        <v>0.2023</v>
      </c>
      <c r="K1098" t="n">
        <v>0</v>
      </c>
      <c r="L1098" t="n">
        <v>0.921</v>
      </c>
      <c r="M1098" t="n">
        <v>0.079</v>
      </c>
    </row>
    <row r="1099" spans="1:13">
      <c r="A1099" s="1">
        <f>HYPERLINK("http://www.twitter.com/NathanBLawrence/status/996002296269103105", "996002296269103105")</f>
        <v/>
      </c>
      <c r="B1099" s="2" t="n">
        <v>43234.51418981481</v>
      </c>
      <c r="C1099" t="n">
        <v>0</v>
      </c>
      <c r="D1099" t="n">
        <v>4</v>
      </c>
      <c r="E1099" t="s">
        <v>1098</v>
      </c>
      <c r="F1099" t="s"/>
      <c r="G1099" t="s"/>
      <c r="H1099" t="s"/>
      <c r="I1099" t="s"/>
      <c r="J1099" t="n">
        <v>-0.2212</v>
      </c>
      <c r="K1099" t="n">
        <v>0.131</v>
      </c>
      <c r="L1099" t="n">
        <v>0.773</v>
      </c>
      <c r="M1099" t="n">
        <v>0.097</v>
      </c>
    </row>
    <row r="1100" spans="1:13">
      <c r="A1100" s="1">
        <f>HYPERLINK("http://www.twitter.com/NathanBLawrence/status/996002247225040896", "996002247225040896")</f>
        <v/>
      </c>
      <c r="B1100" s="2" t="n">
        <v>43234.5140625</v>
      </c>
      <c r="C1100" t="n">
        <v>0</v>
      </c>
      <c r="D1100" t="n">
        <v>21</v>
      </c>
      <c r="E1100" t="s">
        <v>1099</v>
      </c>
      <c r="F1100">
        <f>HYPERLINK("http://pbs.twimg.com/media/DdKCbiHVQAAZH_p.jpg", "http://pbs.twimg.com/media/DdKCbiHVQAAZH_p.jpg")</f>
        <v/>
      </c>
      <c r="G1100" t="s"/>
      <c r="H1100" t="s"/>
      <c r="I1100" t="s"/>
      <c r="J1100" t="n">
        <v>-0.6874</v>
      </c>
      <c r="K1100" t="n">
        <v>0.25</v>
      </c>
      <c r="L1100" t="n">
        <v>0.75</v>
      </c>
      <c r="M1100" t="n">
        <v>0</v>
      </c>
    </row>
    <row r="1101" spans="1:13">
      <c r="A1101" s="1">
        <f>HYPERLINK("http://www.twitter.com/NathanBLawrence/status/995998369867862018", "995998369867862018")</f>
        <v/>
      </c>
      <c r="B1101" s="2" t="n">
        <v>43234.50335648148</v>
      </c>
      <c r="C1101" t="n">
        <v>0</v>
      </c>
      <c r="D1101" t="n">
        <v>87</v>
      </c>
      <c r="E1101" t="s">
        <v>1100</v>
      </c>
      <c r="F1101" t="s"/>
      <c r="G1101" t="s"/>
      <c r="H1101" t="s"/>
      <c r="I1101" t="s"/>
      <c r="J1101" t="n">
        <v>-0.5106000000000001</v>
      </c>
      <c r="K1101" t="n">
        <v>0.231</v>
      </c>
      <c r="L1101" t="n">
        <v>0.769</v>
      </c>
      <c r="M1101" t="n">
        <v>0</v>
      </c>
    </row>
    <row r="1102" spans="1:13">
      <c r="A1102" s="1">
        <f>HYPERLINK("http://www.twitter.com/NathanBLawrence/status/995998203987316736", "995998203987316736")</f>
        <v/>
      </c>
      <c r="B1102" s="2" t="n">
        <v>43234.5029050926</v>
      </c>
      <c r="C1102" t="n">
        <v>4</v>
      </c>
      <c r="D1102" t="n">
        <v>2</v>
      </c>
      <c r="E1102" t="s">
        <v>1101</v>
      </c>
      <c r="F1102" t="s"/>
      <c r="G1102" t="s"/>
      <c r="H1102" t="s"/>
      <c r="I1102" t="s"/>
      <c r="J1102" t="n">
        <v>0</v>
      </c>
      <c r="K1102" t="n">
        <v>0</v>
      </c>
      <c r="L1102" t="n">
        <v>1</v>
      </c>
      <c r="M1102" t="n">
        <v>0</v>
      </c>
    </row>
    <row r="1103" spans="1:13">
      <c r="A1103" s="1">
        <f>HYPERLINK("http://www.twitter.com/NathanBLawrence/status/995997977721352192", "995997977721352192")</f>
        <v/>
      </c>
      <c r="B1103" s="2" t="n">
        <v>43234.50228009259</v>
      </c>
      <c r="C1103" t="n">
        <v>1</v>
      </c>
      <c r="D1103" t="n">
        <v>1</v>
      </c>
      <c r="E1103" t="s">
        <v>1102</v>
      </c>
      <c r="F1103" t="s"/>
      <c r="G1103" t="s"/>
      <c r="H1103" t="s"/>
      <c r="I1103" t="s"/>
      <c r="J1103" t="n">
        <v>0</v>
      </c>
      <c r="K1103" t="n">
        <v>0</v>
      </c>
      <c r="L1103" t="n">
        <v>1</v>
      </c>
      <c r="M1103" t="n">
        <v>0</v>
      </c>
    </row>
    <row r="1104" spans="1:13">
      <c r="A1104" s="1">
        <f>HYPERLINK("http://www.twitter.com/NathanBLawrence/status/995997750029414400", "995997750029414400")</f>
        <v/>
      </c>
      <c r="B1104" s="2" t="n">
        <v>43234.50165509259</v>
      </c>
      <c r="C1104" t="n">
        <v>0</v>
      </c>
      <c r="D1104" t="n">
        <v>10</v>
      </c>
      <c r="E1104" t="s">
        <v>1103</v>
      </c>
      <c r="F1104" t="s"/>
      <c r="G1104" t="s"/>
      <c r="H1104" t="s"/>
      <c r="I1104" t="s"/>
      <c r="J1104" t="n">
        <v>0</v>
      </c>
      <c r="K1104" t="n">
        <v>0</v>
      </c>
      <c r="L1104" t="n">
        <v>1</v>
      </c>
      <c r="M1104" t="n">
        <v>0</v>
      </c>
    </row>
    <row r="1105" spans="1:13">
      <c r="A1105" s="1">
        <f>HYPERLINK("http://www.twitter.com/NathanBLawrence/status/995903295498674177", "995903295498674177")</f>
        <v/>
      </c>
      <c r="B1105" s="2" t="n">
        <v>43234.24100694444</v>
      </c>
      <c r="C1105" t="n">
        <v>0</v>
      </c>
      <c r="D1105" t="n">
        <v>0</v>
      </c>
      <c r="E1105" t="s">
        <v>1104</v>
      </c>
      <c r="F1105" t="s"/>
      <c r="G1105" t="s"/>
      <c r="H1105" t="s"/>
      <c r="I1105" t="s"/>
      <c r="J1105" t="n">
        <v>0</v>
      </c>
      <c r="K1105" t="n">
        <v>0</v>
      </c>
      <c r="L1105" t="n">
        <v>1</v>
      </c>
      <c r="M1105" t="n">
        <v>0</v>
      </c>
    </row>
    <row r="1106" spans="1:13">
      <c r="A1106" s="1">
        <f>HYPERLINK("http://www.twitter.com/NathanBLawrence/status/995901293809078272", "995901293809078272")</f>
        <v/>
      </c>
      <c r="B1106" s="2" t="n">
        <v>43234.23548611111</v>
      </c>
      <c r="C1106" t="n">
        <v>0</v>
      </c>
      <c r="D1106" t="n">
        <v>631</v>
      </c>
      <c r="E1106" t="s">
        <v>1105</v>
      </c>
      <c r="F1106" t="s"/>
      <c r="G1106" t="s"/>
      <c r="H1106" t="s"/>
      <c r="I1106" t="s"/>
      <c r="J1106" t="n">
        <v>0.4019</v>
      </c>
      <c r="K1106" t="n">
        <v>0</v>
      </c>
      <c r="L1106" t="n">
        <v>0.876</v>
      </c>
      <c r="M1106" t="n">
        <v>0.124</v>
      </c>
    </row>
    <row r="1107" spans="1:13">
      <c r="A1107" s="1">
        <f>HYPERLINK("http://www.twitter.com/NathanBLawrence/status/995889079278587904", "995889079278587904")</f>
        <v/>
      </c>
      <c r="B1107" s="2" t="n">
        <v>43234.20177083334</v>
      </c>
      <c r="C1107" t="n">
        <v>0</v>
      </c>
      <c r="D1107" t="n">
        <v>5</v>
      </c>
      <c r="E1107" t="s">
        <v>1106</v>
      </c>
      <c r="F1107">
        <f>HYPERLINK("http://pbs.twimg.com/media/DdIbzOxXcAAgb7_.jpg", "http://pbs.twimg.com/media/DdIbzOxXcAAgb7_.jpg")</f>
        <v/>
      </c>
      <c r="G1107" t="s"/>
      <c r="H1107" t="s"/>
      <c r="I1107" t="s"/>
      <c r="J1107" t="n">
        <v>0</v>
      </c>
      <c r="K1107" t="n">
        <v>0</v>
      </c>
      <c r="L1107" t="n">
        <v>1</v>
      </c>
      <c r="M1107" t="n">
        <v>0</v>
      </c>
    </row>
    <row r="1108" spans="1:13">
      <c r="A1108" s="1">
        <f>HYPERLINK("http://www.twitter.com/NathanBLawrence/status/995889047833890816", "995889047833890816")</f>
        <v/>
      </c>
      <c r="B1108" s="2" t="n">
        <v>43234.20168981481</v>
      </c>
      <c r="C1108" t="n">
        <v>7</v>
      </c>
      <c r="D1108" t="n">
        <v>5</v>
      </c>
      <c r="E1108" t="s">
        <v>1107</v>
      </c>
      <c r="F1108">
        <f>HYPERLINK("http://pbs.twimg.com/media/DdIbzOxXcAAgb7_.jpg", "http://pbs.twimg.com/media/DdIbzOxXcAAgb7_.jpg")</f>
        <v/>
      </c>
      <c r="G1108" t="s"/>
      <c r="H1108" t="s"/>
      <c r="I1108" t="s"/>
      <c r="J1108" t="n">
        <v>0</v>
      </c>
      <c r="K1108" t="n">
        <v>0</v>
      </c>
      <c r="L1108" t="n">
        <v>1</v>
      </c>
      <c r="M1108" t="n">
        <v>0</v>
      </c>
    </row>
    <row r="1109" spans="1:13">
      <c r="A1109" s="1">
        <f>HYPERLINK("http://www.twitter.com/NathanBLawrence/status/995888273380831232", "995888273380831232")</f>
        <v/>
      </c>
      <c r="B1109" s="2" t="n">
        <v>43234.19954861111</v>
      </c>
      <c r="C1109" t="n">
        <v>0</v>
      </c>
      <c r="D1109" t="n">
        <v>294</v>
      </c>
      <c r="E1109" t="s">
        <v>1108</v>
      </c>
      <c r="F1109" t="s"/>
      <c r="G1109" t="s"/>
      <c r="H1109" t="s"/>
      <c r="I1109" t="s"/>
      <c r="J1109" t="n">
        <v>-0.3382</v>
      </c>
      <c r="K1109" t="n">
        <v>0.107</v>
      </c>
      <c r="L1109" t="n">
        <v>0.893</v>
      </c>
      <c r="M1109" t="n">
        <v>0</v>
      </c>
    </row>
    <row r="1110" spans="1:13">
      <c r="A1110" s="1">
        <f>HYPERLINK("http://www.twitter.com/NathanBLawrence/status/995887189719384064", "995887189719384064")</f>
        <v/>
      </c>
      <c r="B1110" s="2" t="n">
        <v>43234.1965625</v>
      </c>
      <c r="C1110" t="n">
        <v>0</v>
      </c>
      <c r="D1110" t="n">
        <v>3</v>
      </c>
      <c r="E1110" t="s">
        <v>1109</v>
      </c>
      <c r="F1110" t="s"/>
      <c r="G1110" t="s"/>
      <c r="H1110" t="s"/>
      <c r="I1110" t="s"/>
      <c r="J1110" t="n">
        <v>0.4767</v>
      </c>
      <c r="K1110" t="n">
        <v>0.106</v>
      </c>
      <c r="L1110" t="n">
        <v>0.672</v>
      </c>
      <c r="M1110" t="n">
        <v>0.222</v>
      </c>
    </row>
    <row r="1111" spans="1:13">
      <c r="A1111" s="1">
        <f>HYPERLINK("http://www.twitter.com/NathanBLawrence/status/995887063445790720", "995887063445790720")</f>
        <v/>
      </c>
      <c r="B1111" s="2" t="n">
        <v>43234.19621527778</v>
      </c>
      <c r="C1111" t="n">
        <v>0</v>
      </c>
      <c r="D1111" t="n">
        <v>2</v>
      </c>
      <c r="E1111" t="s">
        <v>1110</v>
      </c>
      <c r="F1111" t="s"/>
      <c r="G1111" t="s"/>
      <c r="H1111" t="s"/>
      <c r="I1111" t="s"/>
      <c r="J1111" t="n">
        <v>0</v>
      </c>
      <c r="K1111" t="n">
        <v>0</v>
      </c>
      <c r="L1111" t="n">
        <v>1</v>
      </c>
      <c r="M1111" t="n">
        <v>0</v>
      </c>
    </row>
    <row r="1112" spans="1:13">
      <c r="A1112" s="1">
        <f>HYPERLINK("http://www.twitter.com/NathanBLawrence/status/995867133082038272", "995867133082038272")</f>
        <v/>
      </c>
      <c r="B1112" s="2" t="n">
        <v>43234.14121527778</v>
      </c>
      <c r="C1112" t="n">
        <v>0</v>
      </c>
      <c r="D1112" t="n">
        <v>42</v>
      </c>
      <c r="E1112" t="s">
        <v>1111</v>
      </c>
      <c r="F1112" t="s"/>
      <c r="G1112" t="s"/>
      <c r="H1112" t="s"/>
      <c r="I1112" t="s"/>
      <c r="J1112" t="n">
        <v>-0.4753</v>
      </c>
      <c r="K1112" t="n">
        <v>0.196</v>
      </c>
      <c r="L1112" t="n">
        <v>0.708</v>
      </c>
      <c r="M1112" t="n">
        <v>0.096</v>
      </c>
    </row>
    <row r="1113" spans="1:13">
      <c r="A1113" s="1">
        <f>HYPERLINK("http://www.twitter.com/NathanBLawrence/status/995867071509684224", "995867071509684224")</f>
        <v/>
      </c>
      <c r="B1113" s="2" t="n">
        <v>43234.14104166667</v>
      </c>
      <c r="C1113" t="n">
        <v>0</v>
      </c>
      <c r="D1113" t="n">
        <v>61</v>
      </c>
      <c r="E1113" t="s">
        <v>1112</v>
      </c>
      <c r="F1113" t="s"/>
      <c r="G1113" t="s"/>
      <c r="H1113" t="s"/>
      <c r="I1113" t="s"/>
      <c r="J1113" t="n">
        <v>0</v>
      </c>
      <c r="K1113" t="n">
        <v>0</v>
      </c>
      <c r="L1113" t="n">
        <v>1</v>
      </c>
      <c r="M1113" t="n">
        <v>0</v>
      </c>
    </row>
    <row r="1114" spans="1:13">
      <c r="A1114" s="1">
        <f>HYPERLINK("http://www.twitter.com/NathanBLawrence/status/995867038773071877", "995867038773071877")</f>
        <v/>
      </c>
      <c r="B1114" s="2" t="n">
        <v>43234.14096064815</v>
      </c>
      <c r="C1114" t="n">
        <v>0</v>
      </c>
      <c r="D1114" t="n">
        <v>10</v>
      </c>
      <c r="E1114" t="s">
        <v>1113</v>
      </c>
      <c r="F1114" t="s"/>
      <c r="G1114" t="s"/>
      <c r="H1114" t="s"/>
      <c r="I1114" t="s"/>
      <c r="J1114" t="n">
        <v>0</v>
      </c>
      <c r="K1114" t="n">
        <v>0</v>
      </c>
      <c r="L1114" t="n">
        <v>1</v>
      </c>
      <c r="M1114" t="n">
        <v>0</v>
      </c>
    </row>
    <row r="1115" spans="1:13">
      <c r="A1115" s="1">
        <f>HYPERLINK("http://www.twitter.com/NathanBLawrence/status/995866984494567424", "995866984494567424")</f>
        <v/>
      </c>
      <c r="B1115" s="2" t="n">
        <v>43234.14081018518</v>
      </c>
      <c r="C1115" t="n">
        <v>3</v>
      </c>
      <c r="D1115" t="n">
        <v>3</v>
      </c>
      <c r="E1115" t="s">
        <v>1114</v>
      </c>
      <c r="F1115" t="s"/>
      <c r="G1115" t="s"/>
      <c r="H1115" t="s"/>
      <c r="I1115" t="s"/>
      <c r="J1115" t="n">
        <v>-0.4767</v>
      </c>
      <c r="K1115" t="n">
        <v>0.341</v>
      </c>
      <c r="L1115" t="n">
        <v>0.659</v>
      </c>
      <c r="M1115" t="n">
        <v>0</v>
      </c>
    </row>
    <row r="1116" spans="1:13">
      <c r="A1116" s="1">
        <f>HYPERLINK("http://www.twitter.com/NathanBLawrence/status/995866876034060288", "995866876034060288")</f>
        <v/>
      </c>
      <c r="B1116" s="2" t="n">
        <v>43234.14050925926</v>
      </c>
      <c r="C1116" t="n">
        <v>0</v>
      </c>
      <c r="D1116" t="n">
        <v>111</v>
      </c>
      <c r="E1116" t="s">
        <v>1115</v>
      </c>
      <c r="F1116" t="s"/>
      <c r="G1116" t="s"/>
      <c r="H1116" t="s"/>
      <c r="I1116" t="s"/>
      <c r="J1116" t="n">
        <v>-0.7141</v>
      </c>
      <c r="K1116" t="n">
        <v>0.271</v>
      </c>
      <c r="L1116" t="n">
        <v>0.665</v>
      </c>
      <c r="M1116" t="n">
        <v>0.063</v>
      </c>
    </row>
    <row r="1117" spans="1:13">
      <c r="A1117" s="1">
        <f>HYPERLINK("http://www.twitter.com/NathanBLawrence/status/995866780571664384", "995866780571664384")</f>
        <v/>
      </c>
      <c r="B1117" s="2" t="n">
        <v>43234.14024305555</v>
      </c>
      <c r="C1117" t="n">
        <v>0</v>
      </c>
      <c r="D1117" t="n">
        <v>7939</v>
      </c>
      <c r="E1117" t="s">
        <v>1116</v>
      </c>
      <c r="F1117" t="s"/>
      <c r="G1117" t="s"/>
      <c r="H1117" t="s"/>
      <c r="I1117" t="s"/>
      <c r="J1117" t="n">
        <v>-0.128</v>
      </c>
      <c r="K1117" t="n">
        <v>0.148</v>
      </c>
      <c r="L1117" t="n">
        <v>0.756</v>
      </c>
      <c r="M1117" t="n">
        <v>0.096</v>
      </c>
    </row>
    <row r="1118" spans="1:13">
      <c r="A1118" s="1">
        <f>HYPERLINK("http://www.twitter.com/NathanBLawrence/status/995866758765535232", "995866758765535232")</f>
        <v/>
      </c>
      <c r="B1118" s="2" t="n">
        <v>43234.14018518518</v>
      </c>
      <c r="C1118" t="n">
        <v>0</v>
      </c>
      <c r="D1118" t="n">
        <v>1</v>
      </c>
      <c r="E1118" t="s">
        <v>1117</v>
      </c>
      <c r="F1118" t="s"/>
      <c r="G1118" t="s"/>
      <c r="H1118" t="s"/>
      <c r="I1118" t="s"/>
      <c r="J1118" t="n">
        <v>0.1779</v>
      </c>
      <c r="K1118" t="n">
        <v>0.094</v>
      </c>
      <c r="L1118" t="n">
        <v>0.787</v>
      </c>
      <c r="M1118" t="n">
        <v>0.12</v>
      </c>
    </row>
    <row r="1119" spans="1:13">
      <c r="A1119" s="1">
        <f>HYPERLINK("http://www.twitter.com/NathanBLawrence/status/995866648694476801", "995866648694476801")</f>
        <v/>
      </c>
      <c r="B1119" s="2" t="n">
        <v>43234.13988425926</v>
      </c>
      <c r="C1119" t="n">
        <v>0</v>
      </c>
      <c r="D1119" t="n">
        <v>12</v>
      </c>
      <c r="E1119" t="s">
        <v>1118</v>
      </c>
      <c r="F1119" t="s"/>
      <c r="G1119" t="s"/>
      <c r="H1119" t="s"/>
      <c r="I1119" t="s"/>
      <c r="J1119" t="n">
        <v>0.4215</v>
      </c>
      <c r="K1119" t="n">
        <v>0</v>
      </c>
      <c r="L1119" t="n">
        <v>0.781</v>
      </c>
      <c r="M1119" t="n">
        <v>0.219</v>
      </c>
    </row>
    <row r="1120" spans="1:13">
      <c r="A1120" s="1">
        <f>HYPERLINK("http://www.twitter.com/NathanBLawrence/status/995866411498201089", "995866411498201089")</f>
        <v/>
      </c>
      <c r="B1120" s="2" t="n">
        <v>43234.13922453704</v>
      </c>
      <c r="C1120" t="n">
        <v>0</v>
      </c>
      <c r="D1120" t="n">
        <v>4946</v>
      </c>
      <c r="E1120" t="s">
        <v>1119</v>
      </c>
      <c r="F1120">
        <f>HYPERLINK("https://video.twimg.com/amplify_video/995667275020677120/vid/1280x720/Z4GylrR7SYKCU6dK.mp4?tag=2", "https://video.twimg.com/amplify_video/995667275020677120/vid/1280x720/Z4GylrR7SYKCU6dK.mp4?tag=2")</f>
        <v/>
      </c>
      <c r="G1120" t="s"/>
      <c r="H1120" t="s"/>
      <c r="I1120" t="s"/>
      <c r="J1120" t="n">
        <v>-0.8807</v>
      </c>
      <c r="K1120" t="n">
        <v>0.351</v>
      </c>
      <c r="L1120" t="n">
        <v>0.579</v>
      </c>
      <c r="M1120" t="n">
        <v>0.07000000000000001</v>
      </c>
    </row>
    <row r="1121" spans="1:13">
      <c r="A1121" s="1">
        <f>HYPERLINK("http://www.twitter.com/NathanBLawrence/status/995866316161650688", "995866316161650688")</f>
        <v/>
      </c>
      <c r="B1121" s="2" t="n">
        <v>43234.13895833334</v>
      </c>
      <c r="C1121" t="n">
        <v>0</v>
      </c>
      <c r="D1121" t="n">
        <v>0</v>
      </c>
      <c r="E1121" t="s">
        <v>1120</v>
      </c>
      <c r="F1121" t="s"/>
      <c r="G1121" t="s"/>
      <c r="H1121" t="s"/>
      <c r="I1121" t="s"/>
      <c r="J1121" t="n">
        <v>0.6553</v>
      </c>
      <c r="K1121" t="n">
        <v>0</v>
      </c>
      <c r="L1121" t="n">
        <v>0.427</v>
      </c>
      <c r="M1121" t="n">
        <v>0.573</v>
      </c>
    </row>
    <row r="1122" spans="1:13">
      <c r="A1122" s="1">
        <f>HYPERLINK("http://www.twitter.com/NathanBLawrence/status/995865399035129856", "995865399035129856")</f>
        <v/>
      </c>
      <c r="B1122" s="2" t="n">
        <v>43234.13643518519</v>
      </c>
      <c r="C1122" t="n">
        <v>0</v>
      </c>
      <c r="D1122" t="n">
        <v>7</v>
      </c>
      <c r="E1122" t="s">
        <v>1121</v>
      </c>
      <c r="F1122" t="s"/>
      <c r="G1122" t="s"/>
      <c r="H1122" t="s"/>
      <c r="I1122" t="s"/>
      <c r="J1122" t="n">
        <v>0.25</v>
      </c>
      <c r="K1122" t="n">
        <v>0.08</v>
      </c>
      <c r="L1122" t="n">
        <v>0.803</v>
      </c>
      <c r="M1122" t="n">
        <v>0.117</v>
      </c>
    </row>
    <row r="1123" spans="1:13">
      <c r="A1123" s="1">
        <f>HYPERLINK("http://www.twitter.com/NathanBLawrence/status/995865076019159040", "995865076019159040")</f>
        <v/>
      </c>
      <c r="B1123" s="2" t="n">
        <v>43234.13554398148</v>
      </c>
      <c r="C1123" t="n">
        <v>0</v>
      </c>
      <c r="D1123" t="n">
        <v>0</v>
      </c>
      <c r="E1123" t="s">
        <v>1122</v>
      </c>
      <c r="F1123" t="s"/>
      <c r="G1123" t="s"/>
      <c r="H1123" t="s"/>
      <c r="I1123" t="s"/>
      <c r="J1123" t="n">
        <v>0.4588</v>
      </c>
      <c r="K1123" t="n">
        <v>0</v>
      </c>
      <c r="L1123" t="n">
        <v>0.833</v>
      </c>
      <c r="M1123" t="n">
        <v>0.167</v>
      </c>
    </row>
    <row r="1124" spans="1:13">
      <c r="A1124" s="1">
        <f>HYPERLINK("http://www.twitter.com/NathanBLawrence/status/995864609700614145", "995864609700614145")</f>
        <v/>
      </c>
      <c r="B1124" s="2" t="n">
        <v>43234.13424768519</v>
      </c>
      <c r="C1124" t="n">
        <v>0</v>
      </c>
      <c r="D1124" t="n">
        <v>7</v>
      </c>
      <c r="E1124" t="s">
        <v>1123</v>
      </c>
      <c r="F1124" t="s"/>
      <c r="G1124" t="s"/>
      <c r="H1124" t="s"/>
      <c r="I1124" t="s"/>
      <c r="J1124" t="n">
        <v>-0.5423</v>
      </c>
      <c r="K1124" t="n">
        <v>0.171</v>
      </c>
      <c r="L1124" t="n">
        <v>0.829</v>
      </c>
      <c r="M1124" t="n">
        <v>0</v>
      </c>
    </row>
    <row r="1125" spans="1:13">
      <c r="A1125" s="1">
        <f>HYPERLINK("http://www.twitter.com/NathanBLawrence/status/995864147060510720", "995864147060510720")</f>
        <v/>
      </c>
      <c r="B1125" s="2" t="n">
        <v>43234.13297453704</v>
      </c>
      <c r="C1125" t="n">
        <v>1</v>
      </c>
      <c r="D1125" t="n">
        <v>0</v>
      </c>
      <c r="E1125" t="s">
        <v>1124</v>
      </c>
      <c r="F1125" t="s"/>
      <c r="G1125" t="s"/>
      <c r="H1125" t="s"/>
      <c r="I1125" t="s"/>
      <c r="J1125" t="n">
        <v>0</v>
      </c>
      <c r="K1125" t="n">
        <v>0</v>
      </c>
      <c r="L1125" t="n">
        <v>1</v>
      </c>
      <c r="M1125" t="n">
        <v>0</v>
      </c>
    </row>
    <row r="1126" spans="1:13">
      <c r="A1126" s="1">
        <f>HYPERLINK("http://www.twitter.com/NathanBLawrence/status/995863961374511105", "995863961374511105")</f>
        <v/>
      </c>
      <c r="B1126" s="2" t="n">
        <v>43234.13246527778</v>
      </c>
      <c r="C1126" t="n">
        <v>0</v>
      </c>
      <c r="D1126" t="n">
        <v>0</v>
      </c>
      <c r="E1126" t="s">
        <v>1125</v>
      </c>
      <c r="F1126" t="s"/>
      <c r="G1126" t="s"/>
      <c r="H1126" t="s"/>
      <c r="I1126" t="s"/>
      <c r="J1126" t="n">
        <v>-0.5719</v>
      </c>
      <c r="K1126" t="n">
        <v>0.649</v>
      </c>
      <c r="L1126" t="n">
        <v>0.351</v>
      </c>
      <c r="M1126" t="n">
        <v>0</v>
      </c>
    </row>
    <row r="1127" spans="1:13">
      <c r="A1127" s="1">
        <f>HYPERLINK("http://www.twitter.com/NathanBLawrence/status/995863926796636160", "995863926796636160")</f>
        <v/>
      </c>
      <c r="B1127" s="2" t="n">
        <v>43234.13237268518</v>
      </c>
      <c r="C1127" t="n">
        <v>0</v>
      </c>
      <c r="D1127" t="n">
        <v>5</v>
      </c>
      <c r="E1127" t="s">
        <v>1126</v>
      </c>
      <c r="F1127" t="s"/>
      <c r="G1127" t="s"/>
      <c r="H1127" t="s"/>
      <c r="I1127" t="s"/>
      <c r="J1127" t="n">
        <v>0.4404</v>
      </c>
      <c r="K1127" t="n">
        <v>0</v>
      </c>
      <c r="L1127" t="n">
        <v>0.892</v>
      </c>
      <c r="M1127" t="n">
        <v>0.108</v>
      </c>
    </row>
    <row r="1128" spans="1:13">
      <c r="A1128" s="1">
        <f>HYPERLINK("http://www.twitter.com/NathanBLawrence/status/995863914016595970", "995863914016595970")</f>
        <v/>
      </c>
      <c r="B1128" s="2" t="n">
        <v>43234.13233796296</v>
      </c>
      <c r="C1128" t="n">
        <v>0</v>
      </c>
      <c r="D1128" t="n">
        <v>5</v>
      </c>
      <c r="E1128" t="s">
        <v>1127</v>
      </c>
      <c r="F1128" t="s"/>
      <c r="G1128" t="s"/>
      <c r="H1128" t="s"/>
      <c r="I1128" t="s"/>
      <c r="J1128" t="n">
        <v>-0.1154</v>
      </c>
      <c r="K1128" t="n">
        <v>0.137</v>
      </c>
      <c r="L1128" t="n">
        <v>0.742</v>
      </c>
      <c r="M1128" t="n">
        <v>0.121</v>
      </c>
    </row>
    <row r="1129" spans="1:13">
      <c r="A1129" s="1">
        <f>HYPERLINK("http://www.twitter.com/NathanBLawrence/status/995863902519988229", "995863902519988229")</f>
        <v/>
      </c>
      <c r="B1129" s="2" t="n">
        <v>43234.13230324074</v>
      </c>
      <c r="C1129" t="n">
        <v>0</v>
      </c>
      <c r="D1129" t="n">
        <v>9</v>
      </c>
      <c r="E1129" t="s">
        <v>1128</v>
      </c>
      <c r="F1129" t="s"/>
      <c r="G1129" t="s"/>
      <c r="H1129" t="s"/>
      <c r="I1129" t="s"/>
      <c r="J1129" t="n">
        <v>-0.1477</v>
      </c>
      <c r="K1129" t="n">
        <v>0.08500000000000001</v>
      </c>
      <c r="L1129" t="n">
        <v>0.915</v>
      </c>
      <c r="M1129" t="n">
        <v>0</v>
      </c>
    </row>
    <row r="1130" spans="1:13">
      <c r="A1130" s="1">
        <f>HYPERLINK("http://www.twitter.com/NathanBLawrence/status/995863412147187712", "995863412147187712")</f>
        <v/>
      </c>
      <c r="B1130" s="2" t="n">
        <v>43234.13094907408</v>
      </c>
      <c r="C1130" t="n">
        <v>0</v>
      </c>
      <c r="D1130" t="n">
        <v>5</v>
      </c>
      <c r="E1130" t="s">
        <v>1129</v>
      </c>
      <c r="F1130" t="s"/>
      <c r="G1130" t="s"/>
      <c r="H1130" t="s"/>
      <c r="I1130" t="s"/>
      <c r="J1130" t="n">
        <v>-0.5423</v>
      </c>
      <c r="K1130" t="n">
        <v>0.211</v>
      </c>
      <c r="L1130" t="n">
        <v>0.6929999999999999</v>
      </c>
      <c r="M1130" t="n">
        <v>0.096</v>
      </c>
    </row>
    <row r="1131" spans="1:13">
      <c r="A1131" s="1">
        <f>HYPERLINK("http://www.twitter.com/NathanBLawrence/status/995863381327466496", "995863381327466496")</f>
        <v/>
      </c>
      <c r="B1131" s="2" t="n">
        <v>43234.13086805555</v>
      </c>
      <c r="C1131" t="n">
        <v>0</v>
      </c>
      <c r="D1131" t="n">
        <v>7</v>
      </c>
      <c r="E1131" t="s">
        <v>1130</v>
      </c>
      <c r="F1131" t="s"/>
      <c r="G1131" t="s"/>
      <c r="H1131" t="s"/>
      <c r="I1131" t="s"/>
      <c r="J1131" t="n">
        <v>0.7717000000000001</v>
      </c>
      <c r="K1131" t="n">
        <v>0</v>
      </c>
      <c r="L1131" t="n">
        <v>0.739</v>
      </c>
      <c r="M1131" t="n">
        <v>0.261</v>
      </c>
    </row>
    <row r="1132" spans="1:13">
      <c r="A1132" s="1">
        <f>HYPERLINK("http://www.twitter.com/NathanBLawrence/status/995856320690614273", "995856320690614273")</f>
        <v/>
      </c>
      <c r="B1132" s="2" t="n">
        <v>43234.11137731482</v>
      </c>
      <c r="C1132" t="n">
        <v>0</v>
      </c>
      <c r="D1132" t="n">
        <v>5</v>
      </c>
      <c r="E1132" t="s">
        <v>1131</v>
      </c>
      <c r="F1132" t="s"/>
      <c r="G1132" t="s"/>
      <c r="H1132" t="s"/>
      <c r="I1132" t="s"/>
      <c r="J1132" t="n">
        <v>0</v>
      </c>
      <c r="K1132" t="n">
        <v>0</v>
      </c>
      <c r="L1132" t="n">
        <v>1</v>
      </c>
      <c r="M1132" t="n">
        <v>0</v>
      </c>
    </row>
    <row r="1133" spans="1:13">
      <c r="A1133" s="1">
        <f>HYPERLINK("http://www.twitter.com/NathanBLawrence/status/995852974390996992", "995852974390996992")</f>
        <v/>
      </c>
      <c r="B1133" s="2" t="n">
        <v>43234.1021412037</v>
      </c>
      <c r="C1133" t="n">
        <v>0</v>
      </c>
      <c r="D1133" t="n">
        <v>9</v>
      </c>
      <c r="E1133" t="s">
        <v>1132</v>
      </c>
      <c r="F1133">
        <f>HYPERLINK("http://pbs.twimg.com/media/DdAJPWiXUAAbXeq.jpg", "http://pbs.twimg.com/media/DdAJPWiXUAAbXeq.jpg")</f>
        <v/>
      </c>
      <c r="G1133" t="s"/>
      <c r="H1133" t="s"/>
      <c r="I1133" t="s"/>
      <c r="J1133" t="n">
        <v>0.6494</v>
      </c>
      <c r="K1133" t="n">
        <v>0</v>
      </c>
      <c r="L1133" t="n">
        <v>0.725</v>
      </c>
      <c r="M1133" t="n">
        <v>0.275</v>
      </c>
    </row>
    <row r="1134" spans="1:13">
      <c r="A1134" s="1">
        <f>HYPERLINK("http://www.twitter.com/NathanBLawrence/status/995852025366753280", "995852025366753280")</f>
        <v/>
      </c>
      <c r="B1134" s="2" t="n">
        <v>43234.09952546296</v>
      </c>
      <c r="C1134" t="n">
        <v>0</v>
      </c>
      <c r="D1134" t="n">
        <v>12639</v>
      </c>
      <c r="E1134" t="s">
        <v>1133</v>
      </c>
      <c r="F1134" t="s"/>
      <c r="G1134" t="s"/>
      <c r="H1134" t="s"/>
      <c r="I1134" t="s"/>
      <c r="J1134" t="n">
        <v>0.5859</v>
      </c>
      <c r="K1134" t="n">
        <v>0</v>
      </c>
      <c r="L1134" t="n">
        <v>0.806</v>
      </c>
      <c r="M1134" t="n">
        <v>0.194</v>
      </c>
    </row>
    <row r="1135" spans="1:13">
      <c r="A1135" s="1">
        <f>HYPERLINK("http://www.twitter.com/NathanBLawrence/status/995851790393528320", "995851790393528320")</f>
        <v/>
      </c>
      <c r="B1135" s="2" t="n">
        <v>43234.09887731481</v>
      </c>
      <c r="C1135" t="n">
        <v>0</v>
      </c>
      <c r="D1135" t="n">
        <v>4</v>
      </c>
      <c r="E1135" t="s">
        <v>1134</v>
      </c>
      <c r="F1135" t="s"/>
      <c r="G1135" t="s"/>
      <c r="H1135" t="s"/>
      <c r="I1135" t="s"/>
      <c r="J1135" t="n">
        <v>0.296</v>
      </c>
      <c r="K1135" t="n">
        <v>0</v>
      </c>
      <c r="L1135" t="n">
        <v>0.913</v>
      </c>
      <c r="M1135" t="n">
        <v>0.08699999999999999</v>
      </c>
    </row>
    <row r="1136" spans="1:13">
      <c r="A1136" s="1">
        <f>HYPERLINK("http://www.twitter.com/NathanBLawrence/status/995851406832791552", "995851406832791552")</f>
        <v/>
      </c>
      <c r="B1136" s="2" t="n">
        <v>43234.09782407407</v>
      </c>
      <c r="C1136" t="n">
        <v>1</v>
      </c>
      <c r="D1136" t="n">
        <v>0</v>
      </c>
      <c r="E1136" t="s">
        <v>1135</v>
      </c>
      <c r="F1136" t="s"/>
      <c r="G1136" t="s"/>
      <c r="H1136" t="s"/>
      <c r="I1136" t="s"/>
      <c r="J1136" t="n">
        <v>-0.743</v>
      </c>
      <c r="K1136" t="n">
        <v>0.376</v>
      </c>
      <c r="L1136" t="n">
        <v>0.524</v>
      </c>
      <c r="M1136" t="n">
        <v>0.1</v>
      </c>
    </row>
    <row r="1137" spans="1:13">
      <c r="A1137" s="1">
        <f>HYPERLINK("http://www.twitter.com/NathanBLawrence/status/995850474103496706", "995850474103496706")</f>
        <v/>
      </c>
      <c r="B1137" s="2" t="n">
        <v>43234.09524305556</v>
      </c>
      <c r="C1137" t="n">
        <v>3</v>
      </c>
      <c r="D1137" t="n">
        <v>1</v>
      </c>
      <c r="E1137" t="s">
        <v>1136</v>
      </c>
      <c r="F1137" t="s"/>
      <c r="G1137" t="s"/>
      <c r="H1137" t="s"/>
      <c r="I1137" t="s"/>
      <c r="J1137" t="n">
        <v>0.3612</v>
      </c>
      <c r="K1137" t="n">
        <v>0</v>
      </c>
      <c r="L1137" t="n">
        <v>0.909</v>
      </c>
      <c r="M1137" t="n">
        <v>0.091</v>
      </c>
    </row>
    <row r="1138" spans="1:13">
      <c r="A1138" s="1">
        <f>HYPERLINK("http://www.twitter.com/NathanBLawrence/status/995850416586928128", "995850416586928128")</f>
        <v/>
      </c>
      <c r="B1138" s="2" t="n">
        <v>43234.09508101852</v>
      </c>
      <c r="C1138" t="n">
        <v>0</v>
      </c>
      <c r="D1138" t="n">
        <v>3</v>
      </c>
      <c r="E1138" t="s">
        <v>1137</v>
      </c>
      <c r="F1138" t="s"/>
      <c r="G1138" t="s"/>
      <c r="H1138" t="s"/>
      <c r="I1138" t="s"/>
      <c r="J1138" t="n">
        <v>0</v>
      </c>
      <c r="K1138" t="n">
        <v>0</v>
      </c>
      <c r="L1138" t="n">
        <v>1</v>
      </c>
      <c r="M1138" t="n">
        <v>0</v>
      </c>
    </row>
    <row r="1139" spans="1:13">
      <c r="A1139" s="1">
        <f>HYPERLINK("http://www.twitter.com/NathanBLawrence/status/995850349767544832", "995850349767544832")</f>
        <v/>
      </c>
      <c r="B1139" s="2" t="n">
        <v>43234.09490740741</v>
      </c>
      <c r="C1139" t="n">
        <v>0</v>
      </c>
      <c r="D1139" t="n">
        <v>0</v>
      </c>
      <c r="E1139" t="s">
        <v>1138</v>
      </c>
      <c r="F1139" t="s"/>
      <c r="G1139" t="s"/>
      <c r="H1139" t="s"/>
      <c r="I1139" t="s"/>
      <c r="J1139" t="n">
        <v>0.3612</v>
      </c>
      <c r="K1139" t="n">
        <v>0</v>
      </c>
      <c r="L1139" t="n">
        <v>0.902</v>
      </c>
      <c r="M1139" t="n">
        <v>0.098</v>
      </c>
    </row>
    <row r="1140" spans="1:13">
      <c r="A1140" s="1">
        <f>HYPERLINK("http://www.twitter.com/NathanBLawrence/status/995849985727127552", "995849985727127552")</f>
        <v/>
      </c>
      <c r="B1140" s="2" t="n">
        <v>43234.09390046296</v>
      </c>
      <c r="C1140" t="n">
        <v>3</v>
      </c>
      <c r="D1140" t="n">
        <v>0</v>
      </c>
      <c r="E1140" t="s">
        <v>1139</v>
      </c>
      <c r="F1140" t="s"/>
      <c r="G1140" t="s"/>
      <c r="H1140" t="s"/>
      <c r="I1140" t="s"/>
      <c r="J1140" t="n">
        <v>0.3612</v>
      </c>
      <c r="K1140" t="n">
        <v>0</v>
      </c>
      <c r="L1140" t="n">
        <v>0.706</v>
      </c>
      <c r="M1140" t="n">
        <v>0.294</v>
      </c>
    </row>
    <row r="1141" spans="1:13">
      <c r="A1141" s="1">
        <f>HYPERLINK("http://www.twitter.com/NathanBLawrence/status/995849937689694208", "995849937689694208")</f>
        <v/>
      </c>
      <c r="B1141" s="2" t="n">
        <v>43234.09376157408</v>
      </c>
      <c r="C1141" t="n">
        <v>0</v>
      </c>
      <c r="D1141" t="n">
        <v>4</v>
      </c>
      <c r="E1141" t="s">
        <v>1140</v>
      </c>
      <c r="F1141" t="s"/>
      <c r="G1141" t="s"/>
      <c r="H1141" t="s"/>
      <c r="I1141" t="s"/>
      <c r="J1141" t="n">
        <v>0</v>
      </c>
      <c r="K1141" t="n">
        <v>0</v>
      </c>
      <c r="L1141" t="n">
        <v>1</v>
      </c>
      <c r="M1141" t="n">
        <v>0</v>
      </c>
    </row>
    <row r="1142" spans="1:13">
      <c r="A1142" s="1">
        <f>HYPERLINK("http://www.twitter.com/NathanBLawrence/status/995849885671927809", "995849885671927809")</f>
        <v/>
      </c>
      <c r="B1142" s="2" t="n">
        <v>43234.09362268518</v>
      </c>
      <c r="C1142" t="n">
        <v>5</v>
      </c>
      <c r="D1142" t="n">
        <v>3</v>
      </c>
      <c r="E1142" t="s">
        <v>1141</v>
      </c>
      <c r="F1142" t="s"/>
      <c r="G1142" t="s"/>
      <c r="H1142" t="s"/>
      <c r="I1142" t="s"/>
      <c r="J1142" t="n">
        <v>0.4404</v>
      </c>
      <c r="K1142" t="n">
        <v>0</v>
      </c>
      <c r="L1142" t="n">
        <v>0.674</v>
      </c>
      <c r="M1142" t="n">
        <v>0.326</v>
      </c>
    </row>
    <row r="1143" spans="1:13">
      <c r="A1143" s="1">
        <f>HYPERLINK("http://www.twitter.com/NathanBLawrence/status/995849759708647425", "995849759708647425")</f>
        <v/>
      </c>
      <c r="B1143" s="2" t="n">
        <v>43234.09327546296</v>
      </c>
      <c r="C1143" t="n">
        <v>7</v>
      </c>
      <c r="D1143" t="n">
        <v>5</v>
      </c>
      <c r="E1143" t="s">
        <v>1142</v>
      </c>
      <c r="F1143" t="s"/>
      <c r="G1143" t="s"/>
      <c r="H1143" t="s"/>
      <c r="I1143" t="s"/>
      <c r="J1143" t="n">
        <v>0.0762</v>
      </c>
      <c r="K1143" t="n">
        <v>0</v>
      </c>
      <c r="L1143" t="n">
        <v>0.972</v>
      </c>
      <c r="M1143" t="n">
        <v>0.028</v>
      </c>
    </row>
    <row r="1144" spans="1:13">
      <c r="A1144" s="1">
        <f>HYPERLINK("http://www.twitter.com/NathanBLawrence/status/995846233871831040", "995846233871831040")</f>
        <v/>
      </c>
      <c r="B1144" s="2" t="n">
        <v>43234.08354166667</v>
      </c>
      <c r="C1144" t="n">
        <v>0</v>
      </c>
      <c r="D1144" t="n">
        <v>4</v>
      </c>
      <c r="E1144" t="s">
        <v>1143</v>
      </c>
      <c r="F1144" t="s"/>
      <c r="G1144" t="s"/>
      <c r="H1144" t="s"/>
      <c r="I1144" t="s"/>
      <c r="J1144" t="n">
        <v>0.5612</v>
      </c>
      <c r="K1144" t="n">
        <v>0</v>
      </c>
      <c r="L1144" t="n">
        <v>0.84</v>
      </c>
      <c r="M1144" t="n">
        <v>0.16</v>
      </c>
    </row>
    <row r="1145" spans="1:13">
      <c r="A1145" s="1">
        <f>HYPERLINK("http://www.twitter.com/NathanBLawrence/status/995846189332549632", "995846189332549632")</f>
        <v/>
      </c>
      <c r="B1145" s="2" t="n">
        <v>43234.08342592593</v>
      </c>
      <c r="C1145" t="n">
        <v>0</v>
      </c>
      <c r="D1145" t="n">
        <v>0</v>
      </c>
      <c r="E1145" t="s">
        <v>1144</v>
      </c>
      <c r="F1145" t="s"/>
      <c r="G1145" t="s"/>
      <c r="H1145" t="s"/>
      <c r="I1145" t="s"/>
      <c r="J1145" t="n">
        <v>0.4019</v>
      </c>
      <c r="K1145" t="n">
        <v>0</v>
      </c>
      <c r="L1145" t="n">
        <v>0.847</v>
      </c>
      <c r="M1145" t="n">
        <v>0.153</v>
      </c>
    </row>
    <row r="1146" spans="1:13">
      <c r="A1146" s="1">
        <f>HYPERLINK("http://www.twitter.com/NathanBLawrence/status/995845988920283136", "995845988920283136")</f>
        <v/>
      </c>
      <c r="B1146" s="2" t="n">
        <v>43234.08287037037</v>
      </c>
      <c r="C1146" t="n">
        <v>0</v>
      </c>
      <c r="D1146" t="n">
        <v>0</v>
      </c>
      <c r="E1146" t="s">
        <v>1145</v>
      </c>
      <c r="F1146" t="s"/>
      <c r="G1146" t="s"/>
      <c r="H1146" t="s"/>
      <c r="I1146" t="s"/>
      <c r="J1146" t="n">
        <v>-0.8126</v>
      </c>
      <c r="K1146" t="n">
        <v>0.16</v>
      </c>
      <c r="L1146" t="n">
        <v>0.84</v>
      </c>
      <c r="M1146" t="n">
        <v>0</v>
      </c>
    </row>
    <row r="1147" spans="1:13">
      <c r="A1147" s="1">
        <f>HYPERLINK("http://www.twitter.com/NathanBLawrence/status/995843148973772800", "995843148973772800")</f>
        <v/>
      </c>
      <c r="B1147" s="2" t="n">
        <v>43234.07503472222</v>
      </c>
      <c r="C1147" t="n">
        <v>3</v>
      </c>
      <c r="D1147" t="n">
        <v>2</v>
      </c>
      <c r="E1147" t="s">
        <v>1146</v>
      </c>
      <c r="F1147" t="s"/>
      <c r="G1147" t="s"/>
      <c r="H1147" t="s"/>
      <c r="I1147" t="s"/>
      <c r="J1147" t="n">
        <v>-0.4696</v>
      </c>
      <c r="K1147" t="n">
        <v>0.067</v>
      </c>
      <c r="L1147" t="n">
        <v>0.91</v>
      </c>
      <c r="M1147" t="n">
        <v>0.023</v>
      </c>
    </row>
    <row r="1148" spans="1:13">
      <c r="A1148" s="1">
        <f>HYPERLINK("http://www.twitter.com/NathanBLawrence/status/995838932486148102", "995838932486148102")</f>
        <v/>
      </c>
      <c r="B1148" s="2" t="n">
        <v>43234.0633912037</v>
      </c>
      <c r="C1148" t="n">
        <v>0</v>
      </c>
      <c r="D1148" t="n">
        <v>113</v>
      </c>
      <c r="E1148" t="s">
        <v>1147</v>
      </c>
      <c r="F1148" t="s"/>
      <c r="G1148" t="s"/>
      <c r="H1148" t="s"/>
      <c r="I1148" t="s"/>
      <c r="J1148" t="n">
        <v>-0.4939</v>
      </c>
      <c r="K1148" t="n">
        <v>0.167</v>
      </c>
      <c r="L1148" t="n">
        <v>0.833</v>
      </c>
      <c r="M1148" t="n">
        <v>0</v>
      </c>
    </row>
    <row r="1149" spans="1:13">
      <c r="A1149" s="1">
        <f>HYPERLINK("http://www.twitter.com/NathanBLawrence/status/995832696411688961", "995832696411688961")</f>
        <v/>
      </c>
      <c r="B1149" s="2" t="n">
        <v>43234.04619212963</v>
      </c>
      <c r="C1149" t="n">
        <v>0</v>
      </c>
      <c r="D1149" t="n">
        <v>0</v>
      </c>
      <c r="E1149" t="s">
        <v>1148</v>
      </c>
      <c r="F1149" t="s"/>
      <c r="G1149" t="s"/>
      <c r="H1149" t="s"/>
      <c r="I1149" t="s"/>
      <c r="J1149" t="n">
        <v>-0.3939</v>
      </c>
      <c r="K1149" t="n">
        <v>0.057</v>
      </c>
      <c r="L1149" t="n">
        <v>0.9429999999999999</v>
      </c>
      <c r="M1149" t="n">
        <v>0</v>
      </c>
    </row>
    <row r="1150" spans="1:13">
      <c r="A1150" s="1">
        <f>HYPERLINK("http://www.twitter.com/NathanBLawrence/status/995823694806175746", "995823694806175746")</f>
        <v/>
      </c>
      <c r="B1150" s="2" t="n">
        <v>43234.02135416667</v>
      </c>
      <c r="C1150" t="n">
        <v>0</v>
      </c>
      <c r="D1150" t="n">
        <v>14</v>
      </c>
      <c r="E1150" t="s">
        <v>1149</v>
      </c>
      <c r="F1150">
        <f>HYPERLINK("http://pbs.twimg.com/media/DdHgHhPVMAA-zIf.jpg", "http://pbs.twimg.com/media/DdHgHhPVMAA-zIf.jpg")</f>
        <v/>
      </c>
      <c r="G1150" t="s"/>
      <c r="H1150" t="s"/>
      <c r="I1150" t="s"/>
      <c r="J1150" t="n">
        <v>0.4548</v>
      </c>
      <c r="K1150" t="n">
        <v>0.055</v>
      </c>
      <c r="L1150" t="n">
        <v>0.803</v>
      </c>
      <c r="M1150" t="n">
        <v>0.143</v>
      </c>
    </row>
    <row r="1151" spans="1:13">
      <c r="A1151" s="1">
        <f>HYPERLINK("http://www.twitter.com/NathanBLawrence/status/995823415213936640", "995823415213936640")</f>
        <v/>
      </c>
      <c r="B1151" s="2" t="n">
        <v>43234.0205787037</v>
      </c>
      <c r="C1151" t="n">
        <v>13</v>
      </c>
      <c r="D1151" t="n">
        <v>14</v>
      </c>
      <c r="E1151" t="s">
        <v>1150</v>
      </c>
      <c r="F1151">
        <f>HYPERLINK("http://pbs.twimg.com/media/DdHgHhPVMAA-zIf.jpg", "http://pbs.twimg.com/media/DdHgHhPVMAA-zIf.jpg")</f>
        <v/>
      </c>
      <c r="G1151" t="s"/>
      <c r="H1151" t="s"/>
      <c r="I1151" t="s"/>
      <c r="J1151" t="n">
        <v>0.1872</v>
      </c>
      <c r="K1151" t="n">
        <v>0.08799999999999999</v>
      </c>
      <c r="L1151" t="n">
        <v>0.844</v>
      </c>
      <c r="M1151" t="n">
        <v>0.068</v>
      </c>
    </row>
    <row r="1152" spans="1:13">
      <c r="A1152" s="1">
        <f>HYPERLINK("http://www.twitter.com/NathanBLawrence/status/995821749739708419", "995821749739708419")</f>
        <v/>
      </c>
      <c r="B1152" s="2" t="n">
        <v>43234.01598379629</v>
      </c>
      <c r="C1152" t="n">
        <v>0</v>
      </c>
      <c r="D1152" t="n">
        <v>8</v>
      </c>
      <c r="E1152" t="s">
        <v>1151</v>
      </c>
      <c r="F1152" t="s"/>
      <c r="G1152" t="s"/>
      <c r="H1152" t="s"/>
      <c r="I1152" t="s"/>
      <c r="J1152" t="n">
        <v>0</v>
      </c>
      <c r="K1152" t="n">
        <v>0</v>
      </c>
      <c r="L1152" t="n">
        <v>1</v>
      </c>
      <c r="M1152" t="n">
        <v>0</v>
      </c>
    </row>
    <row r="1153" spans="1:13">
      <c r="A1153" s="1">
        <f>HYPERLINK("http://www.twitter.com/NathanBLawrence/status/995817705847640064", "995817705847640064")</f>
        <v/>
      </c>
      <c r="B1153" s="2" t="n">
        <v>43234.00482638889</v>
      </c>
      <c r="C1153" t="n">
        <v>0</v>
      </c>
      <c r="D1153" t="n">
        <v>4135</v>
      </c>
      <c r="E1153" t="s">
        <v>1152</v>
      </c>
      <c r="F1153" t="s"/>
      <c r="G1153" t="s"/>
      <c r="H1153" t="s"/>
      <c r="I1153" t="s"/>
      <c r="J1153" t="n">
        <v>0.7717000000000001</v>
      </c>
      <c r="K1153" t="n">
        <v>0.095</v>
      </c>
      <c r="L1153" t="n">
        <v>0.536</v>
      </c>
      <c r="M1153" t="n">
        <v>0.369</v>
      </c>
    </row>
    <row r="1154" spans="1:13">
      <c r="A1154" s="1">
        <f>HYPERLINK("http://www.twitter.com/NathanBLawrence/status/995817067218718720", "995817067218718720")</f>
        <v/>
      </c>
      <c r="B1154" s="2" t="n">
        <v>43234.00305555556</v>
      </c>
      <c r="C1154" t="n">
        <v>1</v>
      </c>
      <c r="D1154" t="n">
        <v>0</v>
      </c>
      <c r="E1154" t="s">
        <v>1153</v>
      </c>
      <c r="F1154" t="s"/>
      <c r="G1154" t="s"/>
      <c r="H1154" t="s"/>
      <c r="I1154" t="s"/>
      <c r="J1154" t="n">
        <v>0.1027</v>
      </c>
      <c r="K1154" t="n">
        <v>0.11</v>
      </c>
      <c r="L1154" t="n">
        <v>0.763</v>
      </c>
      <c r="M1154" t="n">
        <v>0.127</v>
      </c>
    </row>
    <row r="1155" spans="1:13">
      <c r="A1155" s="1">
        <f>HYPERLINK("http://www.twitter.com/NathanBLawrence/status/995816861085392896", "995816861085392896")</f>
        <v/>
      </c>
      <c r="B1155" s="2" t="n">
        <v>43234.00248842593</v>
      </c>
      <c r="C1155" t="n">
        <v>2</v>
      </c>
      <c r="D1155" t="n">
        <v>0</v>
      </c>
      <c r="E1155" t="s">
        <v>1154</v>
      </c>
      <c r="F1155" t="s"/>
      <c r="G1155" t="s"/>
      <c r="H1155" t="s"/>
      <c r="I1155" t="s"/>
      <c r="J1155" t="n">
        <v>0</v>
      </c>
      <c r="K1155" t="n">
        <v>0</v>
      </c>
      <c r="L1155" t="n">
        <v>1</v>
      </c>
      <c r="M1155" t="n">
        <v>0</v>
      </c>
    </row>
    <row r="1156" spans="1:13">
      <c r="A1156" s="1">
        <f>HYPERLINK("http://www.twitter.com/NathanBLawrence/status/995816504435314688", "995816504435314688")</f>
        <v/>
      </c>
      <c r="B1156" s="2" t="n">
        <v>43234.00150462963</v>
      </c>
      <c r="C1156" t="n">
        <v>0</v>
      </c>
      <c r="D1156" t="n">
        <v>9</v>
      </c>
      <c r="E1156" t="s">
        <v>1155</v>
      </c>
      <c r="F1156" t="s"/>
      <c r="G1156" t="s"/>
      <c r="H1156" t="s"/>
      <c r="I1156" t="s"/>
      <c r="J1156" t="n">
        <v>0.2584</v>
      </c>
      <c r="K1156" t="n">
        <v>0</v>
      </c>
      <c r="L1156" t="n">
        <v>0.922</v>
      </c>
      <c r="M1156" t="n">
        <v>0.078</v>
      </c>
    </row>
    <row r="1157" spans="1:13">
      <c r="A1157" s="1">
        <f>HYPERLINK("http://www.twitter.com/NathanBLawrence/status/995816213321220096", "995816213321220096")</f>
        <v/>
      </c>
      <c r="B1157" s="2" t="n">
        <v>43234.00070601852</v>
      </c>
      <c r="C1157" t="n">
        <v>1</v>
      </c>
      <c r="D1157" t="n">
        <v>0</v>
      </c>
      <c r="E1157" t="s">
        <v>1156</v>
      </c>
      <c r="F1157" t="s"/>
      <c r="G1157" t="s"/>
      <c r="H1157" t="s"/>
      <c r="I1157" t="s"/>
      <c r="J1157" t="n">
        <v>0.6412</v>
      </c>
      <c r="K1157" t="n">
        <v>0</v>
      </c>
      <c r="L1157" t="n">
        <v>0.765</v>
      </c>
      <c r="M1157" t="n">
        <v>0.235</v>
      </c>
    </row>
    <row r="1158" spans="1:13">
      <c r="A1158" s="1">
        <f>HYPERLINK("http://www.twitter.com/NathanBLawrence/status/995815945837907969", "995815945837907969")</f>
        <v/>
      </c>
      <c r="B1158" s="2" t="n">
        <v>43233.99996527778</v>
      </c>
      <c r="C1158" t="n">
        <v>3</v>
      </c>
      <c r="D1158" t="n">
        <v>0</v>
      </c>
      <c r="E1158" t="s">
        <v>1157</v>
      </c>
      <c r="F1158" t="s"/>
      <c r="G1158" t="s"/>
      <c r="H1158" t="s"/>
      <c r="I1158" t="s"/>
      <c r="J1158" t="n">
        <v>0.504</v>
      </c>
      <c r="K1158" t="n">
        <v>0</v>
      </c>
      <c r="L1158" t="n">
        <v>0.889</v>
      </c>
      <c r="M1158" t="n">
        <v>0.111</v>
      </c>
    </row>
    <row r="1159" spans="1:13">
      <c r="A1159" s="1">
        <f>HYPERLINK("http://www.twitter.com/NathanBLawrence/status/995815628824109056", "995815628824109056")</f>
        <v/>
      </c>
      <c r="B1159" s="2" t="n">
        <v>43233.99908564815</v>
      </c>
      <c r="C1159" t="n">
        <v>0</v>
      </c>
      <c r="D1159" t="n">
        <v>0</v>
      </c>
      <c r="E1159" t="s">
        <v>1158</v>
      </c>
      <c r="F1159" t="s"/>
      <c r="G1159" t="s"/>
      <c r="H1159" t="s"/>
      <c r="I1159" t="s"/>
      <c r="J1159" t="n">
        <v>-0.2023</v>
      </c>
      <c r="K1159" t="n">
        <v>0.074</v>
      </c>
      <c r="L1159" t="n">
        <v>0.87</v>
      </c>
      <c r="M1159" t="n">
        <v>0.057</v>
      </c>
    </row>
    <row r="1160" spans="1:13">
      <c r="A1160" s="1">
        <f>HYPERLINK("http://www.twitter.com/NathanBLawrence/status/995815236530778112", "995815236530778112")</f>
        <v/>
      </c>
      <c r="B1160" s="2" t="n">
        <v>43233.99800925926</v>
      </c>
      <c r="C1160" t="n">
        <v>1</v>
      </c>
      <c r="D1160" t="n">
        <v>0</v>
      </c>
      <c r="E1160" t="s">
        <v>1159</v>
      </c>
      <c r="F1160" t="s"/>
      <c r="G1160" t="s"/>
      <c r="H1160" t="s"/>
      <c r="I1160" t="s"/>
      <c r="J1160" t="n">
        <v>0.5106000000000001</v>
      </c>
      <c r="K1160" t="n">
        <v>0.042</v>
      </c>
      <c r="L1160" t="n">
        <v>0.848</v>
      </c>
      <c r="M1160" t="n">
        <v>0.109</v>
      </c>
    </row>
    <row r="1161" spans="1:13">
      <c r="A1161" s="1">
        <f>HYPERLINK("http://www.twitter.com/NathanBLawrence/status/995814883164938240", "995814883164938240")</f>
        <v/>
      </c>
      <c r="B1161" s="2" t="n">
        <v>43233.99703703704</v>
      </c>
      <c r="C1161" t="n">
        <v>5</v>
      </c>
      <c r="D1161" t="n">
        <v>1</v>
      </c>
      <c r="E1161" t="s">
        <v>1160</v>
      </c>
      <c r="F1161" t="s"/>
      <c r="G1161" t="s"/>
      <c r="H1161" t="s"/>
      <c r="I1161" t="s"/>
      <c r="J1161" t="n">
        <v>-0.4767</v>
      </c>
      <c r="K1161" t="n">
        <v>0.119</v>
      </c>
      <c r="L1161" t="n">
        <v>0.881</v>
      </c>
      <c r="M1161" t="n">
        <v>0</v>
      </c>
    </row>
    <row r="1162" spans="1:13">
      <c r="A1162" s="1">
        <f>HYPERLINK("http://www.twitter.com/NathanBLawrence/status/995814664025067520", "995814664025067520")</f>
        <v/>
      </c>
      <c r="B1162" s="2" t="n">
        <v>43233.99642361111</v>
      </c>
      <c r="C1162" t="n">
        <v>2</v>
      </c>
      <c r="D1162" t="n">
        <v>0</v>
      </c>
      <c r="E1162" t="s">
        <v>1161</v>
      </c>
      <c r="F1162" t="s"/>
      <c r="G1162" t="s"/>
      <c r="H1162" t="s"/>
      <c r="I1162" t="s"/>
      <c r="J1162" t="n">
        <v>-0.9032</v>
      </c>
      <c r="K1162" t="n">
        <v>0.336</v>
      </c>
      <c r="L1162" t="n">
        <v>0.664</v>
      </c>
      <c r="M1162" t="n">
        <v>0</v>
      </c>
    </row>
    <row r="1163" spans="1:13">
      <c r="A1163" s="1">
        <f>HYPERLINK("http://www.twitter.com/NathanBLawrence/status/995814380469211137", "995814380469211137")</f>
        <v/>
      </c>
      <c r="B1163" s="2" t="n">
        <v>43233.99564814815</v>
      </c>
      <c r="C1163" t="n">
        <v>4</v>
      </c>
      <c r="D1163" t="n">
        <v>0</v>
      </c>
      <c r="E1163" t="s">
        <v>1162</v>
      </c>
      <c r="F1163" t="s"/>
      <c r="G1163" t="s"/>
      <c r="H1163" t="s"/>
      <c r="I1163" t="s"/>
      <c r="J1163" t="n">
        <v>-0.0165</v>
      </c>
      <c r="K1163" t="n">
        <v>0.036</v>
      </c>
      <c r="L1163" t="n">
        <v>0.929</v>
      </c>
      <c r="M1163" t="n">
        <v>0.035</v>
      </c>
    </row>
    <row r="1164" spans="1:13">
      <c r="A1164" s="1">
        <f>HYPERLINK("http://www.twitter.com/NathanBLawrence/status/995814083873165314", "995814083873165314")</f>
        <v/>
      </c>
      <c r="B1164" s="2" t="n">
        <v>43233.99482638889</v>
      </c>
      <c r="C1164" t="n">
        <v>0</v>
      </c>
      <c r="D1164" t="n">
        <v>1</v>
      </c>
      <c r="E1164" t="s">
        <v>1163</v>
      </c>
      <c r="F1164" t="s"/>
      <c r="G1164" t="s"/>
      <c r="H1164" t="s"/>
      <c r="I1164" t="s"/>
      <c r="J1164" t="n">
        <v>0.6989</v>
      </c>
      <c r="K1164" t="n">
        <v>0</v>
      </c>
      <c r="L1164" t="n">
        <v>0.757</v>
      </c>
      <c r="M1164" t="n">
        <v>0.243</v>
      </c>
    </row>
    <row r="1165" spans="1:13">
      <c r="A1165" s="1">
        <f>HYPERLINK("http://www.twitter.com/NathanBLawrence/status/995814059651059713", "995814059651059713")</f>
        <v/>
      </c>
      <c r="B1165" s="2" t="n">
        <v>43233.99475694444</v>
      </c>
      <c r="C1165" t="n">
        <v>0</v>
      </c>
      <c r="D1165" t="n">
        <v>16</v>
      </c>
      <c r="E1165" t="s">
        <v>1164</v>
      </c>
      <c r="F1165" t="s"/>
      <c r="G1165" t="s"/>
      <c r="H1165" t="s"/>
      <c r="I1165" t="s"/>
      <c r="J1165" t="n">
        <v>0.4153</v>
      </c>
      <c r="K1165" t="n">
        <v>0</v>
      </c>
      <c r="L1165" t="n">
        <v>0.867</v>
      </c>
      <c r="M1165" t="n">
        <v>0.133</v>
      </c>
    </row>
    <row r="1166" spans="1:13">
      <c r="A1166" s="1">
        <f>HYPERLINK("http://www.twitter.com/NathanBLawrence/status/995813971973279746", "995813971973279746")</f>
        <v/>
      </c>
      <c r="B1166" s="2" t="n">
        <v>43233.99451388889</v>
      </c>
      <c r="C1166" t="n">
        <v>1</v>
      </c>
      <c r="D1166" t="n">
        <v>1</v>
      </c>
      <c r="E1166" t="s">
        <v>1165</v>
      </c>
      <c r="F1166" t="s"/>
      <c r="G1166" t="s"/>
      <c r="H1166" t="s"/>
      <c r="I1166" t="s"/>
      <c r="J1166" t="n">
        <v>-0.34</v>
      </c>
      <c r="K1166" t="n">
        <v>0.094</v>
      </c>
      <c r="L1166" t="n">
        <v>0.906</v>
      </c>
      <c r="M1166" t="n">
        <v>0</v>
      </c>
    </row>
    <row r="1167" spans="1:13">
      <c r="A1167" s="1">
        <f>HYPERLINK("http://www.twitter.com/NathanBLawrence/status/995813809053986817", "995813809053986817")</f>
        <v/>
      </c>
      <c r="B1167" s="2" t="n">
        <v>43233.99407407407</v>
      </c>
      <c r="C1167" t="n">
        <v>0</v>
      </c>
      <c r="D1167" t="n">
        <v>11</v>
      </c>
      <c r="E1167" t="s">
        <v>1166</v>
      </c>
      <c r="F1167" t="s"/>
      <c r="G1167" t="s"/>
      <c r="H1167" t="s"/>
      <c r="I1167" t="s"/>
      <c r="J1167" t="n">
        <v>0.3303</v>
      </c>
      <c r="K1167" t="n">
        <v>0</v>
      </c>
      <c r="L1167" t="n">
        <v>0.884</v>
      </c>
      <c r="M1167" t="n">
        <v>0.116</v>
      </c>
    </row>
    <row r="1168" spans="1:13">
      <c r="A1168" s="1">
        <f>HYPERLINK("http://www.twitter.com/NathanBLawrence/status/995813791098130432", "995813791098130432")</f>
        <v/>
      </c>
      <c r="B1168" s="2" t="n">
        <v>43233.9940162037</v>
      </c>
      <c r="C1168" t="n">
        <v>10</v>
      </c>
      <c r="D1168" t="n">
        <v>9</v>
      </c>
      <c r="E1168" t="s">
        <v>1167</v>
      </c>
      <c r="F1168" t="s"/>
      <c r="G1168" t="s"/>
      <c r="H1168" t="s"/>
      <c r="I1168" t="s"/>
      <c r="J1168" t="n">
        <v>0.4581</v>
      </c>
      <c r="K1168" t="n">
        <v>0</v>
      </c>
      <c r="L1168" t="n">
        <v>0.9409999999999999</v>
      </c>
      <c r="M1168" t="n">
        <v>0.059</v>
      </c>
    </row>
    <row r="1169" spans="1:13">
      <c r="A1169" s="1">
        <f>HYPERLINK("http://www.twitter.com/NathanBLawrence/status/995812028672593920", "995812028672593920")</f>
        <v/>
      </c>
      <c r="B1169" s="2" t="n">
        <v>43233.98915509259</v>
      </c>
      <c r="C1169" t="n">
        <v>12</v>
      </c>
      <c r="D1169" t="n">
        <v>10</v>
      </c>
      <c r="E1169" t="s">
        <v>1168</v>
      </c>
      <c r="F1169" t="s"/>
      <c r="G1169" t="s"/>
      <c r="H1169" t="s"/>
      <c r="I1169" t="s"/>
      <c r="J1169" t="n">
        <v>0.7882</v>
      </c>
      <c r="K1169" t="n">
        <v>0</v>
      </c>
      <c r="L1169" t="n">
        <v>0.869</v>
      </c>
      <c r="M1169" t="n">
        <v>0.131</v>
      </c>
    </row>
    <row r="1170" spans="1:13">
      <c r="A1170" s="1">
        <f>HYPERLINK("http://www.twitter.com/NathanBLawrence/status/995811469135622144", "995811469135622144")</f>
        <v/>
      </c>
      <c r="B1170" s="2" t="n">
        <v>43233.98761574074</v>
      </c>
      <c r="C1170" t="n">
        <v>0</v>
      </c>
      <c r="D1170" t="n">
        <v>13</v>
      </c>
      <c r="E1170" t="s">
        <v>1169</v>
      </c>
      <c r="F1170">
        <f>HYPERLINK("http://pbs.twimg.com/media/DdHUo8VW0AAxpjQ.jpg", "http://pbs.twimg.com/media/DdHUo8VW0AAxpjQ.jpg")</f>
        <v/>
      </c>
      <c r="G1170" t="s"/>
      <c r="H1170" t="s"/>
      <c r="I1170" t="s"/>
      <c r="J1170" t="n">
        <v>-0.3182</v>
      </c>
      <c r="K1170" t="n">
        <v>0.103</v>
      </c>
      <c r="L1170" t="n">
        <v>0.897</v>
      </c>
      <c r="M1170" t="n">
        <v>0</v>
      </c>
    </row>
    <row r="1171" spans="1:13">
      <c r="A1171" s="1">
        <f>HYPERLINK("http://www.twitter.com/NathanBLawrence/status/995811354283044865", "995811354283044865")</f>
        <v/>
      </c>
      <c r="B1171" s="2" t="n">
        <v>43233.98729166666</v>
      </c>
      <c r="C1171" t="n">
        <v>1</v>
      </c>
      <c r="D1171" t="n">
        <v>2</v>
      </c>
      <c r="E1171" t="s">
        <v>1170</v>
      </c>
      <c r="F1171" t="s"/>
      <c r="G1171" t="s"/>
      <c r="H1171" t="s"/>
      <c r="I1171" t="s"/>
      <c r="J1171" t="n">
        <v>-0.2716</v>
      </c>
      <c r="K1171" t="n">
        <v>0.058</v>
      </c>
      <c r="L1171" t="n">
        <v>0.909</v>
      </c>
      <c r="M1171" t="n">
        <v>0.033</v>
      </c>
    </row>
    <row r="1172" spans="1:13">
      <c r="A1172" s="1">
        <f>HYPERLINK("http://www.twitter.com/NathanBLawrence/status/995810799934468096", "995810799934468096")</f>
        <v/>
      </c>
      <c r="B1172" s="2" t="n">
        <v>43233.98576388889</v>
      </c>
      <c r="C1172" t="n">
        <v>13</v>
      </c>
      <c r="D1172" t="n">
        <v>13</v>
      </c>
      <c r="E1172" t="s">
        <v>1171</v>
      </c>
      <c r="F1172">
        <f>HYPERLINK("http://pbs.twimg.com/media/DdHUo8VW0AAxpjQ.jpg", "http://pbs.twimg.com/media/DdHUo8VW0AAxpjQ.jpg")</f>
        <v/>
      </c>
      <c r="G1172" t="s"/>
      <c r="H1172" t="s"/>
      <c r="I1172" t="s"/>
      <c r="J1172" t="n">
        <v>-0.5429</v>
      </c>
      <c r="K1172" t="n">
        <v>0.091</v>
      </c>
      <c r="L1172" t="n">
        <v>0.909</v>
      </c>
      <c r="M1172" t="n">
        <v>0</v>
      </c>
    </row>
    <row r="1173" spans="1:13">
      <c r="A1173" s="1">
        <f>HYPERLINK("http://www.twitter.com/NathanBLawrence/status/995807181516746753", "995807181516746753")</f>
        <v/>
      </c>
      <c r="B1173" s="2" t="n">
        <v>43233.97577546296</v>
      </c>
      <c r="C1173" t="n">
        <v>5</v>
      </c>
      <c r="D1173" t="n">
        <v>3</v>
      </c>
      <c r="E1173" t="s">
        <v>590</v>
      </c>
      <c r="F1173" t="s"/>
      <c r="G1173" t="s"/>
      <c r="H1173" t="s"/>
      <c r="I1173" t="s"/>
      <c r="J1173" t="n">
        <v>0</v>
      </c>
      <c r="K1173" t="n">
        <v>0</v>
      </c>
      <c r="L1173" t="n">
        <v>1</v>
      </c>
      <c r="M1173" t="n">
        <v>0</v>
      </c>
    </row>
    <row r="1174" spans="1:13">
      <c r="A1174" s="1">
        <f>HYPERLINK("http://www.twitter.com/NathanBLawrence/status/995802181109534720", "995802181109534720")</f>
        <v/>
      </c>
      <c r="B1174" s="2" t="n">
        <v>43233.96197916667</v>
      </c>
      <c r="C1174" t="n">
        <v>0</v>
      </c>
      <c r="D1174" t="n">
        <v>13</v>
      </c>
      <c r="E1174" t="s">
        <v>1172</v>
      </c>
      <c r="F1174">
        <f>HYPERLINK("http://pbs.twimg.com/media/DdHK8WIXcAAS_jj.jpg", "http://pbs.twimg.com/media/DdHK8WIXcAAS_jj.jpg")</f>
        <v/>
      </c>
      <c r="G1174" t="s"/>
      <c r="H1174" t="s"/>
      <c r="I1174" t="s"/>
      <c r="J1174" t="n">
        <v>-0.2023</v>
      </c>
      <c r="K1174" t="n">
        <v>0.128</v>
      </c>
      <c r="L1174" t="n">
        <v>0.775</v>
      </c>
      <c r="M1174" t="n">
        <v>0.097</v>
      </c>
    </row>
    <row r="1175" spans="1:13">
      <c r="A1175" s="1">
        <f>HYPERLINK("http://www.twitter.com/NathanBLawrence/status/995800139578204162", "995800139578204162")</f>
        <v/>
      </c>
      <c r="B1175" s="2" t="n">
        <v>43233.95635416666</v>
      </c>
      <c r="C1175" t="n">
        <v>14</v>
      </c>
      <c r="D1175" t="n">
        <v>13</v>
      </c>
      <c r="E1175" t="s">
        <v>1173</v>
      </c>
      <c r="F1175">
        <f>HYPERLINK("http://pbs.twimg.com/media/DdHK8WIXcAAS_jj.jpg", "http://pbs.twimg.com/media/DdHK8WIXcAAS_jj.jpg")</f>
        <v/>
      </c>
      <c r="G1175" t="s"/>
      <c r="H1175" t="s"/>
      <c r="I1175" t="s"/>
      <c r="J1175" t="n">
        <v>-0.8541</v>
      </c>
      <c r="K1175" t="n">
        <v>0.25</v>
      </c>
      <c r="L1175" t="n">
        <v>0.701</v>
      </c>
      <c r="M1175" t="n">
        <v>0.049</v>
      </c>
    </row>
    <row r="1176" spans="1:13">
      <c r="A1176" s="1">
        <f>HYPERLINK("http://www.twitter.com/NathanBLawrence/status/995790351716765696", "995790351716765696")</f>
        <v/>
      </c>
      <c r="B1176" s="2" t="n">
        <v>43233.92934027778</v>
      </c>
      <c r="C1176" t="n">
        <v>0</v>
      </c>
      <c r="D1176" t="n">
        <v>4</v>
      </c>
      <c r="E1176" t="s">
        <v>1174</v>
      </c>
      <c r="F1176" t="s"/>
      <c r="G1176" t="s"/>
      <c r="H1176" t="s"/>
      <c r="I1176" t="s"/>
      <c r="J1176" t="n">
        <v>0</v>
      </c>
      <c r="K1176" t="n">
        <v>0</v>
      </c>
      <c r="L1176" t="n">
        <v>1</v>
      </c>
      <c r="M1176" t="n">
        <v>0</v>
      </c>
    </row>
    <row r="1177" spans="1:13">
      <c r="A1177" s="1">
        <f>HYPERLINK("http://www.twitter.com/NathanBLawrence/status/995790331932237824", "995790331932237824")</f>
        <v/>
      </c>
      <c r="B1177" s="2" t="n">
        <v>43233.92928240741</v>
      </c>
      <c r="C1177" t="n">
        <v>0</v>
      </c>
      <c r="D1177" t="n">
        <v>0</v>
      </c>
      <c r="E1177" t="s">
        <v>1175</v>
      </c>
      <c r="F1177" t="s"/>
      <c r="G1177" t="s"/>
      <c r="H1177" t="s"/>
      <c r="I1177" t="s"/>
      <c r="J1177" t="n">
        <v>0</v>
      </c>
      <c r="K1177" t="n">
        <v>0</v>
      </c>
      <c r="L1177" t="n">
        <v>1</v>
      </c>
      <c r="M1177" t="n">
        <v>0</v>
      </c>
    </row>
    <row r="1178" spans="1:13">
      <c r="A1178" s="1">
        <f>HYPERLINK("http://www.twitter.com/NathanBLawrence/status/995777613921767424", "995777613921767424")</f>
        <v/>
      </c>
      <c r="B1178" s="2" t="n">
        <v>43233.89418981481</v>
      </c>
      <c r="C1178" t="n">
        <v>5</v>
      </c>
      <c r="D1178" t="n">
        <v>3</v>
      </c>
      <c r="E1178" t="s">
        <v>1176</v>
      </c>
      <c r="F1178" t="s"/>
      <c r="G1178" t="s"/>
      <c r="H1178" t="s"/>
      <c r="I1178" t="s"/>
      <c r="J1178" t="n">
        <v>0</v>
      </c>
      <c r="K1178" t="n">
        <v>0</v>
      </c>
      <c r="L1178" t="n">
        <v>1</v>
      </c>
      <c r="M1178" t="n">
        <v>0</v>
      </c>
    </row>
    <row r="1179" spans="1:13">
      <c r="A1179" s="1">
        <f>HYPERLINK("http://www.twitter.com/NathanBLawrence/status/995775072257413120", "995775072257413120")</f>
        <v/>
      </c>
      <c r="B1179" s="2" t="n">
        <v>43233.88717592593</v>
      </c>
      <c r="C1179" t="n">
        <v>5</v>
      </c>
      <c r="D1179" t="n">
        <v>4</v>
      </c>
      <c r="E1179" t="s">
        <v>1177</v>
      </c>
      <c r="F1179" t="s"/>
      <c r="G1179" t="s"/>
      <c r="H1179" t="s"/>
      <c r="I1179" t="s"/>
      <c r="J1179" t="n">
        <v>-0.5994</v>
      </c>
      <c r="K1179" t="n">
        <v>0.098</v>
      </c>
      <c r="L1179" t="n">
        <v>0.902</v>
      </c>
      <c r="M1179" t="n">
        <v>0</v>
      </c>
    </row>
    <row r="1180" spans="1:13">
      <c r="A1180" s="1">
        <f>HYPERLINK("http://www.twitter.com/NathanBLawrence/status/995774485151322112", "995774485151322112")</f>
        <v/>
      </c>
      <c r="B1180" s="2" t="n">
        <v>43233.88555555556</v>
      </c>
      <c r="C1180" t="n">
        <v>0</v>
      </c>
      <c r="D1180" t="n">
        <v>12</v>
      </c>
      <c r="E1180" t="s">
        <v>1178</v>
      </c>
      <c r="F1180">
        <f>HYPERLINK("http://pbs.twimg.com/media/DdGx-lYVwAEOB_6.jpg", "http://pbs.twimg.com/media/DdGx-lYVwAEOB_6.jpg")</f>
        <v/>
      </c>
      <c r="G1180" t="s"/>
      <c r="H1180" t="s"/>
      <c r="I1180" t="s"/>
      <c r="J1180" t="n">
        <v>0.4939</v>
      </c>
      <c r="K1180" t="n">
        <v>0</v>
      </c>
      <c r="L1180" t="n">
        <v>0.8110000000000001</v>
      </c>
      <c r="M1180" t="n">
        <v>0.189</v>
      </c>
    </row>
    <row r="1181" spans="1:13">
      <c r="A1181" s="1">
        <f>HYPERLINK("http://www.twitter.com/NathanBLawrence/status/995773602938179584", "995773602938179584")</f>
        <v/>
      </c>
      <c r="B1181" s="2" t="n">
        <v>43233.883125</v>
      </c>
      <c r="C1181" t="n">
        <v>0</v>
      </c>
      <c r="D1181" t="n">
        <v>16</v>
      </c>
      <c r="E1181" t="s">
        <v>1179</v>
      </c>
      <c r="F1181">
        <f>HYPERLINK("http://pbs.twimg.com/media/DdGvxHHX4AI00no.jpg", "http://pbs.twimg.com/media/DdGvxHHX4AI00no.jpg")</f>
        <v/>
      </c>
      <c r="G1181" t="s"/>
      <c r="H1181" t="s"/>
      <c r="I1181" t="s"/>
      <c r="J1181" t="n">
        <v>0</v>
      </c>
      <c r="K1181" t="n">
        <v>0</v>
      </c>
      <c r="L1181" t="n">
        <v>1</v>
      </c>
      <c r="M1181" t="n">
        <v>0</v>
      </c>
    </row>
    <row r="1182" spans="1:13">
      <c r="A1182" s="1">
        <f>HYPERLINK("http://www.twitter.com/NathanBLawrence/status/995770936044507136", "995770936044507136")</f>
        <v/>
      </c>
      <c r="B1182" s="2" t="n">
        <v>43233.87576388889</v>
      </c>
      <c r="C1182" t="n">
        <v>8</v>
      </c>
      <c r="D1182" t="n">
        <v>6</v>
      </c>
      <c r="E1182" t="s">
        <v>1180</v>
      </c>
      <c r="F1182" t="s"/>
      <c r="G1182" t="s"/>
      <c r="H1182" t="s"/>
      <c r="I1182" t="s"/>
      <c r="J1182" t="n">
        <v>0</v>
      </c>
      <c r="K1182" t="n">
        <v>0</v>
      </c>
      <c r="L1182" t="n">
        <v>1</v>
      </c>
      <c r="M1182" t="n">
        <v>0</v>
      </c>
    </row>
    <row r="1183" spans="1:13">
      <c r="A1183" s="1">
        <f>HYPERLINK("http://www.twitter.com/NathanBLawrence/status/995770265291382784", "995770265291382784")</f>
        <v/>
      </c>
      <c r="B1183" s="2" t="n">
        <v>43233.87391203704</v>
      </c>
      <c r="C1183" t="n">
        <v>18</v>
      </c>
      <c r="D1183" t="n">
        <v>16</v>
      </c>
      <c r="E1183" t="s">
        <v>1181</v>
      </c>
      <c r="F1183">
        <f>HYPERLINK("http://pbs.twimg.com/media/DdGvxHHX4AI00no.jpg", "http://pbs.twimg.com/media/DdGvxHHX4AI00no.jpg")</f>
        <v/>
      </c>
      <c r="G1183" t="s"/>
      <c r="H1183" t="s"/>
      <c r="I1183" t="s"/>
      <c r="J1183" t="n">
        <v>0</v>
      </c>
      <c r="K1183" t="n">
        <v>0</v>
      </c>
      <c r="L1183" t="n">
        <v>1</v>
      </c>
      <c r="M1183" t="n">
        <v>0</v>
      </c>
    </row>
    <row r="1184" spans="1:13">
      <c r="A1184" s="1">
        <f>HYPERLINK("http://www.twitter.com/NathanBLawrence/status/995765101574672384", "995765101574672384")</f>
        <v/>
      </c>
      <c r="B1184" s="2" t="n">
        <v>43233.85966435185</v>
      </c>
      <c r="C1184" t="n">
        <v>0</v>
      </c>
      <c r="D1184" t="n">
        <v>7</v>
      </c>
      <c r="E1184" t="s">
        <v>1182</v>
      </c>
      <c r="F1184" t="s"/>
      <c r="G1184" t="s"/>
      <c r="H1184" t="s"/>
      <c r="I1184" t="s"/>
      <c r="J1184" t="n">
        <v>0.6531</v>
      </c>
      <c r="K1184" t="n">
        <v>0</v>
      </c>
      <c r="L1184" t="n">
        <v>0.797</v>
      </c>
      <c r="M1184" t="n">
        <v>0.203</v>
      </c>
    </row>
    <row r="1185" spans="1:13">
      <c r="A1185" s="1">
        <f>HYPERLINK("http://www.twitter.com/NathanBLawrence/status/995758338108547072", "995758338108547072")</f>
        <v/>
      </c>
      <c r="B1185" s="2" t="n">
        <v>43233.84099537037</v>
      </c>
      <c r="C1185" t="n">
        <v>10</v>
      </c>
      <c r="D1185" t="n">
        <v>7</v>
      </c>
      <c r="E1185" t="s">
        <v>1183</v>
      </c>
      <c r="F1185" t="s"/>
      <c r="G1185" t="s"/>
      <c r="H1185" t="s"/>
      <c r="I1185" t="s"/>
      <c r="J1185" t="n">
        <v>0.6966</v>
      </c>
      <c r="K1185" t="n">
        <v>0</v>
      </c>
      <c r="L1185" t="n">
        <v>0.871</v>
      </c>
      <c r="M1185" t="n">
        <v>0.129</v>
      </c>
    </row>
    <row r="1186" spans="1:13">
      <c r="A1186" s="1">
        <f>HYPERLINK("http://www.twitter.com/NathanBLawrence/status/995758136136028165", "995758136136028165")</f>
        <v/>
      </c>
      <c r="B1186" s="2" t="n">
        <v>43233.84043981481</v>
      </c>
      <c r="C1186" t="n">
        <v>2</v>
      </c>
      <c r="D1186" t="n">
        <v>1</v>
      </c>
      <c r="E1186" t="s">
        <v>1184</v>
      </c>
      <c r="F1186" t="s"/>
      <c r="G1186" t="s"/>
      <c r="H1186" t="s"/>
      <c r="I1186" t="s"/>
      <c r="J1186" t="n">
        <v>0</v>
      </c>
      <c r="K1186" t="n">
        <v>0</v>
      </c>
      <c r="L1186" t="n">
        <v>1</v>
      </c>
      <c r="M1186" t="n">
        <v>0</v>
      </c>
    </row>
    <row r="1187" spans="1:13">
      <c r="A1187" s="1">
        <f>HYPERLINK("http://www.twitter.com/NathanBLawrence/status/995755247296532480", "995755247296532480")</f>
        <v/>
      </c>
      <c r="B1187" s="2" t="n">
        <v>43233.83246527778</v>
      </c>
      <c r="C1187" t="n">
        <v>0</v>
      </c>
      <c r="D1187" t="n">
        <v>11</v>
      </c>
      <c r="E1187" t="s">
        <v>1185</v>
      </c>
      <c r="F1187" t="s"/>
      <c r="G1187" t="s"/>
      <c r="H1187" t="s"/>
      <c r="I1187" t="s"/>
      <c r="J1187" t="n">
        <v>0</v>
      </c>
      <c r="K1187" t="n">
        <v>0</v>
      </c>
      <c r="L1187" t="n">
        <v>1</v>
      </c>
      <c r="M1187" t="n">
        <v>0</v>
      </c>
    </row>
    <row r="1188" spans="1:13">
      <c r="A1188" s="1">
        <f>HYPERLINK("http://www.twitter.com/NathanBLawrence/status/995755116555915270", "995755116555915270")</f>
        <v/>
      </c>
      <c r="B1188" s="2" t="n">
        <v>43233.83210648148</v>
      </c>
      <c r="C1188" t="n">
        <v>12</v>
      </c>
      <c r="D1188" t="n">
        <v>11</v>
      </c>
      <c r="E1188" t="s">
        <v>1186</v>
      </c>
      <c r="F1188" t="s"/>
      <c r="G1188" t="s"/>
      <c r="H1188" t="s"/>
      <c r="I1188" t="s"/>
      <c r="J1188" t="n">
        <v>-0.1027</v>
      </c>
      <c r="K1188" t="n">
        <v>0.03</v>
      </c>
      <c r="L1188" t="n">
        <v>0.97</v>
      </c>
      <c r="M1188" t="n">
        <v>0</v>
      </c>
    </row>
    <row r="1189" spans="1:13">
      <c r="A1189" s="1">
        <f>HYPERLINK("http://www.twitter.com/NathanBLawrence/status/995753905043787776", "995753905043787776")</f>
        <v/>
      </c>
      <c r="B1189" s="2" t="n">
        <v>43233.82876157408</v>
      </c>
      <c r="C1189" t="n">
        <v>0</v>
      </c>
      <c r="D1189" t="n">
        <v>5</v>
      </c>
      <c r="E1189" t="s">
        <v>1187</v>
      </c>
      <c r="F1189">
        <f>HYPERLINK("http://pbs.twimg.com/media/DdGguerW0AAFR0P.jpg", "http://pbs.twimg.com/media/DdGguerW0AAFR0P.jpg")</f>
        <v/>
      </c>
      <c r="G1189" t="s"/>
      <c r="H1189" t="s"/>
      <c r="I1189" t="s"/>
      <c r="J1189" t="n">
        <v>0</v>
      </c>
      <c r="K1189" t="n">
        <v>0</v>
      </c>
      <c r="L1189" t="n">
        <v>1</v>
      </c>
      <c r="M1189" t="n">
        <v>0</v>
      </c>
    </row>
    <row r="1190" spans="1:13">
      <c r="A1190" s="1">
        <f>HYPERLINK("http://www.twitter.com/NathanBLawrence/status/995753724730642433", "995753724730642433")</f>
        <v/>
      </c>
      <c r="B1190" s="2" t="n">
        <v>43233.82826388889</v>
      </c>
      <c r="C1190" t="n">
        <v>6</v>
      </c>
      <c r="D1190" t="n">
        <v>5</v>
      </c>
      <c r="E1190" t="s">
        <v>1188</v>
      </c>
      <c r="F1190">
        <f>HYPERLINK("http://pbs.twimg.com/media/DdGguerW0AAFR0P.jpg", "http://pbs.twimg.com/media/DdGguerW0AAFR0P.jpg")</f>
        <v/>
      </c>
      <c r="G1190" t="s"/>
      <c r="H1190" t="s"/>
      <c r="I1190" t="s"/>
      <c r="J1190" t="n">
        <v>0</v>
      </c>
      <c r="K1190" t="n">
        <v>0</v>
      </c>
      <c r="L1190" t="n">
        <v>1</v>
      </c>
      <c r="M1190" t="n">
        <v>0</v>
      </c>
    </row>
    <row r="1191" spans="1:13">
      <c r="A1191" s="1">
        <f>HYPERLINK("http://www.twitter.com/NathanBLawrence/status/995752310792998913", "995752310792998913")</f>
        <v/>
      </c>
      <c r="B1191" s="2" t="n">
        <v>43233.82436342593</v>
      </c>
      <c r="C1191" t="n">
        <v>0</v>
      </c>
      <c r="D1191" t="n">
        <v>1</v>
      </c>
      <c r="E1191" t="s">
        <v>1189</v>
      </c>
      <c r="F1191" t="s"/>
      <c r="G1191" t="s"/>
      <c r="H1191" t="s"/>
      <c r="I1191" t="s"/>
      <c r="J1191" t="n">
        <v>-0.2225</v>
      </c>
      <c r="K1191" t="n">
        <v>0.081</v>
      </c>
      <c r="L1191" t="n">
        <v>0.861</v>
      </c>
      <c r="M1191" t="n">
        <v>0.058</v>
      </c>
    </row>
    <row r="1192" spans="1:13">
      <c r="A1192" s="1">
        <f>HYPERLINK("http://www.twitter.com/NathanBLawrence/status/995751827374313473", "995751827374313473")</f>
        <v/>
      </c>
      <c r="B1192" s="2" t="n">
        <v>43233.82303240741</v>
      </c>
      <c r="C1192" t="n">
        <v>0</v>
      </c>
      <c r="D1192" t="n">
        <v>0</v>
      </c>
      <c r="E1192" t="s">
        <v>1190</v>
      </c>
      <c r="F1192" t="s"/>
      <c r="G1192" t="s"/>
      <c r="H1192" t="s"/>
      <c r="I1192" t="s"/>
      <c r="J1192" t="n">
        <v>0.5574</v>
      </c>
      <c r="K1192" t="n">
        <v>0</v>
      </c>
      <c r="L1192" t="n">
        <v>0.796</v>
      </c>
      <c r="M1192" t="n">
        <v>0.204</v>
      </c>
    </row>
    <row r="1193" spans="1:13">
      <c r="A1193" s="1">
        <f>HYPERLINK("http://www.twitter.com/NathanBLawrence/status/995751577184100352", "995751577184100352")</f>
        <v/>
      </c>
      <c r="B1193" s="2" t="n">
        <v>43233.82233796296</v>
      </c>
      <c r="C1193" t="n">
        <v>0</v>
      </c>
      <c r="D1193" t="n">
        <v>0</v>
      </c>
      <c r="E1193" t="s">
        <v>1191</v>
      </c>
      <c r="F1193" t="s"/>
      <c r="G1193" t="s"/>
      <c r="H1193" t="s"/>
      <c r="I1193" t="s"/>
      <c r="J1193" t="n">
        <v>0.1779</v>
      </c>
      <c r="K1193" t="n">
        <v>0.057</v>
      </c>
      <c r="L1193" t="n">
        <v>0.847</v>
      </c>
      <c r="M1193" t="n">
        <v>0.096</v>
      </c>
    </row>
    <row r="1194" spans="1:13">
      <c r="A1194" s="1">
        <f>HYPERLINK("http://www.twitter.com/NathanBLawrence/status/995750936999063552", "995750936999063552")</f>
        <v/>
      </c>
      <c r="B1194" s="2" t="n">
        <v>43233.8205787037</v>
      </c>
      <c r="C1194" t="n">
        <v>0</v>
      </c>
      <c r="D1194" t="n">
        <v>7</v>
      </c>
      <c r="E1194" t="s">
        <v>1192</v>
      </c>
      <c r="F1194">
        <f>HYPERLINK("http://pbs.twimg.com/media/DdGUejmWkAUog75.jpg", "http://pbs.twimg.com/media/DdGUejmWkAUog75.jpg")</f>
        <v/>
      </c>
      <c r="G1194" t="s"/>
      <c r="H1194" t="s"/>
      <c r="I1194" t="s"/>
      <c r="J1194" t="n">
        <v>0</v>
      </c>
      <c r="K1194" t="n">
        <v>0</v>
      </c>
      <c r="L1194" t="n">
        <v>1</v>
      </c>
      <c r="M1194" t="n">
        <v>0</v>
      </c>
    </row>
    <row r="1195" spans="1:13">
      <c r="A1195" s="1">
        <f>HYPERLINK("http://www.twitter.com/NathanBLawrence/status/995750788042510338", "995750788042510338")</f>
        <v/>
      </c>
      <c r="B1195" s="2" t="n">
        <v>43233.82016203704</v>
      </c>
      <c r="C1195" t="n">
        <v>0</v>
      </c>
      <c r="D1195" t="n">
        <v>0</v>
      </c>
      <c r="E1195" t="s">
        <v>1193</v>
      </c>
      <c r="F1195" t="s"/>
      <c r="G1195" t="s"/>
      <c r="H1195" t="s"/>
      <c r="I1195" t="s"/>
      <c r="J1195" t="n">
        <v>0.34</v>
      </c>
      <c r="K1195" t="n">
        <v>0</v>
      </c>
      <c r="L1195" t="n">
        <v>0.821</v>
      </c>
      <c r="M1195" t="n">
        <v>0.179</v>
      </c>
    </row>
    <row r="1196" spans="1:13">
      <c r="A1196" s="1">
        <f>HYPERLINK("http://www.twitter.com/NathanBLawrence/status/995750200156311552", "995750200156311552")</f>
        <v/>
      </c>
      <c r="B1196" s="2" t="n">
        <v>43233.81854166667</v>
      </c>
      <c r="C1196" t="n">
        <v>0</v>
      </c>
      <c r="D1196" t="n">
        <v>0</v>
      </c>
      <c r="E1196" t="s">
        <v>1194</v>
      </c>
      <c r="F1196" t="s"/>
      <c r="G1196" t="s"/>
      <c r="H1196" t="s"/>
      <c r="I1196" t="s"/>
      <c r="J1196" t="n">
        <v>0.7717000000000001</v>
      </c>
      <c r="K1196" t="n">
        <v>0</v>
      </c>
      <c r="L1196" t="n">
        <v>0.839</v>
      </c>
      <c r="M1196" t="n">
        <v>0.161</v>
      </c>
    </row>
    <row r="1197" spans="1:13">
      <c r="A1197" s="1">
        <f>HYPERLINK("http://www.twitter.com/NathanBLawrence/status/995749794642628609", "995749794642628609")</f>
        <v/>
      </c>
      <c r="B1197" s="2" t="n">
        <v>43233.81741898148</v>
      </c>
      <c r="C1197" t="n">
        <v>0</v>
      </c>
      <c r="D1197" t="n">
        <v>0</v>
      </c>
      <c r="E1197" t="s">
        <v>1195</v>
      </c>
      <c r="F1197" t="s"/>
      <c r="G1197" t="s"/>
      <c r="H1197" t="s"/>
      <c r="I1197" t="s"/>
      <c r="J1197" t="n">
        <v>0.4767</v>
      </c>
      <c r="K1197" t="n">
        <v>0.152</v>
      </c>
      <c r="L1197" t="n">
        <v>0.594</v>
      </c>
      <c r="M1197" t="n">
        <v>0.254</v>
      </c>
    </row>
    <row r="1198" spans="1:13">
      <c r="A1198" s="1">
        <f>HYPERLINK("http://www.twitter.com/NathanBLawrence/status/995749645300256768", "995749645300256768")</f>
        <v/>
      </c>
      <c r="B1198" s="2" t="n">
        <v>43233.81701388889</v>
      </c>
      <c r="C1198" t="n">
        <v>0</v>
      </c>
      <c r="D1198" t="n">
        <v>0</v>
      </c>
      <c r="E1198" t="s">
        <v>1196</v>
      </c>
      <c r="F1198" t="s"/>
      <c r="G1198" t="s"/>
      <c r="H1198" t="s"/>
      <c r="I1198" t="s"/>
      <c r="J1198" t="n">
        <v>0.8748</v>
      </c>
      <c r="K1198" t="n">
        <v>0.036</v>
      </c>
      <c r="L1198" t="n">
        <v>0.76</v>
      </c>
      <c r="M1198" t="n">
        <v>0.204</v>
      </c>
    </row>
    <row r="1199" spans="1:13">
      <c r="A1199" s="1">
        <f>HYPERLINK("http://www.twitter.com/NathanBLawrence/status/995749406417784832", "995749406417784832")</f>
        <v/>
      </c>
      <c r="B1199" s="2" t="n">
        <v>43233.81635416667</v>
      </c>
      <c r="C1199" t="n">
        <v>0</v>
      </c>
      <c r="D1199" t="n">
        <v>0</v>
      </c>
      <c r="E1199" t="s">
        <v>1197</v>
      </c>
      <c r="F1199" t="s"/>
      <c r="G1199" t="s"/>
      <c r="H1199" t="s"/>
      <c r="I1199" t="s"/>
      <c r="J1199" t="n">
        <v>-0.6597</v>
      </c>
      <c r="K1199" t="n">
        <v>0.147</v>
      </c>
      <c r="L1199" t="n">
        <v>0.801</v>
      </c>
      <c r="M1199" t="n">
        <v>0.052</v>
      </c>
    </row>
    <row r="1200" spans="1:13">
      <c r="A1200" s="1">
        <f>HYPERLINK("http://www.twitter.com/NathanBLawrence/status/995744678032134144", "995744678032134144")</f>
        <v/>
      </c>
      <c r="B1200" s="2" t="n">
        <v>43233.80329861111</v>
      </c>
      <c r="C1200" t="n">
        <v>0</v>
      </c>
      <c r="D1200" t="n">
        <v>5</v>
      </c>
      <c r="E1200" t="s">
        <v>1198</v>
      </c>
      <c r="F1200" t="s"/>
      <c r="G1200" t="s"/>
      <c r="H1200" t="s"/>
      <c r="I1200" t="s"/>
      <c r="J1200" t="n">
        <v>0</v>
      </c>
      <c r="K1200" t="n">
        <v>0</v>
      </c>
      <c r="L1200" t="n">
        <v>1</v>
      </c>
      <c r="M1200" t="n">
        <v>0</v>
      </c>
    </row>
    <row r="1201" spans="1:13">
      <c r="A1201" s="1">
        <f>HYPERLINK("http://www.twitter.com/NathanBLawrence/status/995743813632167941", "995743813632167941")</f>
        <v/>
      </c>
      <c r="B1201" s="2" t="n">
        <v>43233.80091435185</v>
      </c>
      <c r="C1201" t="n">
        <v>0</v>
      </c>
      <c r="D1201" t="n">
        <v>0</v>
      </c>
      <c r="E1201" t="s">
        <v>1199</v>
      </c>
      <c r="F1201" t="s"/>
      <c r="G1201" t="s"/>
      <c r="H1201" t="s"/>
      <c r="I1201" t="s"/>
      <c r="J1201" t="n">
        <v>0</v>
      </c>
      <c r="K1201" t="n">
        <v>0</v>
      </c>
      <c r="L1201" t="n">
        <v>1</v>
      </c>
      <c r="M1201" t="n">
        <v>0</v>
      </c>
    </row>
    <row r="1202" spans="1:13">
      <c r="A1202" s="1">
        <f>HYPERLINK("http://www.twitter.com/NathanBLawrence/status/995743744753373184", "995743744753373184")</f>
        <v/>
      </c>
      <c r="B1202" s="2" t="n">
        <v>43233.80072916667</v>
      </c>
      <c r="C1202" t="n">
        <v>0</v>
      </c>
      <c r="D1202" t="n">
        <v>0</v>
      </c>
      <c r="E1202" t="s">
        <v>1200</v>
      </c>
      <c r="F1202" t="s"/>
      <c r="G1202" t="s"/>
      <c r="H1202" t="s"/>
      <c r="I1202" t="s"/>
      <c r="J1202" t="n">
        <v>0.1877</v>
      </c>
      <c r="K1202" t="n">
        <v>0.145</v>
      </c>
      <c r="L1202" t="n">
        <v>0.633</v>
      </c>
      <c r="M1202" t="n">
        <v>0.223</v>
      </c>
    </row>
    <row r="1203" spans="1:13">
      <c r="A1203" s="1">
        <f>HYPERLINK("http://www.twitter.com/NathanBLawrence/status/995741066866429953", "995741066866429953")</f>
        <v/>
      </c>
      <c r="B1203" s="2" t="n">
        <v>43233.79333333333</v>
      </c>
      <c r="C1203" t="n">
        <v>0</v>
      </c>
      <c r="D1203" t="n">
        <v>0</v>
      </c>
      <c r="E1203" t="s">
        <v>1201</v>
      </c>
      <c r="F1203" t="s"/>
      <c r="G1203" t="s"/>
      <c r="H1203" t="s"/>
      <c r="I1203" t="s"/>
      <c r="J1203" t="n">
        <v>-0.2584</v>
      </c>
      <c r="K1203" t="n">
        <v>0.169</v>
      </c>
      <c r="L1203" t="n">
        <v>0.831</v>
      </c>
      <c r="M1203" t="n">
        <v>0</v>
      </c>
    </row>
    <row r="1204" spans="1:13">
      <c r="A1204" s="1">
        <f>HYPERLINK("http://www.twitter.com/NathanBLawrence/status/995740495090503680", "995740495090503680")</f>
        <v/>
      </c>
      <c r="B1204" s="2" t="n">
        <v>43233.79175925926</v>
      </c>
      <c r="C1204" t="n">
        <v>0</v>
      </c>
      <c r="D1204" t="n">
        <v>2</v>
      </c>
      <c r="E1204" t="s">
        <v>1202</v>
      </c>
      <c r="F1204" t="s"/>
      <c r="G1204" t="s"/>
      <c r="H1204" t="s"/>
      <c r="I1204" t="s"/>
      <c r="J1204" t="n">
        <v>-0.3612</v>
      </c>
      <c r="K1204" t="n">
        <v>0.116</v>
      </c>
      <c r="L1204" t="n">
        <v>0.884</v>
      </c>
      <c r="M1204" t="n">
        <v>0</v>
      </c>
    </row>
    <row r="1205" spans="1:13">
      <c r="A1205" s="1">
        <f>HYPERLINK("http://www.twitter.com/NathanBLawrence/status/995740251355303936", "995740251355303936")</f>
        <v/>
      </c>
      <c r="B1205" s="2" t="n">
        <v>43233.79108796296</v>
      </c>
      <c r="C1205" t="n">
        <v>8</v>
      </c>
      <c r="D1205" t="n">
        <v>7</v>
      </c>
      <c r="E1205" t="s">
        <v>1203</v>
      </c>
      <c r="F1205">
        <f>HYPERLINK("http://pbs.twimg.com/media/DdGUejmWkAUog75.jpg", "http://pbs.twimg.com/media/DdGUejmWkAUog75.jpg")</f>
        <v/>
      </c>
      <c r="G1205" t="s"/>
      <c r="H1205" t="s"/>
      <c r="I1205" t="s"/>
      <c r="J1205" t="n">
        <v>0</v>
      </c>
      <c r="K1205" t="n">
        <v>0</v>
      </c>
      <c r="L1205" t="n">
        <v>1</v>
      </c>
      <c r="M1205" t="n">
        <v>0</v>
      </c>
    </row>
    <row r="1206" spans="1:13">
      <c r="A1206" s="1">
        <f>HYPERLINK("http://www.twitter.com/NathanBLawrence/status/995739454890528769", "995739454890528769")</f>
        <v/>
      </c>
      <c r="B1206" s="2" t="n">
        <v>43233.78888888889</v>
      </c>
      <c r="C1206" t="n">
        <v>0</v>
      </c>
      <c r="D1206" t="n">
        <v>2</v>
      </c>
      <c r="E1206" t="s">
        <v>1204</v>
      </c>
      <c r="F1206">
        <f>HYPERLINK("http://pbs.twimg.com/media/DdGTvcUX4AE52wo.jpg", "http://pbs.twimg.com/media/DdGTvcUX4AE52wo.jpg")</f>
        <v/>
      </c>
      <c r="G1206" t="s"/>
      <c r="H1206" t="s"/>
      <c r="I1206" t="s"/>
      <c r="J1206" t="n">
        <v>-0.4184</v>
      </c>
      <c r="K1206" t="n">
        <v>0.112</v>
      </c>
      <c r="L1206" t="n">
        <v>0.888</v>
      </c>
      <c r="M1206" t="n">
        <v>0</v>
      </c>
    </row>
    <row r="1207" spans="1:13">
      <c r="A1207" s="1">
        <f>HYPERLINK("http://www.twitter.com/NathanBLawrence/status/995739438461407232", "995739438461407232")</f>
        <v/>
      </c>
      <c r="B1207" s="2" t="n">
        <v>43233.78884259259</v>
      </c>
      <c r="C1207" t="n">
        <v>3</v>
      </c>
      <c r="D1207" t="n">
        <v>2</v>
      </c>
      <c r="E1207" t="s">
        <v>1205</v>
      </c>
      <c r="F1207">
        <f>HYPERLINK("http://pbs.twimg.com/media/DdGTvcUX4AE52wo.jpg", "http://pbs.twimg.com/media/DdGTvcUX4AE52wo.jpg")</f>
        <v/>
      </c>
      <c r="G1207" t="s"/>
      <c r="H1207" t="s"/>
      <c r="I1207" t="s"/>
      <c r="J1207" t="n">
        <v>-0.5216</v>
      </c>
      <c r="K1207" t="n">
        <v>0.067</v>
      </c>
      <c r="L1207" t="n">
        <v>0.9330000000000001</v>
      </c>
      <c r="M1207" t="n">
        <v>0</v>
      </c>
    </row>
    <row r="1208" spans="1:13">
      <c r="A1208" s="1">
        <f>HYPERLINK("http://www.twitter.com/NathanBLawrence/status/995738705410297857", "995738705410297857")</f>
        <v/>
      </c>
      <c r="B1208" s="2" t="n">
        <v>43233.78681712963</v>
      </c>
      <c r="C1208" t="n">
        <v>0</v>
      </c>
      <c r="D1208" t="n">
        <v>2</v>
      </c>
      <c r="E1208" t="s">
        <v>1206</v>
      </c>
      <c r="F1208">
        <f>HYPERLINK("http://pbs.twimg.com/media/DdGRm2GVwAAzSWu.jpg", "http://pbs.twimg.com/media/DdGRm2GVwAAzSWu.jpg")</f>
        <v/>
      </c>
      <c r="G1208" t="s"/>
      <c r="H1208" t="s"/>
      <c r="I1208" t="s"/>
      <c r="J1208" t="n">
        <v>0</v>
      </c>
      <c r="K1208" t="n">
        <v>0</v>
      </c>
      <c r="L1208" t="n">
        <v>1</v>
      </c>
      <c r="M1208" t="n">
        <v>0</v>
      </c>
    </row>
    <row r="1209" spans="1:13">
      <c r="A1209" s="1">
        <f>HYPERLINK("http://www.twitter.com/NathanBLawrence/status/995738688838651904", "995738688838651904")</f>
        <v/>
      </c>
      <c r="B1209" s="2" t="n">
        <v>43233.78678240741</v>
      </c>
      <c r="C1209" t="n">
        <v>6</v>
      </c>
      <c r="D1209" t="n">
        <v>5</v>
      </c>
      <c r="E1209" t="s">
        <v>1207</v>
      </c>
      <c r="F1209" t="s"/>
      <c r="G1209" t="s"/>
      <c r="H1209" t="s"/>
      <c r="I1209" t="s"/>
      <c r="J1209" t="n">
        <v>0</v>
      </c>
      <c r="K1209" t="n">
        <v>0</v>
      </c>
      <c r="L1209" t="n">
        <v>1</v>
      </c>
      <c r="M1209" t="n">
        <v>0</v>
      </c>
    </row>
    <row r="1210" spans="1:13">
      <c r="A1210" s="1">
        <f>HYPERLINK("http://www.twitter.com/NathanBLawrence/status/995735438185979904", "995735438185979904")</f>
        <v/>
      </c>
      <c r="B1210" s="2" t="n">
        <v>43233.77780092593</v>
      </c>
      <c r="C1210" t="n">
        <v>0</v>
      </c>
      <c r="D1210" t="n">
        <v>4</v>
      </c>
      <c r="E1210" t="s">
        <v>1208</v>
      </c>
      <c r="F1210" t="s"/>
      <c r="G1210" t="s"/>
      <c r="H1210" t="s"/>
      <c r="I1210" t="s"/>
      <c r="J1210" t="n">
        <v>0</v>
      </c>
      <c r="K1210" t="n">
        <v>0</v>
      </c>
      <c r="L1210" t="n">
        <v>1</v>
      </c>
      <c r="M1210" t="n">
        <v>0</v>
      </c>
    </row>
    <row r="1211" spans="1:13">
      <c r="A1211" s="1">
        <f>HYPERLINK("http://www.twitter.com/NathanBLawrence/status/995735378912006144", "995735378912006144")</f>
        <v/>
      </c>
      <c r="B1211" s="2" t="n">
        <v>43233.77763888889</v>
      </c>
      <c r="C1211" t="n">
        <v>2</v>
      </c>
      <c r="D1211" t="n">
        <v>2</v>
      </c>
      <c r="E1211" t="s">
        <v>1209</v>
      </c>
      <c r="F1211" t="s"/>
      <c r="G1211" t="s"/>
      <c r="H1211" t="s"/>
      <c r="I1211" t="s"/>
      <c r="J1211" t="n">
        <v>-0.34</v>
      </c>
      <c r="K1211" t="n">
        <v>0.108</v>
      </c>
      <c r="L1211" t="n">
        <v>0.833</v>
      </c>
      <c r="M1211" t="n">
        <v>0.058</v>
      </c>
    </row>
    <row r="1212" spans="1:13">
      <c r="A1212" s="1">
        <f>HYPERLINK("http://www.twitter.com/NathanBLawrence/status/995734719764619264", "995734719764619264")</f>
        <v/>
      </c>
      <c r="B1212" s="2" t="n">
        <v>43233.77582175926</v>
      </c>
      <c r="C1212" t="n">
        <v>6</v>
      </c>
      <c r="D1212" t="n">
        <v>4</v>
      </c>
      <c r="E1212" t="s">
        <v>1210</v>
      </c>
      <c r="F1212" t="s"/>
      <c r="G1212" t="s"/>
      <c r="H1212" t="s"/>
      <c r="I1212" t="s"/>
      <c r="J1212" t="n">
        <v>0</v>
      </c>
      <c r="K1212" t="n">
        <v>0</v>
      </c>
      <c r="L1212" t="n">
        <v>1</v>
      </c>
      <c r="M1212" t="n">
        <v>0</v>
      </c>
    </row>
    <row r="1213" spans="1:13">
      <c r="A1213" s="1">
        <f>HYPERLINK("http://www.twitter.com/NathanBLawrence/status/995731689878978560", "995731689878978560")</f>
        <v/>
      </c>
      <c r="B1213" s="2" t="n">
        <v>43233.76746527778</v>
      </c>
      <c r="C1213" t="n">
        <v>0</v>
      </c>
      <c r="D1213" t="n">
        <v>8</v>
      </c>
      <c r="E1213" t="s">
        <v>1211</v>
      </c>
      <c r="F1213" t="s"/>
      <c r="G1213" t="s"/>
      <c r="H1213" t="s"/>
      <c r="I1213" t="s"/>
      <c r="J1213" t="n">
        <v>-0.7269</v>
      </c>
      <c r="K1213" t="n">
        <v>0.288</v>
      </c>
      <c r="L1213" t="n">
        <v>0.661</v>
      </c>
      <c r="M1213" t="n">
        <v>0.051</v>
      </c>
    </row>
    <row r="1214" spans="1:13">
      <c r="A1214" s="1">
        <f>HYPERLINK("http://www.twitter.com/NathanBLawrence/status/995731051745107968", "995731051745107968")</f>
        <v/>
      </c>
      <c r="B1214" s="2" t="n">
        <v>43233.76570601852</v>
      </c>
      <c r="C1214" t="n">
        <v>11</v>
      </c>
      <c r="D1214" t="n">
        <v>8</v>
      </c>
      <c r="E1214" t="s">
        <v>1212</v>
      </c>
      <c r="F1214" t="s"/>
      <c r="G1214" t="s"/>
      <c r="H1214" t="s"/>
      <c r="I1214" t="s"/>
      <c r="J1214" t="n">
        <v>-0.8176</v>
      </c>
      <c r="K1214" t="n">
        <v>0.188</v>
      </c>
      <c r="L1214" t="n">
        <v>0.787</v>
      </c>
      <c r="M1214" t="n">
        <v>0.025</v>
      </c>
    </row>
    <row r="1215" spans="1:13">
      <c r="A1215" s="1">
        <f>HYPERLINK("http://www.twitter.com/NathanBLawrence/status/995727885330722817", "995727885330722817")</f>
        <v/>
      </c>
      <c r="B1215" s="2" t="n">
        <v>43233.75696759259</v>
      </c>
      <c r="C1215" t="n">
        <v>0</v>
      </c>
      <c r="D1215" t="n">
        <v>6</v>
      </c>
      <c r="E1215" t="s">
        <v>1213</v>
      </c>
      <c r="F1215">
        <f>HYPERLINK("http://pbs.twimg.com/media/DdGJHrBWAAAdk9i.jpg", "http://pbs.twimg.com/media/DdGJHrBWAAAdk9i.jpg")</f>
        <v/>
      </c>
      <c r="G1215" t="s"/>
      <c r="H1215" t="s"/>
      <c r="I1215" t="s"/>
      <c r="J1215" t="n">
        <v>-0.1027</v>
      </c>
      <c r="K1215" t="n">
        <v>0.06900000000000001</v>
      </c>
      <c r="L1215" t="n">
        <v>0.931</v>
      </c>
      <c r="M1215" t="n">
        <v>0</v>
      </c>
    </row>
    <row r="1216" spans="1:13">
      <c r="A1216" s="1">
        <f>HYPERLINK("http://www.twitter.com/NathanBLawrence/status/995727766665523205", "995727766665523205")</f>
        <v/>
      </c>
      <c r="B1216" s="2" t="n">
        <v>43233.75663194444</v>
      </c>
      <c r="C1216" t="n">
        <v>8</v>
      </c>
      <c r="D1216" t="n">
        <v>6</v>
      </c>
      <c r="E1216" t="s">
        <v>1214</v>
      </c>
      <c r="F1216">
        <f>HYPERLINK("http://pbs.twimg.com/media/DdGJHrBWAAAdk9i.jpg", "http://pbs.twimg.com/media/DdGJHrBWAAAdk9i.jpg")</f>
        <v/>
      </c>
      <c r="G1216" t="s"/>
      <c r="H1216" t="s"/>
      <c r="I1216" t="s"/>
      <c r="J1216" t="n">
        <v>-0.1926</v>
      </c>
      <c r="K1216" t="n">
        <v>0.042</v>
      </c>
      <c r="L1216" t="n">
        <v>0.958</v>
      </c>
      <c r="M1216" t="n">
        <v>0</v>
      </c>
    </row>
    <row r="1217" spans="1:13">
      <c r="A1217" s="1">
        <f>HYPERLINK("http://www.twitter.com/NathanBLawrence/status/995726179196862465", "995726179196862465")</f>
        <v/>
      </c>
      <c r="B1217" s="2" t="n">
        <v>43233.75225694444</v>
      </c>
      <c r="C1217" t="n">
        <v>0</v>
      </c>
      <c r="D1217" t="n">
        <v>7</v>
      </c>
      <c r="E1217" t="s">
        <v>1215</v>
      </c>
      <c r="F1217">
        <f>HYPERLINK("http://pbs.twimg.com/media/DdGHpmyW0AECE0R.jpg", "http://pbs.twimg.com/media/DdGHpmyW0AECE0R.jpg")</f>
        <v/>
      </c>
      <c r="G1217" t="s"/>
      <c r="H1217" t="s"/>
      <c r="I1217" t="s"/>
      <c r="J1217" t="n">
        <v>0</v>
      </c>
      <c r="K1217" t="n">
        <v>0</v>
      </c>
      <c r="L1217" t="n">
        <v>1</v>
      </c>
      <c r="M1217" t="n">
        <v>0</v>
      </c>
    </row>
    <row r="1218" spans="1:13">
      <c r="A1218" s="1">
        <f>HYPERLINK("http://www.twitter.com/NathanBLawrence/status/995726145306972160", "995726145306972160")</f>
        <v/>
      </c>
      <c r="B1218" s="2" t="n">
        <v>43233.75216435185</v>
      </c>
      <c r="C1218" t="n">
        <v>11</v>
      </c>
      <c r="D1218" t="n">
        <v>7</v>
      </c>
      <c r="E1218" t="s">
        <v>1216</v>
      </c>
      <c r="F1218">
        <f>HYPERLINK("http://pbs.twimg.com/media/DdGHpmyW0AECE0R.jpg", "http://pbs.twimg.com/media/DdGHpmyW0AECE0R.jpg")</f>
        <v/>
      </c>
      <c r="G1218" t="s"/>
      <c r="H1218" t="s"/>
      <c r="I1218" t="s"/>
      <c r="J1218" t="n">
        <v>0</v>
      </c>
      <c r="K1218" t="n">
        <v>0</v>
      </c>
      <c r="L1218" t="n">
        <v>1</v>
      </c>
      <c r="M1218" t="n">
        <v>0</v>
      </c>
    </row>
    <row r="1219" spans="1:13">
      <c r="A1219" s="1">
        <f>HYPERLINK("http://www.twitter.com/NathanBLawrence/status/995725525783072768", "995725525783072768")</f>
        <v/>
      </c>
      <c r="B1219" s="2" t="n">
        <v>43233.75045138889</v>
      </c>
      <c r="C1219" t="n">
        <v>0</v>
      </c>
      <c r="D1219" t="n">
        <v>0</v>
      </c>
      <c r="E1219" t="s">
        <v>1217</v>
      </c>
      <c r="F1219" t="s"/>
      <c r="G1219" t="s"/>
      <c r="H1219" t="s"/>
      <c r="I1219" t="s"/>
      <c r="J1219" t="n">
        <v>0.3724</v>
      </c>
      <c r="K1219" t="n">
        <v>0</v>
      </c>
      <c r="L1219" t="n">
        <v>0.701</v>
      </c>
      <c r="M1219" t="n">
        <v>0.299</v>
      </c>
    </row>
    <row r="1220" spans="1:13">
      <c r="A1220" s="1">
        <f>HYPERLINK("http://www.twitter.com/NathanBLawrence/status/995725420434804738", "995725420434804738")</f>
        <v/>
      </c>
      <c r="B1220" s="2" t="n">
        <v>43233.75016203704</v>
      </c>
      <c r="C1220" t="n">
        <v>0</v>
      </c>
      <c r="D1220" t="n">
        <v>0</v>
      </c>
      <c r="E1220" t="s">
        <v>1218</v>
      </c>
      <c r="F1220" t="s"/>
      <c r="G1220" t="s"/>
      <c r="H1220" t="s"/>
      <c r="I1220" t="s"/>
      <c r="J1220" t="n">
        <v>0.7517</v>
      </c>
      <c r="K1220" t="n">
        <v>0.051</v>
      </c>
      <c r="L1220" t="n">
        <v>0.751</v>
      </c>
      <c r="M1220" t="n">
        <v>0.198</v>
      </c>
    </row>
    <row r="1221" spans="1:13">
      <c r="A1221" s="1">
        <f>HYPERLINK("http://www.twitter.com/NathanBLawrence/status/995718666326020096", "995718666326020096")</f>
        <v/>
      </c>
      <c r="B1221" s="2" t="n">
        <v>43233.73152777777</v>
      </c>
      <c r="C1221" t="n">
        <v>0</v>
      </c>
      <c r="D1221" t="n">
        <v>116</v>
      </c>
      <c r="E1221" t="s">
        <v>1219</v>
      </c>
      <c r="F1221">
        <f>HYPERLINK("http://pbs.twimg.com/media/DdDhouEVwAABbY1.jpg", "http://pbs.twimg.com/media/DdDhouEVwAABbY1.jpg")</f>
        <v/>
      </c>
      <c r="G1221" t="s"/>
      <c r="H1221" t="s"/>
      <c r="I1221" t="s"/>
      <c r="J1221" t="n">
        <v>0.5719</v>
      </c>
      <c r="K1221" t="n">
        <v>0</v>
      </c>
      <c r="L1221" t="n">
        <v>0.829</v>
      </c>
      <c r="M1221" t="n">
        <v>0.171</v>
      </c>
    </row>
    <row r="1222" spans="1:13">
      <c r="A1222" s="1">
        <f>HYPERLINK("http://www.twitter.com/NathanBLawrence/status/995718652254130178", "995718652254130178")</f>
        <v/>
      </c>
      <c r="B1222" s="2" t="n">
        <v>43233.73148148148</v>
      </c>
      <c r="C1222" t="n">
        <v>0</v>
      </c>
      <c r="D1222" t="n">
        <v>2339</v>
      </c>
      <c r="E1222" t="s">
        <v>1220</v>
      </c>
      <c r="F1222">
        <f>HYPERLINK("http://pbs.twimg.com/media/DcEckcuVwAEpgu9.jpg", "http://pbs.twimg.com/media/DcEckcuVwAEpgu9.jpg")</f>
        <v/>
      </c>
      <c r="G1222" t="s"/>
      <c r="H1222" t="s"/>
      <c r="I1222" t="s"/>
      <c r="J1222" t="n">
        <v>0.0772</v>
      </c>
      <c r="K1222" t="n">
        <v>0</v>
      </c>
      <c r="L1222" t="n">
        <v>0.909</v>
      </c>
      <c r="M1222" t="n">
        <v>0.091</v>
      </c>
    </row>
    <row r="1223" spans="1:13">
      <c r="A1223" s="1">
        <f>HYPERLINK("http://www.twitter.com/NathanBLawrence/status/995711494640881665", "995711494640881665")</f>
        <v/>
      </c>
      <c r="B1223" s="2" t="n">
        <v>43233.71173611111</v>
      </c>
      <c r="C1223" t="n">
        <v>0</v>
      </c>
      <c r="D1223" t="n">
        <v>6</v>
      </c>
      <c r="E1223" t="s">
        <v>1221</v>
      </c>
      <c r="F1223">
        <f>HYPERLINK("http://pbs.twimg.com/media/DdF5fNuX0AA-ZWX.jpg", "http://pbs.twimg.com/media/DdF5fNuX0AA-ZWX.jpg")</f>
        <v/>
      </c>
      <c r="G1223" t="s"/>
      <c r="H1223" t="s"/>
      <c r="I1223" t="s"/>
      <c r="J1223" t="n">
        <v>-0.296</v>
      </c>
      <c r="K1223" t="n">
        <v>0.091</v>
      </c>
      <c r="L1223" t="n">
        <v>0.909</v>
      </c>
      <c r="M1223" t="n">
        <v>0</v>
      </c>
    </row>
    <row r="1224" spans="1:13">
      <c r="A1224" s="1">
        <f>HYPERLINK("http://www.twitter.com/NathanBLawrence/status/995711404396175361", "995711404396175361")</f>
        <v/>
      </c>
      <c r="B1224" s="2" t="n">
        <v>43233.71148148148</v>
      </c>
      <c r="C1224" t="n">
        <v>0</v>
      </c>
      <c r="D1224" t="n">
        <v>6</v>
      </c>
      <c r="E1224" t="s">
        <v>1222</v>
      </c>
      <c r="F1224" t="s"/>
      <c r="G1224" t="s"/>
      <c r="H1224" t="s"/>
      <c r="I1224" t="s"/>
      <c r="J1224" t="n">
        <v>0</v>
      </c>
      <c r="K1224" t="n">
        <v>0</v>
      </c>
      <c r="L1224" t="n">
        <v>1</v>
      </c>
      <c r="M1224" t="n">
        <v>0</v>
      </c>
    </row>
    <row r="1225" spans="1:13">
      <c r="A1225" s="1">
        <f>HYPERLINK("http://www.twitter.com/NathanBLawrence/status/995702073902673932", "995702073902673932")</f>
        <v/>
      </c>
      <c r="B1225" s="2" t="n">
        <v>43233.68574074074</v>
      </c>
      <c r="C1225" t="n">
        <v>4</v>
      </c>
      <c r="D1225" t="n">
        <v>2</v>
      </c>
      <c r="E1225" t="s">
        <v>1223</v>
      </c>
      <c r="F1225" t="s"/>
      <c r="G1225" t="s"/>
      <c r="H1225" t="s"/>
      <c r="I1225" t="s"/>
      <c r="J1225" t="n">
        <v>-0.4019</v>
      </c>
      <c r="K1225" t="n">
        <v>0.08</v>
      </c>
      <c r="L1225" t="n">
        <v>0.92</v>
      </c>
      <c r="M1225" t="n">
        <v>0</v>
      </c>
    </row>
    <row r="1226" spans="1:13">
      <c r="A1226" s="1">
        <f>HYPERLINK("http://www.twitter.com/NathanBLawrence/status/995701338309881858", "995701338309881858")</f>
        <v/>
      </c>
      <c r="B1226" s="2" t="n">
        <v>43233.6837037037</v>
      </c>
      <c r="C1226" t="n">
        <v>0</v>
      </c>
      <c r="D1226" t="n">
        <v>9</v>
      </c>
      <c r="E1226" t="s">
        <v>1224</v>
      </c>
      <c r="F1226">
        <f>HYPERLINK("http://pbs.twimg.com/media/DdFw9QXUQAA_5lJ.jpg", "http://pbs.twimg.com/media/DdFw9QXUQAA_5lJ.jpg")</f>
        <v/>
      </c>
      <c r="G1226" t="s"/>
      <c r="H1226" t="s"/>
      <c r="I1226" t="s"/>
      <c r="J1226" t="n">
        <v>0</v>
      </c>
      <c r="K1226" t="n">
        <v>0</v>
      </c>
      <c r="L1226" t="n">
        <v>1</v>
      </c>
      <c r="M1226" t="n">
        <v>0</v>
      </c>
    </row>
    <row r="1227" spans="1:13">
      <c r="A1227" s="1">
        <f>HYPERLINK("http://www.twitter.com/NathanBLawrence/status/995701200594010113", "995701200594010113")</f>
        <v/>
      </c>
      <c r="B1227" s="2" t="n">
        <v>43233.68333333333</v>
      </c>
      <c r="C1227" t="n">
        <v>11</v>
      </c>
      <c r="D1227" t="n">
        <v>9</v>
      </c>
      <c r="E1227" t="s">
        <v>1225</v>
      </c>
      <c r="F1227">
        <f>HYPERLINK("http://pbs.twimg.com/media/DdFw9QXUQAA_5lJ.jpg", "http://pbs.twimg.com/media/DdFw9QXUQAA_5lJ.jpg")</f>
        <v/>
      </c>
      <c r="G1227" t="s"/>
      <c r="H1227" t="s"/>
      <c r="I1227" t="s"/>
      <c r="J1227" t="n">
        <v>0</v>
      </c>
      <c r="K1227" t="n">
        <v>0</v>
      </c>
      <c r="L1227" t="n">
        <v>1</v>
      </c>
      <c r="M1227" t="n">
        <v>0</v>
      </c>
    </row>
    <row r="1228" spans="1:13">
      <c r="A1228" s="1">
        <f>HYPERLINK("http://www.twitter.com/NathanBLawrence/status/995700183932588033", "995700183932588033")</f>
        <v/>
      </c>
      <c r="B1228" s="2" t="n">
        <v>43233.68052083333</v>
      </c>
      <c r="C1228" t="n">
        <v>0</v>
      </c>
      <c r="D1228" t="n">
        <v>5</v>
      </c>
      <c r="E1228" t="s">
        <v>1226</v>
      </c>
      <c r="F1228" t="s"/>
      <c r="G1228" t="s"/>
      <c r="H1228" t="s"/>
      <c r="I1228" t="s"/>
      <c r="J1228" t="n">
        <v>-0.86</v>
      </c>
      <c r="K1228" t="n">
        <v>0.323</v>
      </c>
      <c r="L1228" t="n">
        <v>0.677</v>
      </c>
      <c r="M1228" t="n">
        <v>0</v>
      </c>
    </row>
    <row r="1229" spans="1:13">
      <c r="A1229" s="1">
        <f>HYPERLINK("http://www.twitter.com/NathanBLawrence/status/995700071390941185", "995700071390941185")</f>
        <v/>
      </c>
      <c r="B1229" s="2" t="n">
        <v>43233.68020833333</v>
      </c>
      <c r="C1229" t="n">
        <v>0</v>
      </c>
      <c r="D1229" t="n">
        <v>8</v>
      </c>
      <c r="E1229" t="s">
        <v>1227</v>
      </c>
      <c r="F1229" t="s"/>
      <c r="G1229" t="s"/>
      <c r="H1229" t="s"/>
      <c r="I1229" t="s"/>
      <c r="J1229" t="n">
        <v>0</v>
      </c>
      <c r="K1229" t="n">
        <v>0</v>
      </c>
      <c r="L1229" t="n">
        <v>1</v>
      </c>
      <c r="M1229" t="n">
        <v>0</v>
      </c>
    </row>
    <row r="1230" spans="1:13">
      <c r="A1230" s="1">
        <f>HYPERLINK("http://www.twitter.com/NathanBLawrence/status/995699973097426944", "995699973097426944")</f>
        <v/>
      </c>
      <c r="B1230" s="2" t="n">
        <v>43233.67994212963</v>
      </c>
      <c r="C1230" t="n">
        <v>0</v>
      </c>
      <c r="D1230" t="n">
        <v>1</v>
      </c>
      <c r="E1230" t="s">
        <v>1228</v>
      </c>
      <c r="F1230" t="s"/>
      <c r="G1230" t="s"/>
      <c r="H1230" t="s"/>
      <c r="I1230" t="s"/>
      <c r="J1230" t="n">
        <v>0</v>
      </c>
      <c r="K1230" t="n">
        <v>0</v>
      </c>
      <c r="L1230" t="n">
        <v>1</v>
      </c>
      <c r="M1230" t="n">
        <v>0</v>
      </c>
    </row>
    <row r="1231" spans="1:13">
      <c r="A1231" s="1">
        <f>HYPERLINK("http://www.twitter.com/NathanBLawrence/status/995699417746493446", "995699417746493446")</f>
        <v/>
      </c>
      <c r="B1231" s="2" t="n">
        <v>43233.67841435185</v>
      </c>
      <c r="C1231" t="n">
        <v>0</v>
      </c>
      <c r="D1231" t="n">
        <v>10</v>
      </c>
      <c r="E1231" t="s">
        <v>1229</v>
      </c>
      <c r="F1231" t="s"/>
      <c r="G1231" t="s"/>
      <c r="H1231" t="s"/>
      <c r="I1231" t="s"/>
      <c r="J1231" t="n">
        <v>0</v>
      </c>
      <c r="K1231" t="n">
        <v>0</v>
      </c>
      <c r="L1231" t="n">
        <v>1</v>
      </c>
      <c r="M1231" t="n">
        <v>0</v>
      </c>
    </row>
    <row r="1232" spans="1:13">
      <c r="A1232" s="1">
        <f>HYPERLINK("http://www.twitter.com/NathanBLawrence/status/995699394203869185", "995699394203869185")</f>
        <v/>
      </c>
      <c r="B1232" s="2" t="n">
        <v>43233.67834490741</v>
      </c>
      <c r="C1232" t="n">
        <v>0</v>
      </c>
      <c r="D1232" t="n">
        <v>6</v>
      </c>
      <c r="E1232" t="s">
        <v>1230</v>
      </c>
      <c r="F1232" t="s"/>
      <c r="G1232" t="s"/>
      <c r="H1232" t="s"/>
      <c r="I1232" t="s"/>
      <c r="J1232" t="n">
        <v>-0.4389</v>
      </c>
      <c r="K1232" t="n">
        <v>0.148</v>
      </c>
      <c r="L1232" t="n">
        <v>0.778</v>
      </c>
      <c r="M1232" t="n">
        <v>0.074</v>
      </c>
    </row>
    <row r="1233" spans="1:13">
      <c r="A1233" s="1">
        <f>HYPERLINK("http://www.twitter.com/NathanBLawrence/status/995699161822564352", "995699161822564352")</f>
        <v/>
      </c>
      <c r="B1233" s="2" t="n">
        <v>43233.67770833334</v>
      </c>
      <c r="C1233" t="n">
        <v>1</v>
      </c>
      <c r="D1233" t="n">
        <v>0</v>
      </c>
      <c r="E1233" t="s">
        <v>1231</v>
      </c>
      <c r="F1233" t="s"/>
      <c r="G1233" t="s"/>
      <c r="H1233" t="s"/>
      <c r="I1233" t="s"/>
      <c r="J1233" t="n">
        <v>0.1027</v>
      </c>
      <c r="K1233" t="n">
        <v>0.062</v>
      </c>
      <c r="L1233" t="n">
        <v>0.865</v>
      </c>
      <c r="M1233" t="n">
        <v>0.07199999999999999</v>
      </c>
    </row>
    <row r="1234" spans="1:13">
      <c r="A1234" s="1">
        <f>HYPERLINK("http://www.twitter.com/NathanBLawrence/status/995698682019368960", "995698682019368960")</f>
        <v/>
      </c>
      <c r="B1234" s="2" t="n">
        <v>43233.67637731481</v>
      </c>
      <c r="C1234" t="n">
        <v>0</v>
      </c>
      <c r="D1234" t="n">
        <v>0</v>
      </c>
      <c r="E1234" t="s">
        <v>1232</v>
      </c>
      <c r="F1234" t="s"/>
      <c r="G1234" t="s"/>
      <c r="H1234" t="s"/>
      <c r="I1234" t="s"/>
      <c r="J1234" t="n">
        <v>-0.1027</v>
      </c>
      <c r="K1234" t="n">
        <v>0.091</v>
      </c>
      <c r="L1234" t="n">
        <v>0.829</v>
      </c>
      <c r="M1234" t="n">
        <v>0.08</v>
      </c>
    </row>
    <row r="1235" spans="1:13">
      <c r="A1235" s="1">
        <f>HYPERLINK("http://www.twitter.com/NathanBLawrence/status/995698460610433024", "995698460610433024")</f>
        <v/>
      </c>
      <c r="B1235" s="2" t="n">
        <v>43233.67576388889</v>
      </c>
      <c r="C1235" t="n">
        <v>0</v>
      </c>
      <c r="D1235" t="n">
        <v>0</v>
      </c>
      <c r="E1235" t="s">
        <v>1233</v>
      </c>
      <c r="F1235" t="s"/>
      <c r="G1235" t="s"/>
      <c r="H1235" t="s"/>
      <c r="I1235" t="s"/>
      <c r="J1235" t="n">
        <v>0.2168</v>
      </c>
      <c r="K1235" t="n">
        <v>0.08699999999999999</v>
      </c>
      <c r="L1235" t="n">
        <v>0.792</v>
      </c>
      <c r="M1235" t="n">
        <v>0.121</v>
      </c>
    </row>
    <row r="1236" spans="1:13">
      <c r="A1236" s="1">
        <f>HYPERLINK("http://www.twitter.com/NathanBLawrence/status/995698241793556485", "995698241793556485")</f>
        <v/>
      </c>
      <c r="B1236" s="2" t="n">
        <v>43233.67516203703</v>
      </c>
      <c r="C1236" t="n">
        <v>4</v>
      </c>
      <c r="D1236" t="n">
        <v>1</v>
      </c>
      <c r="E1236" t="s">
        <v>1234</v>
      </c>
      <c r="F1236" t="s"/>
      <c r="G1236" t="s"/>
      <c r="H1236" t="s"/>
      <c r="I1236" t="s"/>
      <c r="J1236" t="n">
        <v>0</v>
      </c>
      <c r="K1236" t="n">
        <v>0</v>
      </c>
      <c r="L1236" t="n">
        <v>1</v>
      </c>
      <c r="M1236" t="n">
        <v>0</v>
      </c>
    </row>
    <row r="1237" spans="1:13">
      <c r="A1237" s="1">
        <f>HYPERLINK("http://www.twitter.com/NathanBLawrence/status/995697542234083328", "995697542234083328")</f>
        <v/>
      </c>
      <c r="B1237" s="2" t="n">
        <v>43233.67322916666</v>
      </c>
      <c r="C1237" t="n">
        <v>0</v>
      </c>
      <c r="D1237" t="n">
        <v>9</v>
      </c>
      <c r="E1237" t="s">
        <v>1235</v>
      </c>
      <c r="F1237" t="s"/>
      <c r="G1237" t="s"/>
      <c r="H1237" t="s"/>
      <c r="I1237" t="s"/>
      <c r="J1237" t="n">
        <v>0</v>
      </c>
      <c r="K1237" t="n">
        <v>0</v>
      </c>
      <c r="L1237" t="n">
        <v>1</v>
      </c>
      <c r="M1237" t="n">
        <v>0</v>
      </c>
    </row>
    <row r="1238" spans="1:13">
      <c r="A1238" s="1">
        <f>HYPERLINK("http://www.twitter.com/NathanBLawrence/status/995628545429901312", "995628545429901312")</f>
        <v/>
      </c>
      <c r="B1238" s="2" t="n">
        <v>43233.48283564814</v>
      </c>
      <c r="C1238" t="n">
        <v>0</v>
      </c>
      <c r="D1238" t="n">
        <v>36087</v>
      </c>
      <c r="E1238" t="s">
        <v>1236</v>
      </c>
      <c r="F1238" t="s"/>
      <c r="G1238" t="s"/>
      <c r="H1238" t="s"/>
      <c r="I1238" t="s"/>
      <c r="J1238" t="n">
        <v>0.0772</v>
      </c>
      <c r="K1238" t="n">
        <v>0</v>
      </c>
      <c r="L1238" t="n">
        <v>0.9360000000000001</v>
      </c>
      <c r="M1238" t="n">
        <v>0.064</v>
      </c>
    </row>
    <row r="1239" spans="1:13">
      <c r="A1239" s="1">
        <f>HYPERLINK("http://www.twitter.com/NathanBLawrence/status/995628342417285120", "995628342417285120")</f>
        <v/>
      </c>
      <c r="B1239" s="2" t="n">
        <v>43233.48228009259</v>
      </c>
      <c r="C1239" t="n">
        <v>0</v>
      </c>
      <c r="D1239" t="n">
        <v>18146</v>
      </c>
      <c r="E1239" t="s">
        <v>1237</v>
      </c>
      <c r="F1239" t="s"/>
      <c r="G1239" t="s"/>
      <c r="H1239" t="s"/>
      <c r="I1239" t="s"/>
      <c r="J1239" t="n">
        <v>0</v>
      </c>
      <c r="K1239" t="n">
        <v>0</v>
      </c>
      <c r="L1239" t="n">
        <v>1</v>
      </c>
      <c r="M1239" t="n">
        <v>0</v>
      </c>
    </row>
    <row r="1240" spans="1:13">
      <c r="A1240" s="1">
        <f>HYPERLINK("http://www.twitter.com/NathanBLawrence/status/995628260368273409", "995628260368273409")</f>
        <v/>
      </c>
      <c r="B1240" s="2" t="n">
        <v>43233.48204861111</v>
      </c>
      <c r="C1240" t="n">
        <v>0</v>
      </c>
      <c r="D1240" t="n">
        <v>16927</v>
      </c>
      <c r="E1240" t="s">
        <v>1238</v>
      </c>
      <c r="F1240" t="s"/>
      <c r="G1240" t="s"/>
      <c r="H1240" t="s"/>
      <c r="I1240" t="s"/>
      <c r="J1240" t="n">
        <v>0.8934</v>
      </c>
      <c r="K1240" t="n">
        <v>0</v>
      </c>
      <c r="L1240" t="n">
        <v>0.614</v>
      </c>
      <c r="M1240" t="n">
        <v>0.386</v>
      </c>
    </row>
    <row r="1241" spans="1:13">
      <c r="A1241" s="1">
        <f>HYPERLINK("http://www.twitter.com/NathanBLawrence/status/995626485607272448", "995626485607272448")</f>
        <v/>
      </c>
      <c r="B1241" s="2" t="n">
        <v>43233.47715277778</v>
      </c>
      <c r="C1241" t="n">
        <v>0</v>
      </c>
      <c r="D1241" t="n">
        <v>10</v>
      </c>
      <c r="E1241" t="s">
        <v>1239</v>
      </c>
      <c r="F1241" t="s"/>
      <c r="G1241" t="s"/>
      <c r="H1241" t="s"/>
      <c r="I1241" t="s"/>
      <c r="J1241" t="n">
        <v>-0.5423</v>
      </c>
      <c r="K1241" t="n">
        <v>0.179</v>
      </c>
      <c r="L1241" t="n">
        <v>0.821</v>
      </c>
      <c r="M1241" t="n">
        <v>0</v>
      </c>
    </row>
    <row r="1242" spans="1:13">
      <c r="A1242" s="1">
        <f>HYPERLINK("http://www.twitter.com/NathanBLawrence/status/995614703698268160", "995614703698268160")</f>
        <v/>
      </c>
      <c r="B1242" s="2" t="n">
        <v>43233.44464120371</v>
      </c>
      <c r="C1242" t="n">
        <v>0</v>
      </c>
      <c r="D1242" t="n">
        <v>2</v>
      </c>
      <c r="E1242" t="s">
        <v>1240</v>
      </c>
      <c r="F1242" t="s"/>
      <c r="G1242" t="s"/>
      <c r="H1242" t="s"/>
      <c r="I1242" t="s"/>
      <c r="J1242" t="n">
        <v>0</v>
      </c>
      <c r="K1242" t="n">
        <v>0</v>
      </c>
      <c r="L1242" t="n">
        <v>1</v>
      </c>
      <c r="M1242" t="n">
        <v>0</v>
      </c>
    </row>
    <row r="1243" spans="1:13">
      <c r="A1243" s="1">
        <f>HYPERLINK("http://www.twitter.com/NathanBLawrence/status/995613841642881025", "995613841642881025")</f>
        <v/>
      </c>
      <c r="B1243" s="2" t="n">
        <v>43233.44226851852</v>
      </c>
      <c r="C1243" t="n">
        <v>0</v>
      </c>
      <c r="D1243" t="n">
        <v>2</v>
      </c>
      <c r="E1243" t="s">
        <v>1241</v>
      </c>
      <c r="F1243" t="s"/>
      <c r="G1243" t="s"/>
      <c r="H1243" t="s"/>
      <c r="I1243" t="s"/>
      <c r="J1243" t="n">
        <v>0.6249</v>
      </c>
      <c r="K1243" t="n">
        <v>0</v>
      </c>
      <c r="L1243" t="n">
        <v>0.594</v>
      </c>
      <c r="M1243" t="n">
        <v>0.406</v>
      </c>
    </row>
    <row r="1244" spans="1:13">
      <c r="A1244" s="1">
        <f>HYPERLINK("http://www.twitter.com/NathanBLawrence/status/995613773808439296", "995613773808439296")</f>
        <v/>
      </c>
      <c r="B1244" s="2" t="n">
        <v>43233.44207175926</v>
      </c>
      <c r="C1244" t="n">
        <v>1</v>
      </c>
      <c r="D1244" t="n">
        <v>0</v>
      </c>
      <c r="E1244" t="s">
        <v>1242</v>
      </c>
      <c r="F1244" t="s"/>
      <c r="G1244" t="s"/>
      <c r="H1244" t="s"/>
      <c r="I1244" t="s"/>
      <c r="J1244" t="n">
        <v>0</v>
      </c>
      <c r="K1244" t="n">
        <v>0</v>
      </c>
      <c r="L1244" t="n">
        <v>1</v>
      </c>
      <c r="M1244" t="n">
        <v>0</v>
      </c>
    </row>
    <row r="1245" spans="1:13">
      <c r="A1245" s="1">
        <f>HYPERLINK("http://www.twitter.com/NathanBLawrence/status/995613612239720450", "995613612239720450")</f>
        <v/>
      </c>
      <c r="B1245" s="2" t="n">
        <v>43233.44163194444</v>
      </c>
      <c r="C1245" t="n">
        <v>0</v>
      </c>
      <c r="D1245" t="n">
        <v>0</v>
      </c>
      <c r="E1245" t="s">
        <v>1243</v>
      </c>
      <c r="F1245" t="s"/>
      <c r="G1245" t="s"/>
      <c r="H1245" t="s"/>
      <c r="I1245" t="s"/>
      <c r="J1245" t="n">
        <v>-0.5423</v>
      </c>
      <c r="K1245" t="n">
        <v>0.368</v>
      </c>
      <c r="L1245" t="n">
        <v>0.632</v>
      </c>
      <c r="M1245" t="n">
        <v>0</v>
      </c>
    </row>
    <row r="1246" spans="1:13">
      <c r="A1246" s="1">
        <f>HYPERLINK("http://www.twitter.com/NathanBLawrence/status/995613431062519808", "995613431062519808")</f>
        <v/>
      </c>
      <c r="B1246" s="2" t="n">
        <v>43233.44113425926</v>
      </c>
      <c r="C1246" t="n">
        <v>0</v>
      </c>
      <c r="D1246" t="n">
        <v>2</v>
      </c>
      <c r="E1246" t="s">
        <v>1244</v>
      </c>
      <c r="F1246" t="s"/>
      <c r="G1246" t="s"/>
      <c r="H1246" t="s"/>
      <c r="I1246" t="s"/>
      <c r="J1246" t="n">
        <v>0.1779</v>
      </c>
      <c r="K1246" t="n">
        <v>0.174</v>
      </c>
      <c r="L1246" t="n">
        <v>0.615</v>
      </c>
      <c r="M1246" t="n">
        <v>0.21</v>
      </c>
    </row>
    <row r="1247" spans="1:13">
      <c r="A1247" s="1">
        <f>HYPERLINK("http://www.twitter.com/NathanBLawrence/status/995612837656649728", "995612837656649728")</f>
        <v/>
      </c>
      <c r="B1247" s="2" t="n">
        <v>43233.43949074074</v>
      </c>
      <c r="C1247" t="n">
        <v>1</v>
      </c>
      <c r="D1247" t="n">
        <v>0</v>
      </c>
      <c r="E1247" t="s">
        <v>1245</v>
      </c>
      <c r="F1247" t="s"/>
      <c r="G1247" t="s"/>
      <c r="H1247" t="s"/>
      <c r="I1247" t="s"/>
      <c r="J1247" t="n">
        <v>-0.1027</v>
      </c>
      <c r="K1247" t="n">
        <v>0.123</v>
      </c>
      <c r="L1247" t="n">
        <v>0.877</v>
      </c>
      <c r="M1247" t="n">
        <v>0</v>
      </c>
    </row>
    <row r="1248" spans="1:13">
      <c r="A1248" s="1">
        <f>HYPERLINK("http://www.twitter.com/NathanBLawrence/status/995612523129958400", "995612523129958400")</f>
        <v/>
      </c>
      <c r="B1248" s="2" t="n">
        <v>43233.43862268519</v>
      </c>
      <c r="C1248" t="n">
        <v>0</v>
      </c>
      <c r="D1248" t="n">
        <v>4</v>
      </c>
      <c r="E1248" t="s">
        <v>1246</v>
      </c>
      <c r="F1248" t="s"/>
      <c r="G1248" t="s"/>
      <c r="H1248" t="s"/>
      <c r="I1248" t="s"/>
      <c r="J1248" t="n">
        <v>0</v>
      </c>
      <c r="K1248" t="n">
        <v>0</v>
      </c>
      <c r="L1248" t="n">
        <v>1</v>
      </c>
      <c r="M1248" t="n">
        <v>0</v>
      </c>
    </row>
    <row r="1249" spans="1:13">
      <c r="A1249" s="1">
        <f>HYPERLINK("http://www.twitter.com/NathanBLawrence/status/995612471770656769", "995612471770656769")</f>
        <v/>
      </c>
      <c r="B1249" s="2" t="n">
        <v>43233.43848379629</v>
      </c>
      <c r="C1249" t="n">
        <v>0</v>
      </c>
      <c r="D1249" t="n">
        <v>18</v>
      </c>
      <c r="E1249" t="s">
        <v>1247</v>
      </c>
      <c r="F1249" t="s"/>
      <c r="G1249" t="s"/>
      <c r="H1249" t="s"/>
      <c r="I1249" t="s"/>
      <c r="J1249" t="n">
        <v>-0.8126</v>
      </c>
      <c r="K1249" t="n">
        <v>0.307</v>
      </c>
      <c r="L1249" t="n">
        <v>0.6929999999999999</v>
      </c>
      <c r="M1249" t="n">
        <v>0</v>
      </c>
    </row>
    <row r="1250" spans="1:13">
      <c r="A1250" s="1">
        <f>HYPERLINK("http://www.twitter.com/NathanBLawrence/status/995612411230130176", "995612411230130176")</f>
        <v/>
      </c>
      <c r="B1250" s="2" t="n">
        <v>43233.43832175926</v>
      </c>
      <c r="C1250" t="n">
        <v>1</v>
      </c>
      <c r="D1250" t="n">
        <v>0</v>
      </c>
      <c r="E1250" t="s">
        <v>1248</v>
      </c>
      <c r="F1250" t="s"/>
      <c r="G1250" t="s"/>
      <c r="H1250" t="s"/>
      <c r="I1250" t="s"/>
      <c r="J1250" t="n">
        <v>0</v>
      </c>
      <c r="K1250" t="n">
        <v>0</v>
      </c>
      <c r="L1250" t="n">
        <v>1</v>
      </c>
      <c r="M1250" t="n">
        <v>0</v>
      </c>
    </row>
    <row r="1251" spans="1:13">
      <c r="A1251" s="1">
        <f>HYPERLINK("http://www.twitter.com/NathanBLawrence/status/995612310768177153", "995612310768177153")</f>
        <v/>
      </c>
      <c r="B1251" s="2" t="n">
        <v>43233.43804398148</v>
      </c>
      <c r="C1251" t="n">
        <v>0</v>
      </c>
      <c r="D1251" t="n">
        <v>3</v>
      </c>
      <c r="E1251" t="s">
        <v>1249</v>
      </c>
      <c r="F1251" t="s"/>
      <c r="G1251" t="s"/>
      <c r="H1251" t="s"/>
      <c r="I1251" t="s"/>
      <c r="J1251" t="n">
        <v>0.6249</v>
      </c>
      <c r="K1251" t="n">
        <v>0</v>
      </c>
      <c r="L1251" t="n">
        <v>0.661</v>
      </c>
      <c r="M1251" t="n">
        <v>0.339</v>
      </c>
    </row>
    <row r="1252" spans="1:13">
      <c r="A1252" s="1">
        <f>HYPERLINK("http://www.twitter.com/NathanBLawrence/status/995612267969417216", "995612267969417216")</f>
        <v/>
      </c>
      <c r="B1252" s="2" t="n">
        <v>43233.43791666667</v>
      </c>
      <c r="C1252" t="n">
        <v>8</v>
      </c>
      <c r="D1252" t="n">
        <v>5</v>
      </c>
      <c r="E1252" t="s">
        <v>1250</v>
      </c>
      <c r="F1252" t="s"/>
      <c r="G1252" t="s"/>
      <c r="H1252" t="s"/>
      <c r="I1252" t="s"/>
      <c r="J1252" t="n">
        <v>-0.9006999999999999</v>
      </c>
      <c r="K1252" t="n">
        <v>0.256</v>
      </c>
      <c r="L1252" t="n">
        <v>0.744</v>
      </c>
      <c r="M1252" t="n">
        <v>0</v>
      </c>
    </row>
    <row r="1253" spans="1:13">
      <c r="A1253" s="1">
        <f>HYPERLINK("http://www.twitter.com/NathanBLawrence/status/995611290205872128", "995611290205872128")</f>
        <v/>
      </c>
      <c r="B1253" s="2" t="n">
        <v>43233.43521990741</v>
      </c>
      <c r="C1253" t="n">
        <v>0</v>
      </c>
      <c r="D1253" t="n">
        <v>0</v>
      </c>
      <c r="E1253" t="s">
        <v>1251</v>
      </c>
      <c r="F1253" t="s"/>
      <c r="G1253" t="s"/>
      <c r="H1253" t="s"/>
      <c r="I1253" t="s"/>
      <c r="J1253" t="n">
        <v>0</v>
      </c>
      <c r="K1253" t="n">
        <v>0</v>
      </c>
      <c r="L1253" t="n">
        <v>1</v>
      </c>
      <c r="M1253" t="n">
        <v>0</v>
      </c>
    </row>
    <row r="1254" spans="1:13">
      <c r="A1254" s="1">
        <f>HYPERLINK("http://www.twitter.com/NathanBLawrence/status/995605926337007617", "995605926337007617")</f>
        <v/>
      </c>
      <c r="B1254" s="2" t="n">
        <v>43233.42041666667</v>
      </c>
      <c r="C1254" t="n">
        <v>0</v>
      </c>
      <c r="D1254" t="n">
        <v>33</v>
      </c>
      <c r="E1254" t="s">
        <v>1252</v>
      </c>
      <c r="F1254" t="s"/>
      <c r="G1254" t="s"/>
      <c r="H1254" t="s"/>
      <c r="I1254" t="s"/>
      <c r="J1254" t="n">
        <v>-0.3818</v>
      </c>
      <c r="K1254" t="n">
        <v>0.11</v>
      </c>
      <c r="L1254" t="n">
        <v>0.89</v>
      </c>
      <c r="M1254" t="n">
        <v>0</v>
      </c>
    </row>
    <row r="1255" spans="1:13">
      <c r="A1255" s="1">
        <f>HYPERLINK("http://www.twitter.com/NathanBLawrence/status/995518839470329856", "995518839470329856")</f>
        <v/>
      </c>
      <c r="B1255" s="2" t="n">
        <v>43233.18010416667</v>
      </c>
      <c r="C1255" t="n">
        <v>0</v>
      </c>
      <c r="D1255" t="n">
        <v>131</v>
      </c>
      <c r="E1255" t="s">
        <v>1253</v>
      </c>
      <c r="F1255" t="s"/>
      <c r="G1255" t="s"/>
      <c r="H1255" t="s"/>
      <c r="I1255" t="s"/>
      <c r="J1255" t="n">
        <v>-0.7567</v>
      </c>
      <c r="K1255" t="n">
        <v>0.288</v>
      </c>
      <c r="L1255" t="n">
        <v>0.644</v>
      </c>
      <c r="M1255" t="n">
        <v>0.068</v>
      </c>
    </row>
    <row r="1256" spans="1:13">
      <c r="A1256" s="1">
        <f>HYPERLINK("http://www.twitter.com/NathanBLawrence/status/995518790665408512", "995518790665408512")</f>
        <v/>
      </c>
      <c r="B1256" s="2" t="n">
        <v>43233.17997685185</v>
      </c>
      <c r="C1256" t="n">
        <v>0</v>
      </c>
      <c r="D1256" t="n">
        <v>37</v>
      </c>
      <c r="E1256" t="s">
        <v>1254</v>
      </c>
      <c r="F1256" t="s"/>
      <c r="G1256" t="s"/>
      <c r="H1256" t="s"/>
      <c r="I1256" t="s"/>
      <c r="J1256" t="n">
        <v>-0.6115</v>
      </c>
      <c r="K1256" t="n">
        <v>0.16</v>
      </c>
      <c r="L1256" t="n">
        <v>0.84</v>
      </c>
      <c r="M1256" t="n">
        <v>0</v>
      </c>
    </row>
    <row r="1257" spans="1:13">
      <c r="A1257" s="1">
        <f>HYPERLINK("http://www.twitter.com/NathanBLawrence/status/995518752916672512", "995518752916672512")</f>
        <v/>
      </c>
      <c r="B1257" s="2" t="n">
        <v>43233.17987268518</v>
      </c>
      <c r="C1257" t="n">
        <v>0</v>
      </c>
      <c r="D1257" t="n">
        <v>52</v>
      </c>
      <c r="E1257" t="s">
        <v>1255</v>
      </c>
      <c r="F1257" t="s"/>
      <c r="G1257" t="s"/>
      <c r="H1257" t="s"/>
      <c r="I1257" t="s"/>
      <c r="J1257" t="n">
        <v>0.5994</v>
      </c>
      <c r="K1257" t="n">
        <v>0.073</v>
      </c>
      <c r="L1257" t="n">
        <v>0.694</v>
      </c>
      <c r="M1257" t="n">
        <v>0.233</v>
      </c>
    </row>
    <row r="1258" spans="1:13">
      <c r="A1258" s="1">
        <f>HYPERLINK("http://www.twitter.com/NathanBLawrence/status/995518550470250496", "995518550470250496")</f>
        <v/>
      </c>
      <c r="B1258" s="2" t="n">
        <v>43233.17930555555</v>
      </c>
      <c r="C1258" t="n">
        <v>0</v>
      </c>
      <c r="D1258" t="n">
        <v>81</v>
      </c>
      <c r="E1258" t="s">
        <v>1256</v>
      </c>
      <c r="F1258" t="s"/>
      <c r="G1258" t="s"/>
      <c r="H1258" t="s"/>
      <c r="I1258" t="s"/>
      <c r="J1258" t="n">
        <v>0</v>
      </c>
      <c r="K1258" t="n">
        <v>0</v>
      </c>
      <c r="L1258" t="n">
        <v>1</v>
      </c>
      <c r="M1258" t="n">
        <v>0</v>
      </c>
    </row>
    <row r="1259" spans="1:13">
      <c r="A1259" s="1">
        <f>HYPERLINK("http://www.twitter.com/NathanBLawrence/status/995518505830187008", "995518505830187008")</f>
        <v/>
      </c>
      <c r="B1259" s="2" t="n">
        <v>43233.17918981481</v>
      </c>
      <c r="C1259" t="n">
        <v>0</v>
      </c>
      <c r="D1259" t="n">
        <v>6</v>
      </c>
      <c r="E1259" t="s">
        <v>1257</v>
      </c>
      <c r="F1259" t="s"/>
      <c r="G1259" t="s"/>
      <c r="H1259" t="s"/>
      <c r="I1259" t="s"/>
      <c r="J1259" t="n">
        <v>0.6249</v>
      </c>
      <c r="K1259" t="n">
        <v>0</v>
      </c>
      <c r="L1259" t="n">
        <v>0.661</v>
      </c>
      <c r="M1259" t="n">
        <v>0.339</v>
      </c>
    </row>
    <row r="1260" spans="1:13">
      <c r="A1260" s="1">
        <f>HYPERLINK("http://www.twitter.com/NathanBLawrence/status/995518490684678146", "995518490684678146")</f>
        <v/>
      </c>
      <c r="B1260" s="2" t="n">
        <v>43233.17914351852</v>
      </c>
      <c r="C1260" t="n">
        <v>0</v>
      </c>
      <c r="D1260" t="n">
        <v>68</v>
      </c>
      <c r="E1260" t="s">
        <v>1258</v>
      </c>
      <c r="F1260" t="s"/>
      <c r="G1260" t="s"/>
      <c r="H1260" t="s"/>
      <c r="I1260" t="s"/>
      <c r="J1260" t="n">
        <v>0.6369</v>
      </c>
      <c r="K1260" t="n">
        <v>0</v>
      </c>
      <c r="L1260" t="n">
        <v>0.826</v>
      </c>
      <c r="M1260" t="n">
        <v>0.174</v>
      </c>
    </row>
    <row r="1261" spans="1:13">
      <c r="A1261" s="1">
        <f>HYPERLINK("http://www.twitter.com/NathanBLawrence/status/995518180062912513", "995518180062912513")</f>
        <v/>
      </c>
      <c r="B1261" s="2" t="n">
        <v>43233.17828703704</v>
      </c>
      <c r="C1261" t="n">
        <v>0</v>
      </c>
      <c r="D1261" t="n">
        <v>40</v>
      </c>
      <c r="E1261" t="s">
        <v>1259</v>
      </c>
      <c r="F1261" t="s"/>
      <c r="G1261" t="s"/>
      <c r="H1261" t="s"/>
      <c r="I1261" t="s"/>
      <c r="J1261" t="n">
        <v>-0.3818</v>
      </c>
      <c r="K1261" t="n">
        <v>0.211</v>
      </c>
      <c r="L1261" t="n">
        <v>0.669</v>
      </c>
      <c r="M1261" t="n">
        <v>0.12</v>
      </c>
    </row>
    <row r="1262" spans="1:13">
      <c r="A1262" s="1">
        <f>HYPERLINK("http://www.twitter.com/NathanBLawrence/status/995517892178345984", "995517892178345984")</f>
        <v/>
      </c>
      <c r="B1262" s="2" t="n">
        <v>43233.17748842593</v>
      </c>
      <c r="C1262" t="n">
        <v>0</v>
      </c>
      <c r="D1262" t="n">
        <v>9</v>
      </c>
      <c r="E1262" t="s">
        <v>1260</v>
      </c>
      <c r="F1262" t="s"/>
      <c r="G1262" t="s"/>
      <c r="H1262" t="s"/>
      <c r="I1262" t="s"/>
      <c r="J1262" t="n">
        <v>0.2732</v>
      </c>
      <c r="K1262" t="n">
        <v>0.063</v>
      </c>
      <c r="L1262" t="n">
        <v>0.821</v>
      </c>
      <c r="M1262" t="n">
        <v>0.116</v>
      </c>
    </row>
    <row r="1263" spans="1:13">
      <c r="A1263" s="1">
        <f>HYPERLINK("http://www.twitter.com/NathanBLawrence/status/995517772854693888", "995517772854693888")</f>
        <v/>
      </c>
      <c r="B1263" s="2" t="n">
        <v>43233.17716435185</v>
      </c>
      <c r="C1263" t="n">
        <v>12</v>
      </c>
      <c r="D1263" t="n">
        <v>9</v>
      </c>
      <c r="E1263" t="s">
        <v>1261</v>
      </c>
      <c r="F1263" t="s"/>
      <c r="G1263" t="s"/>
      <c r="H1263" t="s"/>
      <c r="I1263" t="s"/>
      <c r="J1263" t="n">
        <v>-0.129</v>
      </c>
      <c r="K1263" t="n">
        <v>0.096</v>
      </c>
      <c r="L1263" t="n">
        <v>0.82</v>
      </c>
      <c r="M1263" t="n">
        <v>0.08400000000000001</v>
      </c>
    </row>
    <row r="1264" spans="1:13">
      <c r="A1264" s="1">
        <f>HYPERLINK("http://www.twitter.com/NathanBLawrence/status/995516368467451904", "995516368467451904")</f>
        <v/>
      </c>
      <c r="B1264" s="2" t="n">
        <v>43233.17328703704</v>
      </c>
      <c r="C1264" t="n">
        <v>0</v>
      </c>
      <c r="D1264" t="n">
        <v>11</v>
      </c>
      <c r="E1264" t="s">
        <v>1262</v>
      </c>
      <c r="F1264">
        <f>HYPERLINK("http://pbs.twimg.com/media/DdBh1X9X4AA_CsJ.jpg", "http://pbs.twimg.com/media/DdBh1X9X4AA_CsJ.jpg")</f>
        <v/>
      </c>
      <c r="G1264" t="s"/>
      <c r="H1264" t="s"/>
      <c r="I1264" t="s"/>
      <c r="J1264" t="n">
        <v>-0.1027</v>
      </c>
      <c r="K1264" t="n">
        <v>0.117</v>
      </c>
      <c r="L1264" t="n">
        <v>0.78</v>
      </c>
      <c r="M1264" t="n">
        <v>0.103</v>
      </c>
    </row>
    <row r="1265" spans="1:13">
      <c r="A1265" s="1">
        <f>HYPERLINK("http://www.twitter.com/NathanBLawrence/status/995514768160165888", "995514768160165888")</f>
        <v/>
      </c>
      <c r="B1265" s="2" t="n">
        <v>43233.16887731481</v>
      </c>
      <c r="C1265" t="n">
        <v>0</v>
      </c>
      <c r="D1265" t="n">
        <v>3</v>
      </c>
      <c r="E1265" t="s">
        <v>1263</v>
      </c>
      <c r="F1265" t="s"/>
      <c r="G1265" t="s"/>
      <c r="H1265" t="s"/>
      <c r="I1265" t="s"/>
      <c r="J1265" t="n">
        <v>-0.8655</v>
      </c>
      <c r="K1265" t="n">
        <v>0.338</v>
      </c>
      <c r="L1265" t="n">
        <v>0.662</v>
      </c>
      <c r="M1265" t="n">
        <v>0</v>
      </c>
    </row>
    <row r="1266" spans="1:13">
      <c r="A1266" s="1">
        <f>HYPERLINK("http://www.twitter.com/NathanBLawrence/status/995514303183761409", "995514303183761409")</f>
        <v/>
      </c>
      <c r="B1266" s="2" t="n">
        <v>43233.1675925926</v>
      </c>
      <c r="C1266" t="n">
        <v>0</v>
      </c>
      <c r="D1266" t="n">
        <v>10</v>
      </c>
      <c r="E1266" t="s">
        <v>1264</v>
      </c>
      <c r="F1266">
        <f>HYPERLINK("http://pbs.twimg.com/media/DdAQM87VwAEHYMz.jpg", "http://pbs.twimg.com/media/DdAQM87VwAEHYMz.jpg")</f>
        <v/>
      </c>
      <c r="G1266" t="s"/>
      <c r="H1266" t="s"/>
      <c r="I1266" t="s"/>
      <c r="J1266" t="n">
        <v>0</v>
      </c>
      <c r="K1266" t="n">
        <v>0</v>
      </c>
      <c r="L1266" t="n">
        <v>1</v>
      </c>
      <c r="M1266" t="n">
        <v>0</v>
      </c>
    </row>
    <row r="1267" spans="1:13">
      <c r="A1267" s="1">
        <f>HYPERLINK("http://www.twitter.com/NathanBLawrence/status/995511481335795712", "995511481335795712")</f>
        <v/>
      </c>
      <c r="B1267" s="2" t="n">
        <v>43233.15980324074</v>
      </c>
      <c r="C1267" t="n">
        <v>0</v>
      </c>
      <c r="D1267" t="n">
        <v>5</v>
      </c>
      <c r="E1267" t="s">
        <v>1265</v>
      </c>
      <c r="F1267">
        <f>HYPERLINK("http://pbs.twimg.com/media/DdDEXjpX0AAcLFc.jpg", "http://pbs.twimg.com/media/DdDEXjpX0AAcLFc.jpg")</f>
        <v/>
      </c>
      <c r="G1267" t="s"/>
      <c r="H1267" t="s"/>
      <c r="I1267" t="s"/>
      <c r="J1267" t="n">
        <v>0</v>
      </c>
      <c r="K1267" t="n">
        <v>0</v>
      </c>
      <c r="L1267" t="n">
        <v>1</v>
      </c>
      <c r="M1267" t="n">
        <v>0</v>
      </c>
    </row>
    <row r="1268" spans="1:13">
      <c r="A1268" s="1">
        <f>HYPERLINK("http://www.twitter.com/NathanBLawrence/status/995511453644967936", "995511453644967936")</f>
        <v/>
      </c>
      <c r="B1268" s="2" t="n">
        <v>43233.15972222222</v>
      </c>
      <c r="C1268" t="n">
        <v>7</v>
      </c>
      <c r="D1268" t="n">
        <v>5</v>
      </c>
      <c r="E1268" t="s">
        <v>1266</v>
      </c>
      <c r="F1268">
        <f>HYPERLINK("http://pbs.twimg.com/media/DdDEXjpX0AAcLFc.jpg", "http://pbs.twimg.com/media/DdDEXjpX0AAcLFc.jpg")</f>
        <v/>
      </c>
      <c r="G1268" t="s"/>
      <c r="H1268" t="s"/>
      <c r="I1268" t="s"/>
      <c r="J1268" t="n">
        <v>0</v>
      </c>
      <c r="K1268" t="n">
        <v>0</v>
      </c>
      <c r="L1268" t="n">
        <v>1</v>
      </c>
      <c r="M1268" t="n">
        <v>0</v>
      </c>
    </row>
    <row r="1269" spans="1:13">
      <c r="A1269" s="1">
        <f>HYPERLINK("http://www.twitter.com/NathanBLawrence/status/995502447731802112", "995502447731802112")</f>
        <v/>
      </c>
      <c r="B1269" s="2" t="n">
        <v>43233.13487268519</v>
      </c>
      <c r="C1269" t="n">
        <v>0</v>
      </c>
      <c r="D1269" t="n">
        <v>8</v>
      </c>
      <c r="E1269" t="s">
        <v>1267</v>
      </c>
      <c r="F1269">
        <f>HYPERLINK("http://pbs.twimg.com/media/DdCtiQqV0AALdRk.jpg", "http://pbs.twimg.com/media/DdCtiQqV0AALdRk.jpg")</f>
        <v/>
      </c>
      <c r="G1269" t="s"/>
      <c r="H1269" t="s"/>
      <c r="I1269" t="s"/>
      <c r="J1269" t="n">
        <v>-0.4648</v>
      </c>
      <c r="K1269" t="n">
        <v>0.132</v>
      </c>
      <c r="L1269" t="n">
        <v>0.868</v>
      </c>
      <c r="M1269" t="n">
        <v>0</v>
      </c>
    </row>
    <row r="1270" spans="1:13">
      <c r="A1270" s="1">
        <f>HYPERLINK("http://www.twitter.com/NathanBLawrence/status/995498439873105920", "995498439873105920")</f>
        <v/>
      </c>
      <c r="B1270" s="2" t="n">
        <v>43233.12381944444</v>
      </c>
      <c r="C1270" t="n">
        <v>0</v>
      </c>
      <c r="D1270" t="n">
        <v>7</v>
      </c>
      <c r="E1270" t="s">
        <v>1268</v>
      </c>
      <c r="F1270" t="s"/>
      <c r="G1270" t="s"/>
      <c r="H1270" t="s"/>
      <c r="I1270" t="s"/>
      <c r="J1270" t="n">
        <v>-0.4019</v>
      </c>
      <c r="K1270" t="n">
        <v>0.252</v>
      </c>
      <c r="L1270" t="n">
        <v>0.748</v>
      </c>
      <c r="M1270" t="n">
        <v>0</v>
      </c>
    </row>
    <row r="1271" spans="1:13">
      <c r="A1271" s="1">
        <f>HYPERLINK("http://www.twitter.com/NathanBLawrence/status/995495576400744448", "995495576400744448")</f>
        <v/>
      </c>
      <c r="B1271" s="2" t="n">
        <v>43233.11591435185</v>
      </c>
      <c r="C1271" t="n">
        <v>0</v>
      </c>
      <c r="D1271" t="n">
        <v>0</v>
      </c>
      <c r="E1271" t="s">
        <v>1269</v>
      </c>
      <c r="F1271" t="s"/>
      <c r="G1271" t="s"/>
      <c r="H1271" t="s"/>
      <c r="I1271" t="s"/>
      <c r="J1271" t="n">
        <v>0</v>
      </c>
      <c r="K1271" t="n">
        <v>0</v>
      </c>
      <c r="L1271" t="n">
        <v>1</v>
      </c>
      <c r="M1271" t="n">
        <v>0</v>
      </c>
    </row>
    <row r="1272" spans="1:13">
      <c r="A1272" s="1">
        <f>HYPERLINK("http://www.twitter.com/NathanBLawrence/status/995447862715715584", "995447862715715584")</f>
        <v/>
      </c>
      <c r="B1272" s="2" t="n">
        <v>43232.98424768518</v>
      </c>
      <c r="C1272" t="n">
        <v>1</v>
      </c>
      <c r="D1272" t="n">
        <v>1</v>
      </c>
      <c r="E1272" t="s">
        <v>1270</v>
      </c>
      <c r="F1272" t="s"/>
      <c r="G1272" t="s"/>
      <c r="H1272" t="s"/>
      <c r="I1272" t="s"/>
      <c r="J1272" t="n">
        <v>0.4926</v>
      </c>
      <c r="K1272" t="n">
        <v>0</v>
      </c>
      <c r="L1272" t="n">
        <v>0.79</v>
      </c>
      <c r="M1272" t="n">
        <v>0.21</v>
      </c>
    </row>
    <row r="1273" spans="1:13">
      <c r="A1273" s="1">
        <f>HYPERLINK("http://www.twitter.com/NathanBLawrence/status/995436936834805760", "995436936834805760")</f>
        <v/>
      </c>
      <c r="B1273" s="2" t="n">
        <v>43232.95409722222</v>
      </c>
      <c r="C1273" t="n">
        <v>0</v>
      </c>
      <c r="D1273" t="n">
        <v>14</v>
      </c>
      <c r="E1273" t="s">
        <v>1271</v>
      </c>
      <c r="F1273">
        <f>HYPERLINK("http://pbs.twimg.com/media/DdBJcgjVMAAZeSX.jpg", "http://pbs.twimg.com/media/DdBJcgjVMAAZeSX.jpg")</f>
        <v/>
      </c>
      <c r="G1273" t="s"/>
      <c r="H1273" t="s"/>
      <c r="I1273" t="s"/>
      <c r="J1273" t="n">
        <v>0</v>
      </c>
      <c r="K1273" t="n">
        <v>0</v>
      </c>
      <c r="L1273" t="n">
        <v>1</v>
      </c>
      <c r="M1273" t="n">
        <v>0</v>
      </c>
    </row>
    <row r="1274" spans="1:13">
      <c r="A1274" s="1">
        <f>HYPERLINK("http://www.twitter.com/NathanBLawrence/status/995436308599320576", "995436308599320576")</f>
        <v/>
      </c>
      <c r="B1274" s="2" t="n">
        <v>43232.95236111111</v>
      </c>
      <c r="C1274" t="n">
        <v>0</v>
      </c>
      <c r="D1274" t="n">
        <v>16</v>
      </c>
      <c r="E1274" t="s">
        <v>1272</v>
      </c>
      <c r="F1274" t="s"/>
      <c r="G1274" t="s"/>
      <c r="H1274" t="s"/>
      <c r="I1274" t="s"/>
      <c r="J1274" t="n">
        <v>-0.0258</v>
      </c>
      <c r="K1274" t="n">
        <v>0.105</v>
      </c>
      <c r="L1274" t="n">
        <v>0.795</v>
      </c>
      <c r="M1274" t="n">
        <v>0.1</v>
      </c>
    </row>
    <row r="1275" spans="1:13">
      <c r="A1275" s="1">
        <f>HYPERLINK("http://www.twitter.com/NathanBLawrence/status/995436260528394246", "995436260528394246")</f>
        <v/>
      </c>
      <c r="B1275" s="2" t="n">
        <v>43232.9522337963</v>
      </c>
      <c r="C1275" t="n">
        <v>0</v>
      </c>
      <c r="D1275" t="n">
        <v>7</v>
      </c>
      <c r="E1275" t="s">
        <v>1273</v>
      </c>
      <c r="F1275" t="s"/>
      <c r="G1275" t="s"/>
      <c r="H1275" t="s"/>
      <c r="I1275" t="s"/>
      <c r="J1275" t="n">
        <v>0.5719</v>
      </c>
      <c r="K1275" t="n">
        <v>0</v>
      </c>
      <c r="L1275" t="n">
        <v>0.821</v>
      </c>
      <c r="M1275" t="n">
        <v>0.179</v>
      </c>
    </row>
    <row r="1276" spans="1:13">
      <c r="A1276" s="1">
        <f>HYPERLINK("http://www.twitter.com/NathanBLawrence/status/995436212482539520", "995436212482539520")</f>
        <v/>
      </c>
      <c r="B1276" s="2" t="n">
        <v>43232.95210648148</v>
      </c>
      <c r="C1276" t="n">
        <v>0</v>
      </c>
      <c r="D1276" t="n">
        <v>24</v>
      </c>
      <c r="E1276" t="s">
        <v>1274</v>
      </c>
      <c r="F1276" t="s"/>
      <c r="G1276" t="s"/>
      <c r="H1276" t="s"/>
      <c r="I1276" t="s"/>
      <c r="J1276" t="n">
        <v>0.2023</v>
      </c>
      <c r="K1276" t="n">
        <v>0</v>
      </c>
      <c r="L1276" t="n">
        <v>0.921</v>
      </c>
      <c r="M1276" t="n">
        <v>0.079</v>
      </c>
    </row>
    <row r="1277" spans="1:13">
      <c r="A1277" s="1">
        <f>HYPERLINK("http://www.twitter.com/NathanBLawrence/status/995397847058124804", "995397847058124804")</f>
        <v/>
      </c>
      <c r="B1277" s="2" t="n">
        <v>43232.84622685185</v>
      </c>
      <c r="C1277" t="n">
        <v>10</v>
      </c>
      <c r="D1277" t="n">
        <v>7</v>
      </c>
      <c r="E1277" t="s">
        <v>1275</v>
      </c>
      <c r="F1277" t="s"/>
      <c r="G1277" t="s"/>
      <c r="H1277" t="s"/>
      <c r="I1277" t="s"/>
      <c r="J1277" t="n">
        <v>0.7096</v>
      </c>
      <c r="K1277" t="n">
        <v>0.046</v>
      </c>
      <c r="L1277" t="n">
        <v>0.787</v>
      </c>
      <c r="M1277" t="n">
        <v>0.168</v>
      </c>
    </row>
    <row r="1278" spans="1:13">
      <c r="A1278" s="1">
        <f>HYPERLINK("http://www.twitter.com/NathanBLawrence/status/995368877176578048", "995368877176578048")</f>
        <v/>
      </c>
      <c r="B1278" s="2" t="n">
        <v>43232.76629629629</v>
      </c>
      <c r="C1278" t="n">
        <v>0</v>
      </c>
      <c r="D1278" t="n">
        <v>15</v>
      </c>
      <c r="E1278" t="s">
        <v>1276</v>
      </c>
      <c r="F1278" t="s"/>
      <c r="G1278" t="s"/>
      <c r="H1278" t="s"/>
      <c r="I1278" t="s"/>
      <c r="J1278" t="n">
        <v>-0.631</v>
      </c>
      <c r="K1278" t="n">
        <v>0.172</v>
      </c>
      <c r="L1278" t="n">
        <v>0.828</v>
      </c>
      <c r="M1278" t="n">
        <v>0</v>
      </c>
    </row>
    <row r="1279" spans="1:13">
      <c r="A1279" s="1">
        <f>HYPERLINK("http://www.twitter.com/NathanBLawrence/status/995368515375976448", "995368515375976448")</f>
        <v/>
      </c>
      <c r="B1279" s="2" t="n">
        <v>43232.76528935185</v>
      </c>
      <c r="C1279" t="n">
        <v>17</v>
      </c>
      <c r="D1279" t="n">
        <v>15</v>
      </c>
      <c r="E1279" t="s">
        <v>1277</v>
      </c>
      <c r="F1279" t="s"/>
      <c r="G1279" t="s"/>
      <c r="H1279" t="s"/>
      <c r="I1279" t="s"/>
      <c r="J1279" t="n">
        <v>0.3221</v>
      </c>
      <c r="K1279" t="n">
        <v>0.089</v>
      </c>
      <c r="L1279" t="n">
        <v>0.794</v>
      </c>
      <c r="M1279" t="n">
        <v>0.117</v>
      </c>
    </row>
    <row r="1280" spans="1:13">
      <c r="A1280" s="1">
        <f>HYPERLINK("http://www.twitter.com/NathanBLawrence/status/995367069720989701", "995367069720989701")</f>
        <v/>
      </c>
      <c r="B1280" s="2" t="n">
        <v>43232.76130787037</v>
      </c>
      <c r="C1280" t="n">
        <v>0</v>
      </c>
      <c r="D1280" t="n">
        <v>10</v>
      </c>
      <c r="E1280" t="s">
        <v>1278</v>
      </c>
      <c r="F1280">
        <f>HYPERLINK("http://pbs.twimg.com/media/DdBBBYgU0AEih30.jpg", "http://pbs.twimg.com/media/DdBBBYgU0AEih30.jpg")</f>
        <v/>
      </c>
      <c r="G1280" t="s"/>
      <c r="H1280" t="s"/>
      <c r="I1280" t="s"/>
      <c r="J1280" t="n">
        <v>0</v>
      </c>
      <c r="K1280" t="n">
        <v>0</v>
      </c>
      <c r="L1280" t="n">
        <v>1</v>
      </c>
      <c r="M1280" t="n">
        <v>0</v>
      </c>
    </row>
    <row r="1281" spans="1:13">
      <c r="A1281" s="1">
        <f>HYPERLINK("http://www.twitter.com/NathanBLawrence/status/995367019557085184", "995367019557085184")</f>
        <v/>
      </c>
      <c r="B1281" s="2" t="n">
        <v>43232.76116898148</v>
      </c>
      <c r="C1281" t="n">
        <v>13</v>
      </c>
      <c r="D1281" t="n">
        <v>10</v>
      </c>
      <c r="E1281" t="s">
        <v>1279</v>
      </c>
      <c r="F1281">
        <f>HYPERLINK("http://pbs.twimg.com/media/DdBBBYgU0AEih30.jpg", "http://pbs.twimg.com/media/DdBBBYgU0AEih30.jpg")</f>
        <v/>
      </c>
      <c r="G1281" t="s"/>
      <c r="H1281" t="s"/>
      <c r="I1281" t="s"/>
      <c r="J1281" t="n">
        <v>-0.5792</v>
      </c>
      <c r="K1281" t="n">
        <v>0.074</v>
      </c>
      <c r="L1281" t="n">
        <v>0.926</v>
      </c>
      <c r="M1281" t="n">
        <v>0</v>
      </c>
    </row>
    <row r="1282" spans="1:13">
      <c r="A1282" s="1">
        <f>HYPERLINK("http://www.twitter.com/NathanBLawrence/status/995357525464813568", "995357525464813568")</f>
        <v/>
      </c>
      <c r="B1282" s="2" t="n">
        <v>43232.73496527778</v>
      </c>
      <c r="C1282" t="n">
        <v>0</v>
      </c>
      <c r="D1282" t="n">
        <v>12</v>
      </c>
      <c r="E1282" t="s">
        <v>1280</v>
      </c>
      <c r="F1282" t="s"/>
      <c r="G1282" t="s"/>
      <c r="H1282" t="s"/>
      <c r="I1282" t="s"/>
      <c r="J1282" t="n">
        <v>-0.1531</v>
      </c>
      <c r="K1282" t="n">
        <v>0.091</v>
      </c>
      <c r="L1282" t="n">
        <v>0.909</v>
      </c>
      <c r="M1282" t="n">
        <v>0</v>
      </c>
    </row>
    <row r="1283" spans="1:13">
      <c r="A1283" s="1">
        <f>HYPERLINK("http://www.twitter.com/NathanBLawrence/status/995356829701074944", "995356829701074944")</f>
        <v/>
      </c>
      <c r="B1283" s="2" t="n">
        <v>43232.73304398148</v>
      </c>
      <c r="C1283" t="n">
        <v>0</v>
      </c>
      <c r="D1283" t="n">
        <v>2</v>
      </c>
      <c r="E1283" t="s">
        <v>1281</v>
      </c>
      <c r="F1283" t="s"/>
      <c r="G1283" t="s"/>
      <c r="H1283" t="s"/>
      <c r="I1283" t="s"/>
      <c r="J1283" t="n">
        <v>-0.7269</v>
      </c>
      <c r="K1283" t="n">
        <v>0.283</v>
      </c>
      <c r="L1283" t="n">
        <v>0.717</v>
      </c>
      <c r="M1283" t="n">
        <v>0</v>
      </c>
    </row>
    <row r="1284" spans="1:13">
      <c r="A1284" s="1">
        <f>HYPERLINK("http://www.twitter.com/NathanBLawrence/status/995356732544159744", "995356732544159744")</f>
        <v/>
      </c>
      <c r="B1284" s="2" t="n">
        <v>43232.73277777778</v>
      </c>
      <c r="C1284" t="n">
        <v>0</v>
      </c>
      <c r="D1284" t="n">
        <v>10</v>
      </c>
      <c r="E1284" t="s">
        <v>1282</v>
      </c>
      <c r="F1284">
        <f>HYPERLINK("http://pbs.twimg.com/media/Dc_xeNSVQAAbpb9.jpg", "http://pbs.twimg.com/media/Dc_xeNSVQAAbpb9.jpg")</f>
        <v/>
      </c>
      <c r="G1284" t="s"/>
      <c r="H1284" t="s"/>
      <c r="I1284" t="s"/>
      <c r="J1284" t="n">
        <v>0</v>
      </c>
      <c r="K1284" t="n">
        <v>0</v>
      </c>
      <c r="L1284" t="n">
        <v>1</v>
      </c>
      <c r="M1284" t="n">
        <v>0</v>
      </c>
    </row>
    <row r="1285" spans="1:13">
      <c r="A1285" s="1">
        <f>HYPERLINK("http://www.twitter.com/NathanBLawrence/status/995356634007384065", "995356634007384065")</f>
        <v/>
      </c>
      <c r="B1285" s="2" t="n">
        <v>43232.73251157408</v>
      </c>
      <c r="C1285" t="n">
        <v>2</v>
      </c>
      <c r="D1285" t="n">
        <v>0</v>
      </c>
      <c r="E1285" t="s">
        <v>1283</v>
      </c>
      <c r="F1285" t="s"/>
      <c r="G1285" t="s"/>
      <c r="H1285" t="s"/>
      <c r="I1285" t="s"/>
      <c r="J1285" t="n">
        <v>0</v>
      </c>
      <c r="K1285" t="n">
        <v>0</v>
      </c>
      <c r="L1285" t="n">
        <v>1</v>
      </c>
      <c r="M1285" t="n">
        <v>0</v>
      </c>
    </row>
    <row r="1286" spans="1:13">
      <c r="A1286" s="1">
        <f>HYPERLINK("http://www.twitter.com/NathanBLawrence/status/995352788816232449", "995352788816232449")</f>
        <v/>
      </c>
      <c r="B1286" s="2" t="n">
        <v>43232.72189814815</v>
      </c>
      <c r="C1286" t="n">
        <v>0</v>
      </c>
      <c r="D1286" t="n">
        <v>33</v>
      </c>
      <c r="E1286" t="s">
        <v>1284</v>
      </c>
      <c r="F1286">
        <f>HYPERLINK("http://pbs.twimg.com/media/DcmEK5wWsAUm-8m.jpg", "http://pbs.twimg.com/media/DcmEK5wWsAUm-8m.jpg")</f>
        <v/>
      </c>
      <c r="G1286" t="s"/>
      <c r="H1286" t="s"/>
      <c r="I1286" t="s"/>
      <c r="J1286" t="n">
        <v>0</v>
      </c>
      <c r="K1286" t="n">
        <v>0</v>
      </c>
      <c r="L1286" t="n">
        <v>1</v>
      </c>
      <c r="M1286" t="n">
        <v>0</v>
      </c>
    </row>
    <row r="1287" spans="1:13">
      <c r="A1287" s="1">
        <f>HYPERLINK("http://www.twitter.com/NathanBLawrence/status/995341134128996353", "995341134128996353")</f>
        <v/>
      </c>
      <c r="B1287" s="2" t="n">
        <v>43232.68973379629</v>
      </c>
      <c r="C1287" t="n">
        <v>1</v>
      </c>
      <c r="D1287" t="n">
        <v>0</v>
      </c>
      <c r="E1287" t="s">
        <v>1285</v>
      </c>
      <c r="F1287">
        <f>HYPERLINK("http://pbs.twimg.com/media/DdApdTtX4AEHAN-.jpg", "http://pbs.twimg.com/media/DdApdTtX4AEHAN-.jpg")</f>
        <v/>
      </c>
      <c r="G1287" t="s"/>
      <c r="H1287" t="s"/>
      <c r="I1287" t="s"/>
      <c r="J1287" t="n">
        <v>0</v>
      </c>
      <c r="K1287" t="n">
        <v>0</v>
      </c>
      <c r="L1287" t="n">
        <v>1</v>
      </c>
      <c r="M1287" t="n">
        <v>0</v>
      </c>
    </row>
    <row r="1288" spans="1:13">
      <c r="A1288" s="1">
        <f>HYPERLINK("http://www.twitter.com/NathanBLawrence/status/995340978155384839", "995340978155384839")</f>
        <v/>
      </c>
      <c r="B1288" s="2" t="n">
        <v>43232.68930555556</v>
      </c>
      <c r="C1288" t="n">
        <v>0</v>
      </c>
      <c r="D1288" t="n">
        <v>0</v>
      </c>
      <c r="E1288" t="s">
        <v>1286</v>
      </c>
      <c r="F1288" t="s"/>
      <c r="G1288" t="s"/>
      <c r="H1288" t="s"/>
      <c r="I1288" t="s"/>
      <c r="J1288" t="n">
        <v>0</v>
      </c>
      <c r="K1288" t="n">
        <v>0</v>
      </c>
      <c r="L1288" t="n">
        <v>1</v>
      </c>
      <c r="M1288" t="n">
        <v>0</v>
      </c>
    </row>
    <row r="1289" spans="1:13">
      <c r="A1289" s="1">
        <f>HYPERLINK("http://www.twitter.com/NathanBLawrence/status/995340546884370432", "995340546884370432")</f>
        <v/>
      </c>
      <c r="B1289" s="2" t="n">
        <v>43232.68811342592</v>
      </c>
      <c r="C1289" t="n">
        <v>1</v>
      </c>
      <c r="D1289" t="n">
        <v>0</v>
      </c>
      <c r="E1289" t="s">
        <v>1287</v>
      </c>
      <c r="F1289">
        <f>HYPERLINK("http://pbs.twimg.com/media/DdAo8Q1WAAE_2ju.jpg", "http://pbs.twimg.com/media/DdAo8Q1WAAE_2ju.jpg")</f>
        <v/>
      </c>
      <c r="G1289" t="s"/>
      <c r="H1289" t="s"/>
      <c r="I1289" t="s"/>
      <c r="J1289" t="n">
        <v>0</v>
      </c>
      <c r="K1289" t="n">
        <v>0</v>
      </c>
      <c r="L1289" t="n">
        <v>1</v>
      </c>
      <c r="M1289" t="n">
        <v>0</v>
      </c>
    </row>
    <row r="1290" spans="1:13">
      <c r="A1290" s="1">
        <f>HYPERLINK("http://www.twitter.com/NathanBLawrence/status/995340256848351232", "995340256848351232")</f>
        <v/>
      </c>
      <c r="B1290" s="2" t="n">
        <v>43232.68731481482</v>
      </c>
      <c r="C1290" t="n">
        <v>0</v>
      </c>
      <c r="D1290" t="n">
        <v>0</v>
      </c>
      <c r="E1290" t="s">
        <v>1288</v>
      </c>
      <c r="F1290">
        <f>HYPERLINK("http://pbs.twimg.com/media/DdAorauW4AE_DO8.jpg", "http://pbs.twimg.com/media/DdAorauW4AE_DO8.jpg")</f>
        <v/>
      </c>
      <c r="G1290" t="s"/>
      <c r="H1290" t="s"/>
      <c r="I1290" t="s"/>
      <c r="J1290" t="n">
        <v>0</v>
      </c>
      <c r="K1290" t="n">
        <v>0</v>
      </c>
      <c r="L1290" t="n">
        <v>1</v>
      </c>
      <c r="M1290" t="n">
        <v>0</v>
      </c>
    </row>
    <row r="1291" spans="1:13">
      <c r="A1291" s="1">
        <f>HYPERLINK("http://www.twitter.com/NathanBLawrence/status/995340092414812160", "995340092414812160")</f>
        <v/>
      </c>
      <c r="B1291" s="2" t="n">
        <v>43232.68686342592</v>
      </c>
      <c r="C1291" t="n">
        <v>2</v>
      </c>
      <c r="D1291" t="n">
        <v>0</v>
      </c>
      <c r="E1291" t="s">
        <v>1289</v>
      </c>
      <c r="F1291">
        <f>HYPERLINK("http://pbs.twimg.com/media/DdAohSQXkAIB7Z_.jpg", "http://pbs.twimg.com/media/DdAohSQXkAIB7Z_.jpg")</f>
        <v/>
      </c>
      <c r="G1291" t="s"/>
      <c r="H1291" t="s"/>
      <c r="I1291" t="s"/>
      <c r="J1291" t="n">
        <v>0</v>
      </c>
      <c r="K1291" t="n">
        <v>0</v>
      </c>
      <c r="L1291" t="n">
        <v>1</v>
      </c>
      <c r="M1291" t="n">
        <v>0</v>
      </c>
    </row>
    <row r="1292" spans="1:13">
      <c r="A1292" s="1">
        <f>HYPERLINK("http://www.twitter.com/NathanBLawrence/status/995199437864566784", "995199437864566784")</f>
        <v/>
      </c>
      <c r="B1292" s="2" t="n">
        <v>43232.29872685186</v>
      </c>
      <c r="C1292" t="n">
        <v>0</v>
      </c>
      <c r="D1292" t="n">
        <v>31123</v>
      </c>
      <c r="E1292" t="s">
        <v>1290</v>
      </c>
      <c r="F1292" t="s"/>
      <c r="G1292" t="s"/>
      <c r="H1292" t="s"/>
      <c r="I1292" t="s"/>
      <c r="J1292" t="n">
        <v>0.636</v>
      </c>
      <c r="K1292" t="n">
        <v>0</v>
      </c>
      <c r="L1292" t="n">
        <v>0.819</v>
      </c>
      <c r="M1292" t="n">
        <v>0.181</v>
      </c>
    </row>
    <row r="1293" spans="1:13">
      <c r="A1293" s="1">
        <f>HYPERLINK("http://www.twitter.com/NathanBLawrence/status/995199092711153664", "995199092711153664")</f>
        <v/>
      </c>
      <c r="B1293" s="2" t="n">
        <v>43232.29777777778</v>
      </c>
      <c r="C1293" t="n">
        <v>0</v>
      </c>
      <c r="D1293" t="n">
        <v>136</v>
      </c>
      <c r="E1293" t="s">
        <v>1291</v>
      </c>
      <c r="F1293" t="s"/>
      <c r="G1293" t="s"/>
      <c r="H1293" t="s"/>
      <c r="I1293" t="s"/>
      <c r="J1293" t="n">
        <v>0.5423</v>
      </c>
      <c r="K1293" t="n">
        <v>0</v>
      </c>
      <c r="L1293" t="n">
        <v>0.824</v>
      </c>
      <c r="M1293" t="n">
        <v>0.176</v>
      </c>
    </row>
    <row r="1294" spans="1:13">
      <c r="A1294" s="1">
        <f>HYPERLINK("http://www.twitter.com/NathanBLawrence/status/995198251358932992", "995198251358932992")</f>
        <v/>
      </c>
      <c r="B1294" s="2" t="n">
        <v>43232.29545138889</v>
      </c>
      <c r="C1294" t="n">
        <v>0</v>
      </c>
      <c r="D1294" t="n">
        <v>3</v>
      </c>
      <c r="E1294" t="s">
        <v>1292</v>
      </c>
      <c r="F1294" t="s"/>
      <c r="G1294" t="s"/>
      <c r="H1294" t="s"/>
      <c r="I1294" t="s"/>
      <c r="J1294" t="n">
        <v>-0.6977</v>
      </c>
      <c r="K1294" t="n">
        <v>0.216</v>
      </c>
      <c r="L1294" t="n">
        <v>0.784</v>
      </c>
      <c r="M1294" t="n">
        <v>0</v>
      </c>
    </row>
    <row r="1295" spans="1:13">
      <c r="A1295" s="1">
        <f>HYPERLINK("http://www.twitter.com/NathanBLawrence/status/995197711161970688", "995197711161970688")</f>
        <v/>
      </c>
      <c r="B1295" s="2" t="n">
        <v>43232.29395833334</v>
      </c>
      <c r="C1295" t="n">
        <v>0</v>
      </c>
      <c r="D1295" t="n">
        <v>52</v>
      </c>
      <c r="E1295" t="s">
        <v>1293</v>
      </c>
      <c r="F1295" t="s"/>
      <c r="G1295" t="s"/>
      <c r="H1295" t="s"/>
      <c r="I1295" t="s"/>
      <c r="J1295" t="n">
        <v>-0.8979</v>
      </c>
      <c r="K1295" t="n">
        <v>0.459</v>
      </c>
      <c r="L1295" t="n">
        <v>0.541</v>
      </c>
      <c r="M1295" t="n">
        <v>0</v>
      </c>
    </row>
    <row r="1296" spans="1:13">
      <c r="A1296" s="1">
        <f>HYPERLINK("http://www.twitter.com/NathanBLawrence/status/995168385758564352", "995168385758564352")</f>
        <v/>
      </c>
      <c r="B1296" s="2" t="n">
        <v>43232.21304398148</v>
      </c>
      <c r="C1296" t="n">
        <v>11</v>
      </c>
      <c r="D1296" t="n">
        <v>4</v>
      </c>
      <c r="E1296" t="s">
        <v>1294</v>
      </c>
      <c r="F1296">
        <f>HYPERLINK("http://pbs.twimg.com/media/Dc-MXGcV4AAN4CJ.jpg", "http://pbs.twimg.com/media/Dc-MXGcV4AAN4CJ.jpg")</f>
        <v/>
      </c>
      <c r="G1296" t="s"/>
      <c r="H1296" t="s"/>
      <c r="I1296" t="s"/>
      <c r="J1296" t="n">
        <v>0</v>
      </c>
      <c r="K1296" t="n">
        <v>0</v>
      </c>
      <c r="L1296" t="n">
        <v>1</v>
      </c>
      <c r="M1296" t="n">
        <v>0</v>
      </c>
    </row>
    <row r="1297" spans="1:13">
      <c r="A1297" s="1">
        <f>HYPERLINK("http://www.twitter.com/NathanBLawrence/status/995154145576337408", "995154145576337408")</f>
        <v/>
      </c>
      <c r="B1297" s="2" t="n">
        <v>43232.17375</v>
      </c>
      <c r="C1297" t="n">
        <v>0</v>
      </c>
      <c r="D1297" t="n">
        <v>7</v>
      </c>
      <c r="E1297" t="s">
        <v>1295</v>
      </c>
      <c r="F1297" t="s"/>
      <c r="G1297" t="s"/>
      <c r="H1297" t="s"/>
      <c r="I1297" t="s"/>
      <c r="J1297" t="n">
        <v>0.0762</v>
      </c>
      <c r="K1297" t="n">
        <v>0</v>
      </c>
      <c r="L1297" t="n">
        <v>0.947</v>
      </c>
      <c r="M1297" t="n">
        <v>0.053</v>
      </c>
    </row>
    <row r="1298" spans="1:13">
      <c r="A1298" s="1">
        <f>HYPERLINK("http://www.twitter.com/NathanBLawrence/status/995153481131528192", "995153481131528192")</f>
        <v/>
      </c>
      <c r="B1298" s="2" t="n">
        <v>43232.17190972222</v>
      </c>
      <c r="C1298" t="n">
        <v>0</v>
      </c>
      <c r="D1298" t="n">
        <v>33</v>
      </c>
      <c r="E1298" t="s">
        <v>1296</v>
      </c>
      <c r="F1298" t="s"/>
      <c r="G1298" t="s"/>
      <c r="H1298" t="s"/>
      <c r="I1298" t="s"/>
      <c r="J1298" t="n">
        <v>-0.0258</v>
      </c>
      <c r="K1298" t="n">
        <v>0.19</v>
      </c>
      <c r="L1298" t="n">
        <v>0.623</v>
      </c>
      <c r="M1298" t="n">
        <v>0.187</v>
      </c>
    </row>
    <row r="1299" spans="1:13">
      <c r="A1299" s="1">
        <f>HYPERLINK("http://www.twitter.com/NathanBLawrence/status/995153000355254272", "995153000355254272")</f>
        <v/>
      </c>
      <c r="B1299" s="2" t="n">
        <v>43232.17057870371</v>
      </c>
      <c r="C1299" t="n">
        <v>0</v>
      </c>
      <c r="D1299" t="n">
        <v>10</v>
      </c>
      <c r="E1299" t="s">
        <v>1297</v>
      </c>
      <c r="F1299" t="s"/>
      <c r="G1299" t="s"/>
      <c r="H1299" t="s"/>
      <c r="I1299" t="s"/>
      <c r="J1299" t="n">
        <v>-0.5266999999999999</v>
      </c>
      <c r="K1299" t="n">
        <v>0.161</v>
      </c>
      <c r="L1299" t="n">
        <v>0.839</v>
      </c>
      <c r="M1299" t="n">
        <v>0</v>
      </c>
    </row>
    <row r="1300" spans="1:13">
      <c r="A1300" s="1">
        <f>HYPERLINK("http://www.twitter.com/NathanBLawrence/status/995139308150456320", "995139308150456320")</f>
        <v/>
      </c>
      <c r="B1300" s="2" t="n">
        <v>43232.13280092592</v>
      </c>
      <c r="C1300" t="n">
        <v>1</v>
      </c>
      <c r="D1300" t="n">
        <v>0</v>
      </c>
      <c r="E1300" t="s">
        <v>1298</v>
      </c>
      <c r="F1300" t="s"/>
      <c r="G1300" t="s"/>
      <c r="H1300" t="s"/>
      <c r="I1300" t="s"/>
      <c r="J1300" t="n">
        <v>0.0422</v>
      </c>
      <c r="K1300" t="n">
        <v>0.163</v>
      </c>
      <c r="L1300" t="n">
        <v>0.668</v>
      </c>
      <c r="M1300" t="n">
        <v>0.169</v>
      </c>
    </row>
    <row r="1301" spans="1:13">
      <c r="A1301" s="1">
        <f>HYPERLINK("http://www.twitter.com/NathanBLawrence/status/995122232904036352", "995122232904036352")</f>
        <v/>
      </c>
      <c r="B1301" s="2" t="n">
        <v>43232.08568287037</v>
      </c>
      <c r="C1301" t="n">
        <v>0</v>
      </c>
      <c r="D1301" t="n">
        <v>5</v>
      </c>
      <c r="E1301" t="s">
        <v>1299</v>
      </c>
      <c r="F1301" t="s"/>
      <c r="G1301" t="s"/>
      <c r="H1301" t="s"/>
      <c r="I1301" t="s"/>
      <c r="J1301" t="n">
        <v>-0.7437</v>
      </c>
      <c r="K1301" t="n">
        <v>0.288</v>
      </c>
      <c r="L1301" t="n">
        <v>0.655</v>
      </c>
      <c r="M1301" t="n">
        <v>0.057</v>
      </c>
    </row>
    <row r="1302" spans="1:13">
      <c r="A1302" s="1">
        <f>HYPERLINK("http://www.twitter.com/NathanBLawrence/status/995117467998486528", "995117467998486528")</f>
        <v/>
      </c>
      <c r="B1302" s="2" t="n">
        <v>43232.07253472223</v>
      </c>
      <c r="C1302" t="n">
        <v>0</v>
      </c>
      <c r="D1302" t="n">
        <v>5</v>
      </c>
      <c r="E1302" t="s">
        <v>1300</v>
      </c>
      <c r="F1302" t="s"/>
      <c r="G1302" t="s"/>
      <c r="H1302" t="s"/>
      <c r="I1302" t="s"/>
      <c r="J1302" t="n">
        <v>0.765</v>
      </c>
      <c r="K1302" t="n">
        <v>0.076</v>
      </c>
      <c r="L1302" t="n">
        <v>0.612</v>
      </c>
      <c r="M1302" t="n">
        <v>0.313</v>
      </c>
    </row>
    <row r="1303" spans="1:13">
      <c r="A1303" s="1">
        <f>HYPERLINK("http://www.twitter.com/NathanBLawrence/status/995116611894939648", "995116611894939648")</f>
        <v/>
      </c>
      <c r="B1303" s="2" t="n">
        <v>43232.07017361111</v>
      </c>
      <c r="C1303" t="n">
        <v>0</v>
      </c>
      <c r="D1303" t="n">
        <v>13</v>
      </c>
      <c r="E1303" t="s">
        <v>1301</v>
      </c>
      <c r="F1303">
        <f>HYPERLINK("http://pbs.twimg.com/media/Dc9dQXFW0AAtO7A.jpg", "http://pbs.twimg.com/media/Dc9dQXFW0AAtO7A.jpg")</f>
        <v/>
      </c>
      <c r="G1303" t="s"/>
      <c r="H1303" t="s"/>
      <c r="I1303" t="s"/>
      <c r="J1303" t="n">
        <v>0</v>
      </c>
      <c r="K1303" t="n">
        <v>0</v>
      </c>
      <c r="L1303" t="n">
        <v>1</v>
      </c>
      <c r="M1303" t="n">
        <v>0</v>
      </c>
    </row>
    <row r="1304" spans="1:13">
      <c r="A1304" s="1">
        <f>HYPERLINK("http://www.twitter.com/NathanBLawrence/status/995116589719662597", "995116589719662597")</f>
        <v/>
      </c>
      <c r="B1304" s="2" t="n">
        <v>43232.07011574074</v>
      </c>
      <c r="C1304" t="n">
        <v>15</v>
      </c>
      <c r="D1304" t="n">
        <v>13</v>
      </c>
      <c r="E1304" t="s">
        <v>1302</v>
      </c>
      <c r="F1304">
        <f>HYPERLINK("http://pbs.twimg.com/media/Dc9dQXFW0AAtO7A.jpg", "http://pbs.twimg.com/media/Dc9dQXFW0AAtO7A.jpg")</f>
        <v/>
      </c>
      <c r="G1304" t="s"/>
      <c r="H1304" t="s"/>
      <c r="I1304" t="s"/>
      <c r="J1304" t="n">
        <v>0</v>
      </c>
      <c r="K1304" t="n">
        <v>0</v>
      </c>
      <c r="L1304" t="n">
        <v>1</v>
      </c>
      <c r="M1304" t="n">
        <v>0</v>
      </c>
    </row>
    <row r="1305" spans="1:13">
      <c r="A1305" s="1">
        <f>HYPERLINK("http://www.twitter.com/NathanBLawrence/status/995113252806889473", "995113252806889473")</f>
        <v/>
      </c>
      <c r="B1305" s="2" t="n">
        <v>43232.06090277778</v>
      </c>
      <c r="C1305" t="n">
        <v>0</v>
      </c>
      <c r="D1305" t="n">
        <v>0</v>
      </c>
      <c r="E1305" t="s">
        <v>1303</v>
      </c>
      <c r="F1305" t="s"/>
      <c r="G1305" t="s"/>
      <c r="H1305" t="s"/>
      <c r="I1305" t="s"/>
      <c r="J1305" t="n">
        <v>-0.4404</v>
      </c>
      <c r="K1305" t="n">
        <v>0.187</v>
      </c>
      <c r="L1305" t="n">
        <v>0.8129999999999999</v>
      </c>
      <c r="M1305" t="n">
        <v>0</v>
      </c>
    </row>
    <row r="1306" spans="1:13">
      <c r="A1306" s="1">
        <f>HYPERLINK("http://www.twitter.com/NathanBLawrence/status/995112890775560192", "995112890775560192")</f>
        <v/>
      </c>
      <c r="B1306" s="2" t="n">
        <v>43232.05990740741</v>
      </c>
      <c r="C1306" t="n">
        <v>0</v>
      </c>
      <c r="D1306" t="n">
        <v>7</v>
      </c>
      <c r="E1306" t="s">
        <v>1304</v>
      </c>
      <c r="F1306" t="s"/>
      <c r="G1306" t="s"/>
      <c r="H1306" t="s"/>
      <c r="I1306" t="s"/>
      <c r="J1306" t="n">
        <v>-0.5266999999999999</v>
      </c>
      <c r="K1306" t="n">
        <v>0.239</v>
      </c>
      <c r="L1306" t="n">
        <v>0.761</v>
      </c>
      <c r="M1306" t="n">
        <v>0</v>
      </c>
    </row>
    <row r="1307" spans="1:13">
      <c r="A1307" s="1">
        <f>HYPERLINK("http://www.twitter.com/NathanBLawrence/status/995110821670866944", "995110821670866944")</f>
        <v/>
      </c>
      <c r="B1307" s="2" t="n">
        <v>43232.05418981481</v>
      </c>
      <c r="C1307" t="n">
        <v>0</v>
      </c>
      <c r="D1307" t="n">
        <v>7</v>
      </c>
      <c r="E1307" t="s">
        <v>1305</v>
      </c>
      <c r="F1307">
        <f>HYPERLINK("http://pbs.twimg.com/media/Dc9RyX4W4AA64F5.jpg", "http://pbs.twimg.com/media/Dc9RyX4W4AA64F5.jpg")</f>
        <v/>
      </c>
      <c r="G1307" t="s"/>
      <c r="H1307" t="s"/>
      <c r="I1307" t="s"/>
      <c r="J1307" t="n">
        <v>0</v>
      </c>
      <c r="K1307" t="n">
        <v>0</v>
      </c>
      <c r="L1307" t="n">
        <v>1</v>
      </c>
      <c r="M1307" t="n">
        <v>0</v>
      </c>
    </row>
    <row r="1308" spans="1:13">
      <c r="A1308" s="1">
        <f>HYPERLINK("http://www.twitter.com/NathanBLawrence/status/995103985626382336", "995103985626382336")</f>
        <v/>
      </c>
      <c r="B1308" s="2" t="n">
        <v>43232.03532407407</v>
      </c>
      <c r="C1308" t="n">
        <v>11</v>
      </c>
      <c r="D1308" t="n">
        <v>7</v>
      </c>
      <c r="E1308" t="s">
        <v>1306</v>
      </c>
      <c r="F1308">
        <f>HYPERLINK("http://pbs.twimg.com/media/Dc9RyX4W4AA64F5.jpg", "http://pbs.twimg.com/media/Dc9RyX4W4AA64F5.jpg")</f>
        <v/>
      </c>
      <c r="G1308" t="s"/>
      <c r="H1308" t="s"/>
      <c r="I1308" t="s"/>
      <c r="J1308" t="n">
        <v>-0.5792</v>
      </c>
      <c r="K1308" t="n">
        <v>0.09</v>
      </c>
      <c r="L1308" t="n">
        <v>0.91</v>
      </c>
      <c r="M1308" t="n">
        <v>0</v>
      </c>
    </row>
    <row r="1309" spans="1:13">
      <c r="A1309" s="1">
        <f>HYPERLINK("http://www.twitter.com/NathanBLawrence/status/995103170773880837", "995103170773880837")</f>
        <v/>
      </c>
      <c r="B1309" s="2" t="n">
        <v>43232.0330787037</v>
      </c>
      <c r="C1309" t="n">
        <v>0</v>
      </c>
      <c r="D1309" t="n">
        <v>6</v>
      </c>
      <c r="E1309" t="s">
        <v>1307</v>
      </c>
      <c r="F1309" t="s"/>
      <c r="G1309" t="s"/>
      <c r="H1309" t="s"/>
      <c r="I1309" t="s"/>
      <c r="J1309" t="n">
        <v>0</v>
      </c>
      <c r="K1309" t="n">
        <v>0</v>
      </c>
      <c r="L1309" t="n">
        <v>1</v>
      </c>
      <c r="M1309" t="n">
        <v>0</v>
      </c>
    </row>
    <row r="1310" spans="1:13">
      <c r="A1310" s="1">
        <f>HYPERLINK("http://www.twitter.com/NathanBLawrence/status/995103014120775680", "995103014120775680")</f>
        <v/>
      </c>
      <c r="B1310" s="2" t="n">
        <v>43232.03265046296</v>
      </c>
      <c r="C1310" t="n">
        <v>0</v>
      </c>
      <c r="D1310" t="n">
        <v>15</v>
      </c>
      <c r="E1310" t="s">
        <v>1308</v>
      </c>
      <c r="F1310">
        <f>HYPERLINK("http://pbs.twimg.com/media/Dc8-wM3XUAUNJnJ.jpg", "http://pbs.twimg.com/media/Dc8-wM3XUAUNJnJ.jpg")</f>
        <v/>
      </c>
      <c r="G1310" t="s"/>
      <c r="H1310" t="s"/>
      <c r="I1310" t="s"/>
      <c r="J1310" t="n">
        <v>-0.3182</v>
      </c>
      <c r="K1310" t="n">
        <v>0.108</v>
      </c>
      <c r="L1310" t="n">
        <v>0.892</v>
      </c>
      <c r="M1310" t="n">
        <v>0</v>
      </c>
    </row>
    <row r="1311" spans="1:13">
      <c r="A1311" s="1">
        <f>HYPERLINK("http://www.twitter.com/NathanBLawrence/status/995102997385531392", "995102997385531392")</f>
        <v/>
      </c>
      <c r="B1311" s="2" t="n">
        <v>43232.03260416666</v>
      </c>
      <c r="C1311" t="n">
        <v>0</v>
      </c>
      <c r="D1311" t="n">
        <v>13</v>
      </c>
      <c r="E1311" t="s">
        <v>1309</v>
      </c>
      <c r="F1311">
        <f>HYPERLINK("http://pbs.twimg.com/media/Dc9EXsHV4AAXajm.jpg", "http://pbs.twimg.com/media/Dc9EXsHV4AAXajm.jpg")</f>
        <v/>
      </c>
      <c r="G1311" t="s"/>
      <c r="H1311" t="s"/>
      <c r="I1311" t="s"/>
      <c r="J1311" t="n">
        <v>-0.1531</v>
      </c>
      <c r="K1311" t="n">
        <v>0.091</v>
      </c>
      <c r="L1311" t="n">
        <v>0.909</v>
      </c>
      <c r="M1311" t="n">
        <v>0</v>
      </c>
    </row>
    <row r="1312" spans="1:13">
      <c r="A1312" s="1">
        <f>HYPERLINK("http://www.twitter.com/NathanBLawrence/status/995102751167336452", "995102751167336452")</f>
        <v/>
      </c>
      <c r="B1312" s="2" t="n">
        <v>43232.03192129629</v>
      </c>
      <c r="C1312" t="n">
        <v>0</v>
      </c>
      <c r="D1312" t="n">
        <v>917</v>
      </c>
      <c r="E1312" t="s">
        <v>1310</v>
      </c>
      <c r="F1312" t="s"/>
      <c r="G1312" t="s"/>
      <c r="H1312" t="s"/>
      <c r="I1312" t="s"/>
      <c r="J1312" t="n">
        <v>-0.4023</v>
      </c>
      <c r="K1312" t="n">
        <v>0.109</v>
      </c>
      <c r="L1312" t="n">
        <v>0.891</v>
      </c>
      <c r="M1312" t="n">
        <v>0</v>
      </c>
    </row>
    <row r="1313" spans="1:13">
      <c r="A1313" s="1">
        <f>HYPERLINK("http://www.twitter.com/NathanBLawrence/status/995102658787717121", "995102658787717121")</f>
        <v/>
      </c>
      <c r="B1313" s="2" t="n">
        <v>43232.03166666667</v>
      </c>
      <c r="C1313" t="n">
        <v>0</v>
      </c>
      <c r="D1313" t="n">
        <v>160</v>
      </c>
      <c r="E1313" t="s">
        <v>1311</v>
      </c>
      <c r="F1313">
        <f>HYPERLINK("http://pbs.twimg.com/media/Dc6anvkU0AAM6eM.jpg", "http://pbs.twimg.com/media/Dc6anvkU0AAM6eM.jpg")</f>
        <v/>
      </c>
      <c r="G1313" t="s"/>
      <c r="H1313" t="s"/>
      <c r="I1313" t="s"/>
      <c r="J1313" t="n">
        <v>0</v>
      </c>
      <c r="K1313" t="n">
        <v>0</v>
      </c>
      <c r="L1313" t="n">
        <v>1</v>
      </c>
      <c r="M1313" t="n">
        <v>0</v>
      </c>
    </row>
    <row r="1314" spans="1:13">
      <c r="A1314" s="1">
        <f>HYPERLINK("http://www.twitter.com/NathanBLawrence/status/995102606124113920", "995102606124113920")</f>
        <v/>
      </c>
      <c r="B1314" s="2" t="n">
        <v>43232.03152777778</v>
      </c>
      <c r="C1314" t="n">
        <v>0</v>
      </c>
      <c r="D1314" t="n">
        <v>894</v>
      </c>
      <c r="E1314" t="s">
        <v>1312</v>
      </c>
      <c r="F1314">
        <f>HYPERLINK("http://pbs.twimg.com/media/Dc8B6VyVAAAP8a6.jpg", "http://pbs.twimg.com/media/Dc8B6VyVAAAP8a6.jpg")</f>
        <v/>
      </c>
      <c r="G1314">
        <f>HYPERLINK("http://pbs.twimg.com/media/Dc8B8QeU8AEEYjs.jpg", "http://pbs.twimg.com/media/Dc8B8QeU8AEEYjs.jpg")</f>
        <v/>
      </c>
      <c r="H1314">
        <f>HYPERLINK("http://pbs.twimg.com/media/Dc8B92dUQAAiHEQ.jpg", "http://pbs.twimg.com/media/Dc8B92dUQAAiHEQ.jpg")</f>
        <v/>
      </c>
      <c r="I1314">
        <f>HYPERLINK("http://pbs.twimg.com/media/Dc8B-_UUwAA9z8j.jpg", "http://pbs.twimg.com/media/Dc8B-_UUwAA9z8j.jpg")</f>
        <v/>
      </c>
      <c r="J1314" t="n">
        <v>0.4767</v>
      </c>
      <c r="K1314" t="n">
        <v>0</v>
      </c>
      <c r="L1314" t="n">
        <v>0.86</v>
      </c>
      <c r="M1314" t="n">
        <v>0.14</v>
      </c>
    </row>
    <row r="1315" spans="1:13">
      <c r="A1315" s="1">
        <f>HYPERLINK("http://www.twitter.com/NathanBLawrence/status/995069093765111808", "995069093765111808")</f>
        <v/>
      </c>
      <c r="B1315" s="2" t="n">
        <v>43231.93905092592</v>
      </c>
      <c r="C1315" t="n">
        <v>0</v>
      </c>
      <c r="D1315" t="n">
        <v>6162</v>
      </c>
      <c r="E1315" t="s">
        <v>1313</v>
      </c>
      <c r="F1315" t="s"/>
      <c r="G1315" t="s"/>
      <c r="H1315" t="s"/>
      <c r="I1315" t="s"/>
      <c r="J1315" t="n">
        <v>-0.4023</v>
      </c>
      <c r="K1315" t="n">
        <v>0.119</v>
      </c>
      <c r="L1315" t="n">
        <v>0.881</v>
      </c>
      <c r="M1315" t="n">
        <v>0</v>
      </c>
    </row>
    <row r="1316" spans="1:13">
      <c r="A1316" s="1">
        <f>HYPERLINK("http://www.twitter.com/NathanBLawrence/status/995061716034707458", "995061716034707458")</f>
        <v/>
      </c>
      <c r="B1316" s="2" t="n">
        <v>43231.91869212963</v>
      </c>
      <c r="C1316" t="n">
        <v>0</v>
      </c>
      <c r="D1316" t="n">
        <v>2030</v>
      </c>
      <c r="E1316" t="s">
        <v>1314</v>
      </c>
      <c r="F1316" t="s"/>
      <c r="G1316" t="s"/>
      <c r="H1316" t="s"/>
      <c r="I1316" t="s"/>
      <c r="J1316" t="n">
        <v>-0.5859</v>
      </c>
      <c r="K1316" t="n">
        <v>0.16</v>
      </c>
      <c r="L1316" t="n">
        <v>0.84</v>
      </c>
      <c r="M1316" t="n">
        <v>0</v>
      </c>
    </row>
    <row r="1317" spans="1:13">
      <c r="A1317" s="1">
        <f>HYPERLINK("http://www.twitter.com/NathanBLawrence/status/995050245032693760", "995050245032693760")</f>
        <v/>
      </c>
      <c r="B1317" s="2" t="n">
        <v>43231.88703703704</v>
      </c>
      <c r="C1317" t="n">
        <v>0</v>
      </c>
      <c r="D1317" t="n">
        <v>0</v>
      </c>
      <c r="E1317" t="s">
        <v>1315</v>
      </c>
      <c r="F1317" t="s"/>
      <c r="G1317" t="s"/>
      <c r="H1317" t="s"/>
      <c r="I1317" t="s"/>
      <c r="J1317" t="n">
        <v>0.2057</v>
      </c>
      <c r="K1317" t="n">
        <v>0</v>
      </c>
      <c r="L1317" t="n">
        <v>0.623</v>
      </c>
      <c r="M1317" t="n">
        <v>0.377</v>
      </c>
    </row>
    <row r="1318" spans="1:13">
      <c r="A1318" s="1">
        <f>HYPERLINK("http://www.twitter.com/NathanBLawrence/status/995049792219860992", "995049792219860992")</f>
        <v/>
      </c>
      <c r="B1318" s="2" t="n">
        <v>43231.88578703703</v>
      </c>
      <c r="C1318" t="n">
        <v>1</v>
      </c>
      <c r="D1318" t="n">
        <v>0</v>
      </c>
      <c r="E1318" t="s">
        <v>1316</v>
      </c>
      <c r="F1318" t="s"/>
      <c r="G1318" t="s"/>
      <c r="H1318" t="s"/>
      <c r="I1318" t="s"/>
      <c r="J1318" t="n">
        <v>0.25</v>
      </c>
      <c r="K1318" t="n">
        <v>0.074</v>
      </c>
      <c r="L1318" t="n">
        <v>0.798</v>
      </c>
      <c r="M1318" t="n">
        <v>0.128</v>
      </c>
    </row>
    <row r="1319" spans="1:13">
      <c r="A1319" s="1">
        <f>HYPERLINK("http://www.twitter.com/NathanBLawrence/status/995049164219305987", "995049164219305987")</f>
        <v/>
      </c>
      <c r="B1319" s="2" t="n">
        <v>43231.88405092592</v>
      </c>
      <c r="C1319" t="n">
        <v>0</v>
      </c>
      <c r="D1319" t="n">
        <v>65</v>
      </c>
      <c r="E1319" t="s">
        <v>1317</v>
      </c>
      <c r="F1319" t="s"/>
      <c r="G1319" t="s"/>
      <c r="H1319" t="s"/>
      <c r="I1319" t="s"/>
      <c r="J1319" t="n">
        <v>-0.7579</v>
      </c>
      <c r="K1319" t="n">
        <v>0.255</v>
      </c>
      <c r="L1319" t="n">
        <v>0.745</v>
      </c>
      <c r="M1319" t="n">
        <v>0</v>
      </c>
    </row>
    <row r="1320" spans="1:13">
      <c r="A1320" s="1">
        <f>HYPERLINK("http://www.twitter.com/NathanBLawrence/status/995048149029982212", "995048149029982212")</f>
        <v/>
      </c>
      <c r="B1320" s="2" t="n">
        <v>43231.88125</v>
      </c>
      <c r="C1320" t="n">
        <v>0</v>
      </c>
      <c r="D1320" t="n">
        <v>0</v>
      </c>
      <c r="E1320" t="s">
        <v>1318</v>
      </c>
      <c r="F1320" t="s"/>
      <c r="G1320" t="s"/>
      <c r="H1320" t="s"/>
      <c r="I1320" t="s"/>
      <c r="J1320" t="n">
        <v>0.4588</v>
      </c>
      <c r="K1320" t="n">
        <v>0</v>
      </c>
      <c r="L1320" t="n">
        <v>0.571</v>
      </c>
      <c r="M1320" t="n">
        <v>0.429</v>
      </c>
    </row>
    <row r="1321" spans="1:13">
      <c r="A1321" s="1">
        <f>HYPERLINK("http://www.twitter.com/NathanBLawrence/status/995038212925075459", "995038212925075459")</f>
        <v/>
      </c>
      <c r="B1321" s="2" t="n">
        <v>43231.85383101852</v>
      </c>
      <c r="C1321" t="n">
        <v>0</v>
      </c>
      <c r="D1321" t="n">
        <v>0</v>
      </c>
      <c r="E1321" t="s">
        <v>1319</v>
      </c>
      <c r="F1321" t="s"/>
      <c r="G1321" t="s"/>
      <c r="H1321" t="s"/>
      <c r="I1321" t="s"/>
      <c r="J1321" t="n">
        <v>0</v>
      </c>
      <c r="K1321" t="n">
        <v>0</v>
      </c>
      <c r="L1321" t="n">
        <v>1</v>
      </c>
      <c r="M1321" t="n">
        <v>0</v>
      </c>
    </row>
    <row r="1322" spans="1:13">
      <c r="A1322" s="1">
        <f>HYPERLINK("http://www.twitter.com/NathanBLawrence/status/995035656236752907", "995035656236752907")</f>
        <v/>
      </c>
      <c r="B1322" s="2" t="n">
        <v>43231.84677083333</v>
      </c>
      <c r="C1322" t="n">
        <v>0</v>
      </c>
      <c r="D1322" t="n">
        <v>11</v>
      </c>
      <c r="E1322" t="s">
        <v>1320</v>
      </c>
      <c r="F1322" t="s"/>
      <c r="G1322" t="s"/>
      <c r="H1322" t="s"/>
      <c r="I1322" t="s"/>
      <c r="J1322" t="n">
        <v>0.6696</v>
      </c>
      <c r="K1322" t="n">
        <v>0.08799999999999999</v>
      </c>
      <c r="L1322" t="n">
        <v>0.667</v>
      </c>
      <c r="M1322" t="n">
        <v>0.245</v>
      </c>
    </row>
    <row r="1323" spans="1:13">
      <c r="A1323" s="1">
        <f>HYPERLINK("http://www.twitter.com/NathanBLawrence/status/995035634136944640", "995035634136944640")</f>
        <v/>
      </c>
      <c r="B1323" s="2" t="n">
        <v>43231.84671296296</v>
      </c>
      <c r="C1323" t="n">
        <v>0</v>
      </c>
      <c r="D1323" t="n">
        <v>10</v>
      </c>
      <c r="E1323" t="s">
        <v>1321</v>
      </c>
      <c r="F1323" t="s"/>
      <c r="G1323" t="s"/>
      <c r="H1323" t="s"/>
      <c r="I1323" t="s"/>
      <c r="J1323" t="n">
        <v>0</v>
      </c>
      <c r="K1323" t="n">
        <v>0</v>
      </c>
      <c r="L1323" t="n">
        <v>1</v>
      </c>
      <c r="M1323" t="n">
        <v>0</v>
      </c>
    </row>
    <row r="1324" spans="1:13">
      <c r="A1324" s="1">
        <f>HYPERLINK("http://www.twitter.com/NathanBLawrence/status/995033834403123200", "995033834403123200")</f>
        <v/>
      </c>
      <c r="B1324" s="2" t="n">
        <v>43231.84174768518</v>
      </c>
      <c r="C1324" t="n">
        <v>8</v>
      </c>
      <c r="D1324" t="n">
        <v>3</v>
      </c>
      <c r="E1324" t="s">
        <v>1322</v>
      </c>
      <c r="F1324" t="s"/>
      <c r="G1324" t="s"/>
      <c r="H1324" t="s"/>
      <c r="I1324" t="s"/>
      <c r="J1324" t="n">
        <v>0</v>
      </c>
      <c r="K1324" t="n">
        <v>0</v>
      </c>
      <c r="L1324" t="n">
        <v>1</v>
      </c>
      <c r="M1324" t="n">
        <v>0</v>
      </c>
    </row>
    <row r="1325" spans="1:13">
      <c r="A1325" s="1">
        <f>HYPERLINK("http://www.twitter.com/NathanBLawrence/status/995033748780584960", "995033748780584960")</f>
        <v/>
      </c>
      <c r="B1325" s="2" t="n">
        <v>43231.84151620371</v>
      </c>
      <c r="C1325" t="n">
        <v>8</v>
      </c>
      <c r="D1325" t="n">
        <v>4</v>
      </c>
      <c r="E1325" t="s">
        <v>1323</v>
      </c>
      <c r="F1325">
        <f>HYPERLINK("https://video.twimg.com/ext_tw_video/995033699552055296/pu/vid/176x144/h48AWJBry9cWcURS.mp4?tag=3", "https://video.twimg.com/ext_tw_video/995033699552055296/pu/vid/176x144/h48AWJBry9cWcURS.mp4?tag=3")</f>
        <v/>
      </c>
      <c r="G1325" t="s"/>
      <c r="H1325" t="s"/>
      <c r="I1325" t="s"/>
      <c r="J1325" t="n">
        <v>0.4329</v>
      </c>
      <c r="K1325" t="n">
        <v>0</v>
      </c>
      <c r="L1325" t="n">
        <v>0.9330000000000001</v>
      </c>
      <c r="M1325" t="n">
        <v>0.067</v>
      </c>
    </row>
    <row r="1326" spans="1:13">
      <c r="A1326" s="1">
        <f>HYPERLINK("http://www.twitter.com/NathanBLawrence/status/995013745586987009", "995013745586987009")</f>
        <v/>
      </c>
      <c r="B1326" s="2" t="n">
        <v>43231.78631944444</v>
      </c>
      <c r="C1326" t="n">
        <v>0</v>
      </c>
      <c r="D1326" t="n">
        <v>0</v>
      </c>
      <c r="E1326" t="s">
        <v>1324</v>
      </c>
      <c r="F1326">
        <f>HYPERLINK("http://pbs.twimg.com/media/Dc7_suYWkAAIZ4u.jpg", "http://pbs.twimg.com/media/Dc7_suYWkAAIZ4u.jpg")</f>
        <v/>
      </c>
      <c r="G1326">
        <f>HYPERLINK("http://pbs.twimg.com/media/Dc7_uMhWsAA0v3P.jpg", "http://pbs.twimg.com/media/Dc7_uMhWsAA0v3P.jpg")</f>
        <v/>
      </c>
      <c r="H1326" t="s"/>
      <c r="I1326" t="s"/>
      <c r="J1326" t="n">
        <v>-0.5859</v>
      </c>
      <c r="K1326" t="n">
        <v>0.217</v>
      </c>
      <c r="L1326" t="n">
        <v>0.644</v>
      </c>
      <c r="M1326" t="n">
        <v>0.139</v>
      </c>
    </row>
    <row r="1327" spans="1:13">
      <c r="A1327" s="1">
        <f>HYPERLINK("http://www.twitter.com/NathanBLawrence/status/995013403046502400", "995013403046502400")</f>
        <v/>
      </c>
      <c r="B1327" s="2" t="n">
        <v>43231.78537037037</v>
      </c>
      <c r="C1327" t="n">
        <v>0</v>
      </c>
      <c r="D1327" t="n">
        <v>0</v>
      </c>
      <c r="E1327" t="s">
        <v>1325</v>
      </c>
      <c r="F1327">
        <f>HYPERLINK("http://pbs.twimg.com/media/Dc7_XpIX0AIwYul.jpg", "http://pbs.twimg.com/media/Dc7_XpIX0AIwYul.jpg")</f>
        <v/>
      </c>
      <c r="G1327">
        <f>HYPERLINK("http://pbs.twimg.com/media/Dc7_YsFX0AAOVdA.jpg", "http://pbs.twimg.com/media/Dc7_YsFX0AAOVdA.jpg")</f>
        <v/>
      </c>
      <c r="H1327">
        <f>HYPERLINK("http://pbs.twimg.com/media/Dc7_Z8iXkAAZYn1.jpg", "http://pbs.twimg.com/media/Dc7_Z8iXkAAZYn1.jpg")</f>
        <v/>
      </c>
      <c r="I1327" t="s"/>
      <c r="J1327" t="n">
        <v>0</v>
      </c>
      <c r="K1327" t="n">
        <v>0</v>
      </c>
      <c r="L1327" t="n">
        <v>1</v>
      </c>
      <c r="M1327" t="n">
        <v>0</v>
      </c>
    </row>
    <row r="1328" spans="1:13">
      <c r="A1328" s="1">
        <f>HYPERLINK("http://www.twitter.com/NathanBLawrence/status/995013209412325376", "995013209412325376")</f>
        <v/>
      </c>
      <c r="B1328" s="2" t="n">
        <v>43231.78483796296</v>
      </c>
      <c r="C1328" t="n">
        <v>0</v>
      </c>
      <c r="D1328" t="n">
        <v>0</v>
      </c>
      <c r="E1328" t="s">
        <v>1326</v>
      </c>
      <c r="F1328">
        <f>HYPERLINK("http://pbs.twimg.com/media/Dc7_NV0W0AA692m.jpg", "http://pbs.twimg.com/media/Dc7_NV0W0AA692m.jpg")</f>
        <v/>
      </c>
      <c r="G1328">
        <f>HYPERLINK("http://pbs.twimg.com/media/Dc7_ObJW4AIai2Y.jpg", "http://pbs.twimg.com/media/Dc7_ObJW4AIai2Y.jpg")</f>
        <v/>
      </c>
      <c r="H1328">
        <f>HYPERLINK("http://pbs.twimg.com/media/Dc7_O7kWAAEtPpu.jpg", "http://pbs.twimg.com/media/Dc7_O7kWAAEtPpu.jpg")</f>
        <v/>
      </c>
      <c r="I1328" t="s"/>
      <c r="J1328" t="n">
        <v>0</v>
      </c>
      <c r="K1328" t="n">
        <v>0</v>
      </c>
      <c r="L1328" t="n">
        <v>1</v>
      </c>
      <c r="M1328" t="n">
        <v>0</v>
      </c>
    </row>
    <row r="1329" spans="1:13">
      <c r="A1329" s="1">
        <f>HYPERLINK("http://www.twitter.com/NathanBLawrence/status/994995565485322241", "994995565485322241")</f>
        <v/>
      </c>
      <c r="B1329" s="2" t="n">
        <v>43231.73614583333</v>
      </c>
      <c r="C1329" t="n">
        <v>0</v>
      </c>
      <c r="D1329" t="n">
        <v>11</v>
      </c>
      <c r="E1329" t="s">
        <v>1327</v>
      </c>
      <c r="F1329">
        <f>HYPERLINK("http://pbs.twimg.com/media/Dc7j2D3UQAAlQK7.jpg", "http://pbs.twimg.com/media/Dc7j2D3UQAAlQK7.jpg")</f>
        <v/>
      </c>
      <c r="G1329" t="s"/>
      <c r="H1329" t="s"/>
      <c r="I1329" t="s"/>
      <c r="J1329" t="n">
        <v>-0.3182</v>
      </c>
      <c r="K1329" t="n">
        <v>0.095</v>
      </c>
      <c r="L1329" t="n">
        <v>0.905</v>
      </c>
      <c r="M1329" t="n">
        <v>0</v>
      </c>
    </row>
    <row r="1330" spans="1:13">
      <c r="A1330" s="1">
        <f>HYPERLINK("http://www.twitter.com/NathanBLawrence/status/994995524838330369", "994995524838330369")</f>
        <v/>
      </c>
      <c r="B1330" s="2" t="n">
        <v>43231.73603009259</v>
      </c>
      <c r="C1330" t="n">
        <v>0</v>
      </c>
      <c r="D1330" t="n">
        <v>20</v>
      </c>
      <c r="E1330" t="s">
        <v>1328</v>
      </c>
      <c r="F1330" t="s"/>
      <c r="G1330" t="s"/>
      <c r="H1330" t="s"/>
      <c r="I1330" t="s"/>
      <c r="J1330" t="n">
        <v>0.1144</v>
      </c>
      <c r="K1330" t="n">
        <v>0.104</v>
      </c>
      <c r="L1330" t="n">
        <v>0.774</v>
      </c>
      <c r="M1330" t="n">
        <v>0.122</v>
      </c>
    </row>
    <row r="1331" spans="1:13">
      <c r="A1331" s="1">
        <f>HYPERLINK("http://www.twitter.com/NathanBLawrence/status/994991448826228737", "994991448826228737")</f>
        <v/>
      </c>
      <c r="B1331" s="2" t="n">
        <v>43231.72479166667</v>
      </c>
      <c r="C1331" t="n">
        <v>0</v>
      </c>
      <c r="D1331" t="n">
        <v>1</v>
      </c>
      <c r="E1331" t="s">
        <v>1329</v>
      </c>
      <c r="F1331" t="s"/>
      <c r="G1331" t="s"/>
      <c r="H1331" t="s"/>
      <c r="I1331" t="s"/>
      <c r="J1331" t="n">
        <v>0.3089</v>
      </c>
      <c r="K1331" t="n">
        <v>0</v>
      </c>
      <c r="L1331" t="n">
        <v>0.907</v>
      </c>
      <c r="M1331" t="n">
        <v>0.093</v>
      </c>
    </row>
    <row r="1332" spans="1:13">
      <c r="A1332" s="1">
        <f>HYPERLINK("http://www.twitter.com/NathanBLawrence/status/994991402487635968", "994991402487635968")</f>
        <v/>
      </c>
      <c r="B1332" s="2" t="n">
        <v>43231.72466435185</v>
      </c>
      <c r="C1332" t="n">
        <v>0</v>
      </c>
      <c r="D1332" t="n">
        <v>80</v>
      </c>
      <c r="E1332" t="s">
        <v>1330</v>
      </c>
      <c r="F1332" t="s"/>
      <c r="G1332" t="s"/>
      <c r="H1332" t="s"/>
      <c r="I1332" t="s"/>
      <c r="J1332" t="n">
        <v>-0.5859</v>
      </c>
      <c r="K1332" t="n">
        <v>0.268</v>
      </c>
      <c r="L1332" t="n">
        <v>0.636</v>
      </c>
      <c r="M1332" t="n">
        <v>0.095</v>
      </c>
    </row>
    <row r="1333" spans="1:13">
      <c r="A1333" s="1">
        <f>HYPERLINK("http://www.twitter.com/NathanBLawrence/status/994991343461130241", "994991343461130241")</f>
        <v/>
      </c>
      <c r="B1333" s="2" t="n">
        <v>43231.72449074074</v>
      </c>
      <c r="C1333" t="n">
        <v>0</v>
      </c>
      <c r="D1333" t="n">
        <v>4</v>
      </c>
      <c r="E1333" t="s">
        <v>1331</v>
      </c>
      <c r="F1333" t="s"/>
      <c r="G1333" t="s"/>
      <c r="H1333" t="s"/>
      <c r="I1333" t="s"/>
      <c r="J1333" t="n">
        <v>-0.5106000000000001</v>
      </c>
      <c r="K1333" t="n">
        <v>0.147</v>
      </c>
      <c r="L1333" t="n">
        <v>0.853</v>
      </c>
      <c r="M1333" t="n">
        <v>0</v>
      </c>
    </row>
    <row r="1334" spans="1:13">
      <c r="A1334" s="1">
        <f>HYPERLINK("http://www.twitter.com/NathanBLawrence/status/994991297957191680", "994991297957191680")</f>
        <v/>
      </c>
      <c r="B1334" s="2" t="n">
        <v>43231.724375</v>
      </c>
      <c r="C1334" t="n">
        <v>0</v>
      </c>
      <c r="D1334" t="n">
        <v>3</v>
      </c>
      <c r="E1334" t="s">
        <v>1332</v>
      </c>
      <c r="F1334" t="s"/>
      <c r="G1334" t="s"/>
      <c r="H1334" t="s"/>
      <c r="I1334" t="s"/>
      <c r="J1334" t="n">
        <v>-0.2263</v>
      </c>
      <c r="K1334" t="n">
        <v>0.146</v>
      </c>
      <c r="L1334" t="n">
        <v>0.754</v>
      </c>
      <c r="M1334" t="n">
        <v>0.101</v>
      </c>
    </row>
    <row r="1335" spans="1:13">
      <c r="A1335" s="1">
        <f>HYPERLINK("http://www.twitter.com/NathanBLawrence/status/994991149705236481", "994991149705236481")</f>
        <v/>
      </c>
      <c r="B1335" s="2" t="n">
        <v>43231.72395833334</v>
      </c>
      <c r="C1335" t="n">
        <v>0</v>
      </c>
      <c r="D1335" t="n">
        <v>6</v>
      </c>
      <c r="E1335" t="s">
        <v>1333</v>
      </c>
      <c r="F1335" t="s"/>
      <c r="G1335" t="s"/>
      <c r="H1335" t="s"/>
      <c r="I1335" t="s"/>
      <c r="J1335" t="n">
        <v>-0.4466</v>
      </c>
      <c r="K1335" t="n">
        <v>0.184</v>
      </c>
      <c r="L1335" t="n">
        <v>0.741</v>
      </c>
      <c r="M1335" t="n">
        <v>0.074</v>
      </c>
    </row>
    <row r="1336" spans="1:13">
      <c r="A1336" s="1">
        <f>HYPERLINK("http://www.twitter.com/NathanBLawrence/status/994990781453697025", "994990781453697025")</f>
        <v/>
      </c>
      <c r="B1336" s="2" t="n">
        <v>43231.72293981481</v>
      </c>
      <c r="C1336" t="n">
        <v>0</v>
      </c>
      <c r="D1336" t="n">
        <v>6</v>
      </c>
      <c r="E1336" t="s">
        <v>1334</v>
      </c>
      <c r="F1336" t="s"/>
      <c r="G1336" t="s"/>
      <c r="H1336" t="s"/>
      <c r="I1336" t="s"/>
      <c r="J1336" t="n">
        <v>0.1144</v>
      </c>
      <c r="K1336" t="n">
        <v>0.104</v>
      </c>
      <c r="L1336" t="n">
        <v>0.774</v>
      </c>
      <c r="M1336" t="n">
        <v>0.122</v>
      </c>
    </row>
    <row r="1337" spans="1:13">
      <c r="A1337" s="1">
        <f>HYPERLINK("http://www.twitter.com/NathanBLawrence/status/994990444059725827", "994990444059725827")</f>
        <v/>
      </c>
      <c r="B1337" s="2" t="n">
        <v>43231.72201388889</v>
      </c>
      <c r="C1337" t="n">
        <v>0</v>
      </c>
      <c r="D1337" t="n">
        <v>53</v>
      </c>
      <c r="E1337" t="s">
        <v>1335</v>
      </c>
      <c r="F1337">
        <f>HYPERLINK("http://pbs.twimg.com/media/Dc67ehGU8AAZQMv.jpg", "http://pbs.twimg.com/media/Dc67ehGU8AAZQMv.jpg")</f>
        <v/>
      </c>
      <c r="G1337" t="s"/>
      <c r="H1337" t="s"/>
      <c r="I1337" t="s"/>
      <c r="J1337" t="n">
        <v>-0.7783</v>
      </c>
      <c r="K1337" t="n">
        <v>0.286</v>
      </c>
      <c r="L1337" t="n">
        <v>0.714</v>
      </c>
      <c r="M1337" t="n">
        <v>0</v>
      </c>
    </row>
    <row r="1338" spans="1:13">
      <c r="A1338" s="1">
        <f>HYPERLINK("http://www.twitter.com/NathanBLawrence/status/994990410283053057", "994990410283053057")</f>
        <v/>
      </c>
      <c r="B1338" s="2" t="n">
        <v>43231.7219212963</v>
      </c>
      <c r="C1338" t="n">
        <v>0</v>
      </c>
      <c r="D1338" t="n">
        <v>30</v>
      </c>
      <c r="E1338" t="s">
        <v>1336</v>
      </c>
      <c r="F1338" t="s"/>
      <c r="G1338" t="s"/>
      <c r="H1338" t="s"/>
      <c r="I1338" t="s"/>
      <c r="J1338" t="n">
        <v>0.128</v>
      </c>
      <c r="K1338" t="n">
        <v>0.104</v>
      </c>
      <c r="L1338" t="n">
        <v>0.772</v>
      </c>
      <c r="M1338" t="n">
        <v>0.124</v>
      </c>
    </row>
    <row r="1339" spans="1:13">
      <c r="A1339" s="1">
        <f>HYPERLINK("http://www.twitter.com/NathanBLawrence/status/994990299289145345", "994990299289145345")</f>
        <v/>
      </c>
      <c r="B1339" s="2" t="n">
        <v>43231.72162037037</v>
      </c>
      <c r="C1339" t="n">
        <v>0</v>
      </c>
      <c r="D1339" t="n">
        <v>12</v>
      </c>
      <c r="E1339" t="s">
        <v>1337</v>
      </c>
      <c r="F1339">
        <f>HYPERLINK("http://pbs.twimg.com/media/Dc7gMnEXUAA-RCs.jpg", "http://pbs.twimg.com/media/Dc7gMnEXUAA-RCs.jpg")</f>
        <v/>
      </c>
      <c r="G1339" t="s"/>
      <c r="H1339" t="s"/>
      <c r="I1339" t="s"/>
      <c r="J1339" t="n">
        <v>0.3788</v>
      </c>
      <c r="K1339" t="n">
        <v>0.07000000000000001</v>
      </c>
      <c r="L1339" t="n">
        <v>0.79</v>
      </c>
      <c r="M1339" t="n">
        <v>0.14</v>
      </c>
    </row>
    <row r="1340" spans="1:13">
      <c r="A1340" s="1">
        <f>HYPERLINK("http://www.twitter.com/NathanBLawrence/status/994987652133933058", "994987652133933058")</f>
        <v/>
      </c>
      <c r="B1340" s="2" t="n">
        <v>43231.71430555556</v>
      </c>
      <c r="C1340" t="n">
        <v>8</v>
      </c>
      <c r="D1340" t="n">
        <v>6</v>
      </c>
      <c r="E1340" t="s">
        <v>1338</v>
      </c>
      <c r="F1340" t="s"/>
      <c r="G1340" t="s"/>
      <c r="H1340" t="s"/>
      <c r="I1340" t="s"/>
      <c r="J1340" t="n">
        <v>0.0634</v>
      </c>
      <c r="K1340" t="n">
        <v>0.101</v>
      </c>
      <c r="L1340" t="n">
        <v>0.793</v>
      </c>
      <c r="M1340" t="n">
        <v>0.106</v>
      </c>
    </row>
    <row r="1341" spans="1:13">
      <c r="A1341" s="1">
        <f>HYPERLINK("http://www.twitter.com/NathanBLawrence/status/994981400842571776", "994981400842571776")</f>
        <v/>
      </c>
      <c r="B1341" s="2" t="n">
        <v>43231.69706018519</v>
      </c>
      <c r="C1341" t="n">
        <v>0</v>
      </c>
      <c r="D1341" t="n">
        <v>8</v>
      </c>
      <c r="E1341" t="s">
        <v>1339</v>
      </c>
      <c r="F1341" t="s"/>
      <c r="G1341" t="s"/>
      <c r="H1341" t="s"/>
      <c r="I1341" t="s"/>
      <c r="J1341" t="n">
        <v>-0.7096</v>
      </c>
      <c r="K1341" t="n">
        <v>0.247</v>
      </c>
      <c r="L1341" t="n">
        <v>0.695</v>
      </c>
      <c r="M1341" t="n">
        <v>0.058</v>
      </c>
    </row>
    <row r="1342" spans="1:13">
      <c r="A1342" s="1">
        <f>HYPERLINK("http://www.twitter.com/NathanBLawrence/status/994981378172342273", "994981378172342273")</f>
        <v/>
      </c>
      <c r="B1342" s="2" t="n">
        <v>43231.69700231482</v>
      </c>
      <c r="C1342" t="n">
        <v>0</v>
      </c>
      <c r="D1342" t="n">
        <v>13</v>
      </c>
      <c r="E1342" t="s">
        <v>1340</v>
      </c>
      <c r="F1342">
        <f>HYPERLINK("http://pbs.twimg.com/media/Dc7ISjTX4AALp6-.jpg", "http://pbs.twimg.com/media/Dc7ISjTX4AALp6-.jpg")</f>
        <v/>
      </c>
      <c r="G1342" t="s"/>
      <c r="H1342" t="s"/>
      <c r="I1342" t="s"/>
      <c r="J1342" t="n">
        <v>0.34</v>
      </c>
      <c r="K1342" t="n">
        <v>0</v>
      </c>
      <c r="L1342" t="n">
        <v>0.906</v>
      </c>
      <c r="M1342" t="n">
        <v>0.094</v>
      </c>
    </row>
    <row r="1343" spans="1:13">
      <c r="A1343" s="1">
        <f>HYPERLINK("http://www.twitter.com/NathanBLawrence/status/994978296306851842", "994978296306851842")</f>
        <v/>
      </c>
      <c r="B1343" s="2" t="n">
        <v>43231.68849537037</v>
      </c>
      <c r="C1343" t="n">
        <v>0</v>
      </c>
      <c r="D1343" t="n">
        <v>20</v>
      </c>
      <c r="E1343" t="s">
        <v>1341</v>
      </c>
      <c r="F1343" t="s"/>
      <c r="G1343" t="s"/>
      <c r="H1343" t="s"/>
      <c r="I1343" t="s"/>
      <c r="J1343" t="n">
        <v>-0.4019</v>
      </c>
      <c r="K1343" t="n">
        <v>0.144</v>
      </c>
      <c r="L1343" t="n">
        <v>0.856</v>
      </c>
      <c r="M1343" t="n">
        <v>0</v>
      </c>
    </row>
    <row r="1344" spans="1:13">
      <c r="A1344" s="1">
        <f>HYPERLINK("http://www.twitter.com/NathanBLawrence/status/994978260856565761", "994978260856565761")</f>
        <v/>
      </c>
      <c r="B1344" s="2" t="n">
        <v>43231.6883912037</v>
      </c>
      <c r="C1344" t="n">
        <v>0</v>
      </c>
      <c r="D1344" t="n">
        <v>48</v>
      </c>
      <c r="E1344" t="s">
        <v>1342</v>
      </c>
      <c r="F1344">
        <f>HYPERLINK("http://pbs.twimg.com/media/Dc7CkMZUwAE_IS9.jpg", "http://pbs.twimg.com/media/Dc7CkMZUwAE_IS9.jpg")</f>
        <v/>
      </c>
      <c r="G1344" t="s"/>
      <c r="H1344" t="s"/>
      <c r="I1344" t="s"/>
      <c r="J1344" t="n">
        <v>-0.8646</v>
      </c>
      <c r="K1344" t="n">
        <v>0.349</v>
      </c>
      <c r="L1344" t="n">
        <v>0.651</v>
      </c>
      <c r="M1344" t="n">
        <v>0</v>
      </c>
    </row>
    <row r="1345" spans="1:13">
      <c r="A1345" s="1">
        <f>HYPERLINK("http://www.twitter.com/NathanBLawrence/status/994978143931895808", "994978143931895808")</f>
        <v/>
      </c>
      <c r="B1345" s="2" t="n">
        <v>43231.68806712963</v>
      </c>
      <c r="C1345" t="n">
        <v>0</v>
      </c>
      <c r="D1345" t="n">
        <v>42</v>
      </c>
      <c r="E1345" t="s">
        <v>1343</v>
      </c>
      <c r="F1345">
        <f>HYPERLINK("http://pbs.twimg.com/media/Dc7CjvbXcAMEWTW.jpg", "http://pbs.twimg.com/media/Dc7CjvbXcAMEWTW.jpg")</f>
        <v/>
      </c>
      <c r="G1345" t="s"/>
      <c r="H1345" t="s"/>
      <c r="I1345" t="s"/>
      <c r="J1345" t="n">
        <v>0.128</v>
      </c>
      <c r="K1345" t="n">
        <v>0</v>
      </c>
      <c r="L1345" t="n">
        <v>0.9330000000000001</v>
      </c>
      <c r="M1345" t="n">
        <v>0.067</v>
      </c>
    </row>
    <row r="1346" spans="1:13">
      <c r="A1346" s="1">
        <f>HYPERLINK("http://www.twitter.com/NathanBLawrence/status/994978124822695936", "994978124822695936")</f>
        <v/>
      </c>
      <c r="B1346" s="2" t="n">
        <v>43231.68802083333</v>
      </c>
      <c r="C1346" t="n">
        <v>8</v>
      </c>
      <c r="D1346" t="n">
        <v>4</v>
      </c>
      <c r="E1346" t="s">
        <v>1344</v>
      </c>
      <c r="F1346" t="s"/>
      <c r="G1346" t="s"/>
      <c r="H1346" t="s"/>
      <c r="I1346" t="s"/>
      <c r="J1346" t="n">
        <v>-0.6486</v>
      </c>
      <c r="K1346" t="n">
        <v>0.145</v>
      </c>
      <c r="L1346" t="n">
        <v>0.8120000000000001</v>
      </c>
      <c r="M1346" t="n">
        <v>0.043</v>
      </c>
    </row>
    <row r="1347" spans="1:13">
      <c r="A1347" s="1">
        <f>HYPERLINK("http://www.twitter.com/NathanBLawrence/status/994977805799776257", "994977805799776257")</f>
        <v/>
      </c>
      <c r="B1347" s="2" t="n">
        <v>43231.68714120371</v>
      </c>
      <c r="C1347" t="n">
        <v>0</v>
      </c>
      <c r="D1347" t="n">
        <v>29</v>
      </c>
      <c r="E1347" t="s">
        <v>1345</v>
      </c>
      <c r="F1347" t="s"/>
      <c r="G1347" t="s"/>
      <c r="H1347" t="s"/>
      <c r="I1347" t="s"/>
      <c r="J1347" t="n">
        <v>-0.5106000000000001</v>
      </c>
      <c r="K1347" t="n">
        <v>0.142</v>
      </c>
      <c r="L1347" t="n">
        <v>0.858</v>
      </c>
      <c r="M1347" t="n">
        <v>0</v>
      </c>
    </row>
    <row r="1348" spans="1:13">
      <c r="A1348" s="1">
        <f>HYPERLINK("http://www.twitter.com/NathanBLawrence/status/994977705476132864", "994977705476132864")</f>
        <v/>
      </c>
      <c r="B1348" s="2" t="n">
        <v>43231.68686342592</v>
      </c>
      <c r="C1348" t="n">
        <v>0</v>
      </c>
      <c r="D1348" t="n">
        <v>12</v>
      </c>
      <c r="E1348" t="s">
        <v>1346</v>
      </c>
      <c r="F1348">
        <f>HYPERLINK("http://pbs.twimg.com/media/Dc6d7juW0AEDq08.jpg", "http://pbs.twimg.com/media/Dc6d7juW0AEDq08.jpg")</f>
        <v/>
      </c>
      <c r="G1348" t="s"/>
      <c r="H1348" t="s"/>
      <c r="I1348" t="s"/>
      <c r="J1348" t="n">
        <v>0.6552</v>
      </c>
      <c r="K1348" t="n">
        <v>0</v>
      </c>
      <c r="L1348" t="n">
        <v>0.8129999999999999</v>
      </c>
      <c r="M1348" t="n">
        <v>0.187</v>
      </c>
    </row>
    <row r="1349" spans="1:13">
      <c r="A1349" s="1">
        <f>HYPERLINK("http://www.twitter.com/NathanBLawrence/status/994977608835190789", "994977608835190789")</f>
        <v/>
      </c>
      <c r="B1349" s="2" t="n">
        <v>43231.68659722222</v>
      </c>
      <c r="C1349" t="n">
        <v>0</v>
      </c>
      <c r="D1349" t="n">
        <v>18</v>
      </c>
      <c r="E1349" t="s">
        <v>1347</v>
      </c>
      <c r="F1349">
        <f>HYPERLINK("http://pbs.twimg.com/media/Dc7QTJ9XUAATANQ.jpg", "http://pbs.twimg.com/media/Dc7QTJ9XUAATANQ.jpg")</f>
        <v/>
      </c>
      <c r="G1349" t="s"/>
      <c r="H1349" t="s"/>
      <c r="I1349" t="s"/>
      <c r="J1349" t="n">
        <v>0</v>
      </c>
      <c r="K1349" t="n">
        <v>0</v>
      </c>
      <c r="L1349" t="n">
        <v>1</v>
      </c>
      <c r="M1349" t="n">
        <v>0</v>
      </c>
    </row>
    <row r="1350" spans="1:13">
      <c r="A1350" s="1">
        <f>HYPERLINK("http://www.twitter.com/NathanBLawrence/status/994976201834975234", "994976201834975234")</f>
        <v/>
      </c>
      <c r="B1350" s="2" t="n">
        <v>43231.68270833333</v>
      </c>
      <c r="C1350" t="n">
        <v>0</v>
      </c>
      <c r="D1350" t="n">
        <v>6</v>
      </c>
      <c r="E1350" t="s">
        <v>1348</v>
      </c>
      <c r="F1350" t="s"/>
      <c r="G1350" t="s"/>
      <c r="H1350" t="s"/>
      <c r="I1350" t="s"/>
      <c r="J1350" t="n">
        <v>0</v>
      </c>
      <c r="K1350" t="n">
        <v>0</v>
      </c>
      <c r="L1350" t="n">
        <v>1</v>
      </c>
      <c r="M1350" t="n">
        <v>0</v>
      </c>
    </row>
    <row r="1351" spans="1:13">
      <c r="A1351" s="1">
        <f>HYPERLINK("http://www.twitter.com/NathanBLawrence/status/994971402603237378", "994971402603237378")</f>
        <v/>
      </c>
      <c r="B1351" s="2" t="n">
        <v>43231.66946759259</v>
      </c>
      <c r="C1351" t="n">
        <v>1</v>
      </c>
      <c r="D1351" t="n">
        <v>1</v>
      </c>
      <c r="E1351" t="s">
        <v>1349</v>
      </c>
      <c r="F1351" t="s"/>
      <c r="G1351" t="s"/>
      <c r="H1351" t="s"/>
      <c r="I1351" t="s"/>
      <c r="J1351" t="n">
        <v>-0.3489</v>
      </c>
      <c r="K1351" t="n">
        <v>0.109</v>
      </c>
      <c r="L1351" t="n">
        <v>0.838</v>
      </c>
      <c r="M1351" t="n">
        <v>0.053</v>
      </c>
    </row>
    <row r="1352" spans="1:13">
      <c r="A1352" s="1">
        <f>HYPERLINK("http://www.twitter.com/NathanBLawrence/status/994970948590866432", "994970948590866432")</f>
        <v/>
      </c>
      <c r="B1352" s="2" t="n">
        <v>43231.6682175926</v>
      </c>
      <c r="C1352" t="n">
        <v>5</v>
      </c>
      <c r="D1352" t="n">
        <v>6</v>
      </c>
      <c r="E1352" t="s">
        <v>1350</v>
      </c>
      <c r="F1352" t="s"/>
      <c r="G1352" t="s"/>
      <c r="H1352" t="s"/>
      <c r="I1352" t="s"/>
      <c r="J1352" t="n">
        <v>0</v>
      </c>
      <c r="K1352" t="n">
        <v>0</v>
      </c>
      <c r="L1352" t="n">
        <v>1</v>
      </c>
      <c r="M1352" t="n">
        <v>0</v>
      </c>
    </row>
    <row r="1353" spans="1:13">
      <c r="A1353" s="1">
        <f>HYPERLINK("http://www.twitter.com/NathanBLawrence/status/994970545753030656", "994970545753030656")</f>
        <v/>
      </c>
      <c r="B1353" s="2" t="n">
        <v>43231.66710648148</v>
      </c>
      <c r="C1353" t="n">
        <v>1</v>
      </c>
      <c r="D1353" t="n">
        <v>0</v>
      </c>
      <c r="E1353" t="s">
        <v>1351</v>
      </c>
      <c r="F1353" t="s"/>
      <c r="G1353" t="s"/>
      <c r="H1353" t="s"/>
      <c r="I1353" t="s"/>
      <c r="J1353" t="n">
        <v>0</v>
      </c>
      <c r="K1353" t="n">
        <v>0</v>
      </c>
      <c r="L1353" t="n">
        <v>1</v>
      </c>
      <c r="M1353" t="n">
        <v>0</v>
      </c>
    </row>
    <row r="1354" spans="1:13">
      <c r="A1354" s="1">
        <f>HYPERLINK("http://www.twitter.com/NathanBLawrence/status/994968280317267969", "994968280317267969")</f>
        <v/>
      </c>
      <c r="B1354" s="2" t="n">
        <v>43231.66085648148</v>
      </c>
      <c r="C1354" t="n">
        <v>1</v>
      </c>
      <c r="D1354" t="n">
        <v>0</v>
      </c>
      <c r="E1354" t="s">
        <v>309</v>
      </c>
      <c r="F1354" t="s"/>
      <c r="G1354" t="s"/>
      <c r="H1354" t="s"/>
      <c r="I1354" t="s"/>
      <c r="J1354" t="n">
        <v>0</v>
      </c>
      <c r="K1354" t="n">
        <v>0</v>
      </c>
      <c r="L1354" t="n">
        <v>1</v>
      </c>
      <c r="M1354" t="n">
        <v>0</v>
      </c>
    </row>
    <row r="1355" spans="1:13">
      <c r="A1355" s="1">
        <f>HYPERLINK("http://www.twitter.com/NathanBLawrence/status/994968156023246848", "994968156023246848")</f>
        <v/>
      </c>
      <c r="B1355" s="2" t="n">
        <v>43231.66050925926</v>
      </c>
      <c r="C1355" t="n">
        <v>2</v>
      </c>
      <c r="D1355" t="n">
        <v>0</v>
      </c>
      <c r="E1355" t="s">
        <v>1352</v>
      </c>
      <c r="F1355" t="s"/>
      <c r="G1355" t="s"/>
      <c r="H1355" t="s"/>
      <c r="I1355" t="s"/>
      <c r="J1355" t="n">
        <v>0</v>
      </c>
      <c r="K1355" t="n">
        <v>0</v>
      </c>
      <c r="L1355" t="n">
        <v>1</v>
      </c>
      <c r="M1355" t="n">
        <v>0</v>
      </c>
    </row>
    <row r="1356" spans="1:13">
      <c r="A1356" s="1">
        <f>HYPERLINK("http://www.twitter.com/NathanBLawrence/status/994967964288999424", "994967964288999424")</f>
        <v/>
      </c>
      <c r="B1356" s="2" t="n">
        <v>43231.65997685185</v>
      </c>
      <c r="C1356" t="n">
        <v>2</v>
      </c>
      <c r="D1356" t="n">
        <v>0</v>
      </c>
      <c r="E1356" t="s">
        <v>311</v>
      </c>
      <c r="F1356" t="s"/>
      <c r="G1356" t="s"/>
      <c r="H1356" t="s"/>
      <c r="I1356" t="s"/>
      <c r="J1356" t="n">
        <v>0</v>
      </c>
      <c r="K1356" t="n">
        <v>0</v>
      </c>
      <c r="L1356" t="n">
        <v>1</v>
      </c>
      <c r="M1356" t="n">
        <v>0</v>
      </c>
    </row>
    <row r="1357" spans="1:13">
      <c r="A1357" s="1">
        <f>HYPERLINK("http://www.twitter.com/NathanBLawrence/status/994967621559865344", "994967621559865344")</f>
        <v/>
      </c>
      <c r="B1357" s="2" t="n">
        <v>43231.65903935185</v>
      </c>
      <c r="C1357" t="n">
        <v>0</v>
      </c>
      <c r="D1357" t="n">
        <v>24</v>
      </c>
      <c r="E1357" t="s">
        <v>1204</v>
      </c>
      <c r="F1357">
        <f>HYPERLINK("http://pbs.twimg.com/media/Dc7VvbWWAAICvgK.jpg", "http://pbs.twimg.com/media/Dc7VvbWWAAICvgK.jpg")</f>
        <v/>
      </c>
      <c r="G1357" t="s"/>
      <c r="H1357" t="s"/>
      <c r="I1357" t="s"/>
      <c r="J1357" t="n">
        <v>-0.4184</v>
      </c>
      <c r="K1357" t="n">
        <v>0.112</v>
      </c>
      <c r="L1357" t="n">
        <v>0.888</v>
      </c>
      <c r="M1357" t="n">
        <v>0</v>
      </c>
    </row>
    <row r="1358" spans="1:13">
      <c r="A1358" s="1">
        <f>HYPERLINK("http://www.twitter.com/NathanBLawrence/status/994967584972910592", "994967584972910592")</f>
        <v/>
      </c>
      <c r="B1358" s="2" t="n">
        <v>43231.65893518519</v>
      </c>
      <c r="C1358" t="n">
        <v>29</v>
      </c>
      <c r="D1358" t="n">
        <v>24</v>
      </c>
      <c r="E1358" t="s">
        <v>1353</v>
      </c>
      <c r="F1358">
        <f>HYPERLINK("http://pbs.twimg.com/media/Dc7VvbWWAAICvgK.jpg", "http://pbs.twimg.com/media/Dc7VvbWWAAICvgK.jpg")</f>
        <v/>
      </c>
      <c r="G1358" t="s"/>
      <c r="H1358" t="s"/>
      <c r="I1358" t="s"/>
      <c r="J1358" t="n">
        <v>-0.5216</v>
      </c>
      <c r="K1358" t="n">
        <v>0.067</v>
      </c>
      <c r="L1358" t="n">
        <v>0.9330000000000001</v>
      </c>
      <c r="M1358" t="n">
        <v>0</v>
      </c>
    </row>
    <row r="1359" spans="1:13">
      <c r="A1359" s="1">
        <f>HYPERLINK("http://www.twitter.com/NathanBLawrence/status/994781735685644288", "994781735685644288")</f>
        <v/>
      </c>
      <c r="B1359" s="2" t="n">
        <v>43231.14608796296</v>
      </c>
      <c r="C1359" t="n">
        <v>0</v>
      </c>
      <c r="D1359" t="n">
        <v>4009</v>
      </c>
      <c r="E1359" t="s">
        <v>1354</v>
      </c>
      <c r="F1359">
        <f>HYPERLINK("https://video.twimg.com/ext_tw_video/994613670574370816/pu/vid/1280x720/27sZq4KPsKxFjj9U.mp4?tag=3", "https://video.twimg.com/ext_tw_video/994613670574370816/pu/vid/1280x720/27sZq4KPsKxFjj9U.mp4?tag=3")</f>
        <v/>
      </c>
      <c r="G1359" t="s"/>
      <c r="H1359" t="s"/>
      <c r="I1359" t="s"/>
      <c r="J1359" t="n">
        <v>-0.6352</v>
      </c>
      <c r="K1359" t="n">
        <v>0.173</v>
      </c>
      <c r="L1359" t="n">
        <v>0.827</v>
      </c>
      <c r="M1359" t="n">
        <v>0</v>
      </c>
    </row>
    <row r="1360" spans="1:13">
      <c r="A1360" s="1">
        <f>HYPERLINK("http://www.twitter.com/NathanBLawrence/status/994781696070438914", "994781696070438914")</f>
        <v/>
      </c>
      <c r="B1360" s="2" t="n">
        <v>43231.1459837963</v>
      </c>
      <c r="C1360" t="n">
        <v>0</v>
      </c>
      <c r="D1360" t="n">
        <v>794</v>
      </c>
      <c r="E1360" t="s">
        <v>1355</v>
      </c>
      <c r="F1360">
        <f>HYPERLINK("http://pbs.twimg.com/media/Dc3DLWJV4AA4LZD.jpg", "http://pbs.twimg.com/media/Dc3DLWJV4AA4LZD.jpg")</f>
        <v/>
      </c>
      <c r="G1360" t="s"/>
      <c r="H1360" t="s"/>
      <c r="I1360" t="s"/>
      <c r="J1360" t="n">
        <v>0.7184</v>
      </c>
      <c r="K1360" t="n">
        <v>0</v>
      </c>
      <c r="L1360" t="n">
        <v>0.714</v>
      </c>
      <c r="M1360" t="n">
        <v>0.286</v>
      </c>
    </row>
    <row r="1361" spans="1:13">
      <c r="A1361" s="1">
        <f>HYPERLINK("http://www.twitter.com/NathanBLawrence/status/994780570340200453", "994780570340200453")</f>
        <v/>
      </c>
      <c r="B1361" s="2" t="n">
        <v>43231.14287037037</v>
      </c>
      <c r="C1361" t="n">
        <v>0</v>
      </c>
      <c r="D1361" t="n">
        <v>0</v>
      </c>
      <c r="E1361" t="s">
        <v>1356</v>
      </c>
      <c r="F1361" t="s"/>
      <c r="G1361" t="s"/>
      <c r="H1361" t="s"/>
      <c r="I1361" t="s"/>
      <c r="J1361" t="n">
        <v>0.6892</v>
      </c>
      <c r="K1361" t="n">
        <v>0</v>
      </c>
      <c r="L1361" t="n">
        <v>0.701</v>
      </c>
      <c r="M1361" t="n">
        <v>0.299</v>
      </c>
    </row>
    <row r="1362" spans="1:13">
      <c r="A1362" s="1">
        <f>HYPERLINK("http://www.twitter.com/NathanBLawrence/status/994763054293377026", "994763054293377026")</f>
        <v/>
      </c>
      <c r="B1362" s="2" t="n">
        <v>43231.09453703704</v>
      </c>
      <c r="C1362" t="n">
        <v>0</v>
      </c>
      <c r="D1362" t="n">
        <v>526</v>
      </c>
      <c r="E1362" t="s">
        <v>1357</v>
      </c>
      <c r="F1362" t="s"/>
      <c r="G1362" t="s"/>
      <c r="H1362" t="s"/>
      <c r="I1362" t="s"/>
      <c r="J1362" t="n">
        <v>-0.4341</v>
      </c>
      <c r="K1362" t="n">
        <v>0.12</v>
      </c>
      <c r="L1362" t="n">
        <v>0.88</v>
      </c>
      <c r="M1362" t="n">
        <v>0</v>
      </c>
    </row>
    <row r="1363" spans="1:13">
      <c r="A1363" s="1">
        <f>HYPERLINK("http://www.twitter.com/NathanBLawrence/status/994762912664342528", "994762912664342528")</f>
        <v/>
      </c>
      <c r="B1363" s="2" t="n">
        <v>43231.09414351852</v>
      </c>
      <c r="C1363" t="n">
        <v>0</v>
      </c>
      <c r="D1363" t="n">
        <v>10</v>
      </c>
      <c r="E1363" t="s">
        <v>1358</v>
      </c>
      <c r="F1363" t="s"/>
      <c r="G1363" t="s"/>
      <c r="H1363" t="s"/>
      <c r="I1363" t="s"/>
      <c r="J1363" t="n">
        <v>0.6249</v>
      </c>
      <c r="K1363" t="n">
        <v>0</v>
      </c>
      <c r="L1363" t="n">
        <v>0.758</v>
      </c>
      <c r="M1363" t="n">
        <v>0.242</v>
      </c>
    </row>
    <row r="1364" spans="1:13">
      <c r="A1364" s="1">
        <f>HYPERLINK("http://www.twitter.com/NathanBLawrence/status/994762822671323137", "994762822671323137")</f>
        <v/>
      </c>
      <c r="B1364" s="2" t="n">
        <v>43231.09390046296</v>
      </c>
      <c r="C1364" t="n">
        <v>0</v>
      </c>
      <c r="D1364" t="n">
        <v>0</v>
      </c>
      <c r="E1364" t="s">
        <v>1359</v>
      </c>
      <c r="F1364" t="s"/>
      <c r="G1364" t="s"/>
      <c r="H1364" t="s"/>
      <c r="I1364" t="s"/>
      <c r="J1364" t="n">
        <v>0</v>
      </c>
      <c r="K1364" t="n">
        <v>0</v>
      </c>
      <c r="L1364" t="n">
        <v>1</v>
      </c>
      <c r="M1364" t="n">
        <v>0</v>
      </c>
    </row>
    <row r="1365" spans="1:13">
      <c r="A1365" s="1">
        <f>HYPERLINK("http://www.twitter.com/NathanBLawrence/status/994732266562686977", "994732266562686977")</f>
        <v/>
      </c>
      <c r="B1365" s="2" t="n">
        <v>43231.00958333333</v>
      </c>
      <c r="C1365" t="n">
        <v>0</v>
      </c>
      <c r="D1365" t="n">
        <v>9</v>
      </c>
      <c r="E1365" t="s">
        <v>1360</v>
      </c>
      <c r="F1365" t="s"/>
      <c r="G1365" t="s"/>
      <c r="H1365" t="s"/>
      <c r="I1365" t="s"/>
      <c r="J1365" t="n">
        <v>0</v>
      </c>
      <c r="K1365" t="n">
        <v>0</v>
      </c>
      <c r="L1365" t="n">
        <v>1</v>
      </c>
      <c r="M1365" t="n">
        <v>0</v>
      </c>
    </row>
    <row r="1366" spans="1:13">
      <c r="A1366" s="1">
        <f>HYPERLINK("http://www.twitter.com/NathanBLawrence/status/994732120949084160", "994732120949084160")</f>
        <v/>
      </c>
      <c r="B1366" s="2" t="n">
        <v>43231.00917824074</v>
      </c>
      <c r="C1366" t="n">
        <v>0</v>
      </c>
      <c r="D1366" t="n">
        <v>41</v>
      </c>
      <c r="E1366" t="s">
        <v>1361</v>
      </c>
      <c r="F1366" t="s"/>
      <c r="G1366" t="s"/>
      <c r="H1366" t="s"/>
      <c r="I1366" t="s"/>
      <c r="J1366" t="n">
        <v>0.7096</v>
      </c>
      <c r="K1366" t="n">
        <v>0</v>
      </c>
      <c r="L1366" t="n">
        <v>0.763</v>
      </c>
      <c r="M1366" t="n">
        <v>0.237</v>
      </c>
    </row>
    <row r="1367" spans="1:13">
      <c r="A1367" s="1">
        <f>HYPERLINK("http://www.twitter.com/NathanBLawrence/status/994732058416238592", "994732058416238592")</f>
        <v/>
      </c>
      <c r="B1367" s="2" t="n">
        <v>43231.00900462963</v>
      </c>
      <c r="C1367" t="n">
        <v>2</v>
      </c>
      <c r="D1367" t="n">
        <v>2</v>
      </c>
      <c r="E1367" t="s">
        <v>1362</v>
      </c>
      <c r="F1367" t="s"/>
      <c r="G1367" t="s"/>
      <c r="H1367" t="s"/>
      <c r="I1367" t="s"/>
      <c r="J1367" t="n">
        <v>0</v>
      </c>
      <c r="K1367" t="n">
        <v>0</v>
      </c>
      <c r="L1367" t="n">
        <v>1</v>
      </c>
      <c r="M1367" t="n">
        <v>0</v>
      </c>
    </row>
    <row r="1368" spans="1:13">
      <c r="A1368" s="1">
        <f>HYPERLINK("http://www.twitter.com/NathanBLawrence/status/994731990992777216", "994731990992777216")</f>
        <v/>
      </c>
      <c r="B1368" s="2" t="n">
        <v>43231.00881944445</v>
      </c>
      <c r="C1368" t="n">
        <v>1</v>
      </c>
      <c r="D1368" t="n">
        <v>0</v>
      </c>
      <c r="E1368" t="s">
        <v>1363</v>
      </c>
      <c r="F1368">
        <f>HYPERLINK("http://pbs.twimg.com/media/Dc3_dbRWsAEkGXO.jpg", "http://pbs.twimg.com/media/Dc3_dbRWsAEkGXO.jpg")</f>
        <v/>
      </c>
      <c r="G1368" t="s"/>
      <c r="H1368" t="s"/>
      <c r="I1368" t="s"/>
      <c r="J1368" t="n">
        <v>0</v>
      </c>
      <c r="K1368" t="n">
        <v>0</v>
      </c>
      <c r="L1368" t="n">
        <v>1</v>
      </c>
      <c r="M1368" t="n">
        <v>0</v>
      </c>
    </row>
    <row r="1369" spans="1:13">
      <c r="A1369" s="1">
        <f>HYPERLINK("http://www.twitter.com/NathanBLawrence/status/994731719537385472", "994731719537385472")</f>
        <v/>
      </c>
      <c r="B1369" s="2" t="n">
        <v>43231.00806712963</v>
      </c>
      <c r="C1369" t="n">
        <v>0</v>
      </c>
      <c r="D1369" t="n">
        <v>0</v>
      </c>
      <c r="E1369" t="s">
        <v>1364</v>
      </c>
      <c r="F1369">
        <f>HYPERLINK("http://pbs.twimg.com/media/Dc3_OB3X4AAy3aw.jpg", "http://pbs.twimg.com/media/Dc3_OB3X4AAy3aw.jpg")</f>
        <v/>
      </c>
      <c r="G1369" t="s"/>
      <c r="H1369" t="s"/>
      <c r="I1369" t="s"/>
      <c r="J1369" t="n">
        <v>-0.1531</v>
      </c>
      <c r="K1369" t="n">
        <v>0.14</v>
      </c>
      <c r="L1369" t="n">
        <v>0.744</v>
      </c>
      <c r="M1369" t="n">
        <v>0.116</v>
      </c>
    </row>
    <row r="1370" spans="1:13">
      <c r="A1370" s="1">
        <f>HYPERLINK("http://www.twitter.com/NathanBLawrence/status/994731269794729987", "994731269794729987")</f>
        <v/>
      </c>
      <c r="B1370" s="2" t="n">
        <v>43231.00682870371</v>
      </c>
      <c r="C1370" t="n">
        <v>1</v>
      </c>
      <c r="D1370" t="n">
        <v>0</v>
      </c>
      <c r="E1370" t="s">
        <v>1365</v>
      </c>
      <c r="F1370">
        <f>HYPERLINK("http://pbs.twimg.com/media/Dc3-0BCX0AATklg.jpg", "http://pbs.twimg.com/media/Dc3-0BCX0AATklg.jpg")</f>
        <v/>
      </c>
      <c r="G1370" t="s"/>
      <c r="H1370" t="s"/>
      <c r="I1370" t="s"/>
      <c r="J1370" t="n">
        <v>0</v>
      </c>
      <c r="K1370" t="n">
        <v>0</v>
      </c>
      <c r="L1370" t="n">
        <v>1</v>
      </c>
      <c r="M1370" t="n">
        <v>0</v>
      </c>
    </row>
    <row r="1371" spans="1:13">
      <c r="A1371" s="1">
        <f>HYPERLINK("http://www.twitter.com/NathanBLawrence/status/994730945507921922", "994730945507921922")</f>
        <v/>
      </c>
      <c r="B1371" s="2" t="n">
        <v>43231.0059375</v>
      </c>
      <c r="C1371" t="n">
        <v>0</v>
      </c>
      <c r="D1371" t="n">
        <v>99</v>
      </c>
      <c r="E1371" t="s">
        <v>1366</v>
      </c>
      <c r="F1371" t="s"/>
      <c r="G1371" t="s"/>
      <c r="H1371" t="s"/>
      <c r="I1371" t="s"/>
      <c r="J1371" t="n">
        <v>0.4767</v>
      </c>
      <c r="K1371" t="n">
        <v>0</v>
      </c>
      <c r="L1371" t="n">
        <v>0.846</v>
      </c>
      <c r="M1371" t="n">
        <v>0.154</v>
      </c>
    </row>
    <row r="1372" spans="1:13">
      <c r="A1372" s="1">
        <f>HYPERLINK("http://www.twitter.com/NathanBLawrence/status/994730278970183680", "994730278970183680")</f>
        <v/>
      </c>
      <c r="B1372" s="2" t="n">
        <v>43231.00409722222</v>
      </c>
      <c r="C1372" t="n">
        <v>0</v>
      </c>
      <c r="D1372" t="n">
        <v>6</v>
      </c>
      <c r="E1372" t="s">
        <v>1367</v>
      </c>
      <c r="F1372">
        <f>HYPERLINK("http://pbs.twimg.com/media/Dc3wkqKX0AA6x1c.jpg", "http://pbs.twimg.com/media/Dc3wkqKX0AA6x1c.jpg")</f>
        <v/>
      </c>
      <c r="G1372" t="s"/>
      <c r="H1372" t="s"/>
      <c r="I1372" t="s"/>
      <c r="J1372" t="n">
        <v>-0.4199</v>
      </c>
      <c r="K1372" t="n">
        <v>0.141</v>
      </c>
      <c r="L1372" t="n">
        <v>0.859</v>
      </c>
      <c r="M1372" t="n">
        <v>0</v>
      </c>
    </row>
    <row r="1373" spans="1:13">
      <c r="A1373" s="1">
        <f>HYPERLINK("http://www.twitter.com/NathanBLawrence/status/994730217716506624", "994730217716506624")</f>
        <v/>
      </c>
      <c r="B1373" s="2" t="n">
        <v>43231.00392361111</v>
      </c>
      <c r="C1373" t="n">
        <v>1</v>
      </c>
      <c r="D1373" t="n">
        <v>0</v>
      </c>
      <c r="E1373" t="s">
        <v>1368</v>
      </c>
      <c r="F1373">
        <f>HYPERLINK("http://pbs.twimg.com/media/Dc392EMV0AAm1w9.jpg", "http://pbs.twimg.com/media/Dc392EMV0AAm1w9.jpg")</f>
        <v/>
      </c>
      <c r="G1373" t="s"/>
      <c r="H1373" t="s"/>
      <c r="I1373" t="s"/>
      <c r="J1373" t="n">
        <v>0</v>
      </c>
      <c r="K1373" t="n">
        <v>0</v>
      </c>
      <c r="L1373" t="n">
        <v>1</v>
      </c>
      <c r="M1373" t="n">
        <v>0</v>
      </c>
    </row>
    <row r="1374" spans="1:13">
      <c r="A1374" s="1">
        <f>HYPERLINK("http://www.twitter.com/NathanBLawrence/status/994730088255156225", "994730088255156225")</f>
        <v/>
      </c>
      <c r="B1374" s="2" t="n">
        <v>43231.00356481481</v>
      </c>
      <c r="C1374" t="n">
        <v>0</v>
      </c>
      <c r="D1374" t="n">
        <v>0</v>
      </c>
      <c r="E1374" t="s">
        <v>1369</v>
      </c>
      <c r="F1374" t="s"/>
      <c r="G1374" t="s"/>
      <c r="H1374" t="s"/>
      <c r="I1374" t="s"/>
      <c r="J1374" t="n">
        <v>0</v>
      </c>
      <c r="K1374" t="n">
        <v>0</v>
      </c>
      <c r="L1374" t="n">
        <v>1</v>
      </c>
      <c r="M1374" t="n">
        <v>0</v>
      </c>
    </row>
    <row r="1375" spans="1:13">
      <c r="A1375" s="1">
        <f>HYPERLINK("http://www.twitter.com/NathanBLawrence/status/994730028528209920", "994730028528209920")</f>
        <v/>
      </c>
      <c r="B1375" s="2" t="n">
        <v>43231.00340277778</v>
      </c>
      <c r="C1375" t="n">
        <v>0</v>
      </c>
      <c r="D1375" t="n">
        <v>0</v>
      </c>
      <c r="E1375" t="s">
        <v>1370</v>
      </c>
      <c r="F1375" t="s"/>
      <c r="G1375" t="s"/>
      <c r="H1375" t="s"/>
      <c r="I1375" t="s"/>
      <c r="J1375" t="n">
        <v>0</v>
      </c>
      <c r="K1375" t="n">
        <v>0</v>
      </c>
      <c r="L1375" t="n">
        <v>1</v>
      </c>
      <c r="M1375" t="n">
        <v>0</v>
      </c>
    </row>
    <row r="1376" spans="1:13">
      <c r="A1376" s="1">
        <f>HYPERLINK("http://www.twitter.com/NathanBLawrence/status/994719698083303431", "994719698083303431")</f>
        <v/>
      </c>
      <c r="B1376" s="2" t="n">
        <v>43230.97489583334</v>
      </c>
      <c r="C1376" t="n">
        <v>10</v>
      </c>
      <c r="D1376" t="n">
        <v>7</v>
      </c>
      <c r="E1376" t="s">
        <v>1371</v>
      </c>
      <c r="F1376">
        <f>HYPERLINK("http://pbs.twimg.com/media/Dc30RZJU8AEeund.jpg", "http://pbs.twimg.com/media/Dc30RZJU8AEeund.jpg")</f>
        <v/>
      </c>
      <c r="G1376" t="s"/>
      <c r="H1376" t="s"/>
      <c r="I1376" t="s"/>
      <c r="J1376" t="n">
        <v>0</v>
      </c>
      <c r="K1376" t="n">
        <v>0</v>
      </c>
      <c r="L1376" t="n">
        <v>1</v>
      </c>
      <c r="M1376" t="n">
        <v>0</v>
      </c>
    </row>
    <row r="1377" spans="1:13">
      <c r="A1377" s="1">
        <f>HYPERLINK("http://www.twitter.com/NathanBLawrence/status/994718739630346240", "994718739630346240")</f>
        <v/>
      </c>
      <c r="B1377" s="2" t="n">
        <v>43230.97225694444</v>
      </c>
      <c r="C1377" t="n">
        <v>0</v>
      </c>
      <c r="D1377" t="n">
        <v>7</v>
      </c>
      <c r="E1377" t="s">
        <v>1372</v>
      </c>
      <c r="F1377" t="s"/>
      <c r="G1377" t="s"/>
      <c r="H1377" t="s"/>
      <c r="I1377" t="s"/>
      <c r="J1377" t="n">
        <v>0</v>
      </c>
      <c r="K1377" t="n">
        <v>0</v>
      </c>
      <c r="L1377" t="n">
        <v>1</v>
      </c>
      <c r="M1377" t="n">
        <v>0</v>
      </c>
    </row>
    <row r="1378" spans="1:13">
      <c r="A1378" s="1">
        <f>HYPERLINK("http://www.twitter.com/NathanBLawrence/status/994703359314718720", "994703359314718720")</f>
        <v/>
      </c>
      <c r="B1378" s="2" t="n">
        <v>43230.92981481482</v>
      </c>
      <c r="C1378" t="n">
        <v>0</v>
      </c>
      <c r="D1378" t="n">
        <v>1887</v>
      </c>
      <c r="E1378" t="s">
        <v>1373</v>
      </c>
      <c r="F1378" t="s"/>
      <c r="G1378" t="s"/>
      <c r="H1378" t="s"/>
      <c r="I1378" t="s"/>
      <c r="J1378" t="n">
        <v>0.9124</v>
      </c>
      <c r="K1378" t="n">
        <v>0</v>
      </c>
      <c r="L1378" t="n">
        <v>0.62</v>
      </c>
      <c r="M1378" t="n">
        <v>0.38</v>
      </c>
    </row>
    <row r="1379" spans="1:13">
      <c r="A1379" s="1">
        <f>HYPERLINK("http://www.twitter.com/NathanBLawrence/status/994703252062162945", "994703252062162945")</f>
        <v/>
      </c>
      <c r="B1379" s="2" t="n">
        <v>43230.92951388889</v>
      </c>
      <c r="C1379" t="n">
        <v>0</v>
      </c>
      <c r="D1379" t="n">
        <v>11371</v>
      </c>
      <c r="E1379" t="s">
        <v>1374</v>
      </c>
      <c r="F1379" t="s"/>
      <c r="G1379" t="s"/>
      <c r="H1379" t="s"/>
      <c r="I1379" t="s"/>
      <c r="J1379" t="n">
        <v>-0.3818</v>
      </c>
      <c r="K1379" t="n">
        <v>0.126</v>
      </c>
      <c r="L1379" t="n">
        <v>0.874</v>
      </c>
      <c r="M1379" t="n">
        <v>0</v>
      </c>
    </row>
    <row r="1380" spans="1:13">
      <c r="A1380" s="1">
        <f>HYPERLINK("http://www.twitter.com/NathanBLawrence/status/994703218683805696", "994703218683805696")</f>
        <v/>
      </c>
      <c r="B1380" s="2" t="n">
        <v>43230.9294212963</v>
      </c>
      <c r="C1380" t="n">
        <v>0</v>
      </c>
      <c r="D1380" t="n">
        <v>14295</v>
      </c>
      <c r="E1380" t="s">
        <v>1375</v>
      </c>
      <c r="F1380" t="s"/>
      <c r="G1380" t="s"/>
      <c r="H1380" t="s"/>
      <c r="I1380" t="s"/>
      <c r="J1380" t="n">
        <v>0.0516</v>
      </c>
      <c r="K1380" t="n">
        <v>0.061</v>
      </c>
      <c r="L1380" t="n">
        <v>0.871</v>
      </c>
      <c r="M1380" t="n">
        <v>0.068</v>
      </c>
    </row>
    <row r="1381" spans="1:13">
      <c r="A1381" s="1">
        <f>HYPERLINK("http://www.twitter.com/NathanBLawrence/status/994697648694276101", "994697648694276101")</f>
        <v/>
      </c>
      <c r="B1381" s="2" t="n">
        <v>43230.91405092592</v>
      </c>
      <c r="C1381" t="n">
        <v>0</v>
      </c>
      <c r="D1381" t="n">
        <v>3</v>
      </c>
      <c r="E1381" t="s">
        <v>1376</v>
      </c>
      <c r="F1381" t="s"/>
      <c r="G1381" t="s"/>
      <c r="H1381" t="s"/>
      <c r="I1381" t="s"/>
      <c r="J1381" t="n">
        <v>0.4019</v>
      </c>
      <c r="K1381" t="n">
        <v>0</v>
      </c>
      <c r="L1381" t="n">
        <v>0.87</v>
      </c>
      <c r="M1381" t="n">
        <v>0.13</v>
      </c>
    </row>
    <row r="1382" spans="1:13">
      <c r="A1382" s="1">
        <f>HYPERLINK("http://www.twitter.com/NathanBLawrence/status/994688903578865664", "994688903578865664")</f>
        <v/>
      </c>
      <c r="B1382" s="2" t="n">
        <v>43230.88991898148</v>
      </c>
      <c r="C1382" t="n">
        <v>1</v>
      </c>
      <c r="D1382" t="n">
        <v>0</v>
      </c>
      <c r="E1382" t="s">
        <v>1377</v>
      </c>
      <c r="F1382" t="s"/>
      <c r="G1382" t="s"/>
      <c r="H1382" t="s"/>
      <c r="I1382" t="s"/>
      <c r="J1382" t="n">
        <v>-0.1431</v>
      </c>
      <c r="K1382" t="n">
        <v>0.154</v>
      </c>
      <c r="L1382" t="n">
        <v>0.708</v>
      </c>
      <c r="M1382" t="n">
        <v>0.139</v>
      </c>
    </row>
    <row r="1383" spans="1:13">
      <c r="A1383" s="1">
        <f>HYPERLINK("http://www.twitter.com/NathanBLawrence/status/994686878954803200", "994686878954803200")</f>
        <v/>
      </c>
      <c r="B1383" s="2" t="n">
        <v>43230.8843287037</v>
      </c>
      <c r="C1383" t="n">
        <v>0</v>
      </c>
      <c r="D1383" t="n">
        <v>4</v>
      </c>
      <c r="E1383" t="s">
        <v>1378</v>
      </c>
      <c r="F1383" t="s"/>
      <c r="G1383" t="s"/>
      <c r="H1383" t="s"/>
      <c r="I1383" t="s"/>
      <c r="J1383" t="n">
        <v>-0.3612</v>
      </c>
      <c r="K1383" t="n">
        <v>0.106</v>
      </c>
      <c r="L1383" t="n">
        <v>0.894</v>
      </c>
      <c r="M1383" t="n">
        <v>0</v>
      </c>
    </row>
    <row r="1384" spans="1:13">
      <c r="A1384" s="1">
        <f>HYPERLINK("http://www.twitter.com/NathanBLawrence/status/994686657331908608", "994686657331908608")</f>
        <v/>
      </c>
      <c r="B1384" s="2" t="n">
        <v>43230.88372685185</v>
      </c>
      <c r="C1384" t="n">
        <v>0</v>
      </c>
      <c r="D1384" t="n">
        <v>9</v>
      </c>
      <c r="E1384" t="s">
        <v>1379</v>
      </c>
      <c r="F1384" t="s"/>
      <c r="G1384" t="s"/>
      <c r="H1384" t="s"/>
      <c r="I1384" t="s"/>
      <c r="J1384" t="n">
        <v>-0.6452</v>
      </c>
      <c r="K1384" t="n">
        <v>0.163</v>
      </c>
      <c r="L1384" t="n">
        <v>0.837</v>
      </c>
      <c r="M1384" t="n">
        <v>0</v>
      </c>
    </row>
    <row r="1385" spans="1:13">
      <c r="A1385" s="1">
        <f>HYPERLINK("http://www.twitter.com/NathanBLawrence/status/994685397627297793", "994685397627297793")</f>
        <v/>
      </c>
      <c r="B1385" s="2" t="n">
        <v>43230.88024305556</v>
      </c>
      <c r="C1385" t="n">
        <v>0</v>
      </c>
      <c r="D1385" t="n">
        <v>14</v>
      </c>
      <c r="E1385" t="s">
        <v>1380</v>
      </c>
      <c r="F1385" t="s"/>
      <c r="G1385" t="s"/>
      <c r="H1385" t="s"/>
      <c r="I1385" t="s"/>
      <c r="J1385" t="n">
        <v>0</v>
      </c>
      <c r="K1385" t="n">
        <v>0</v>
      </c>
      <c r="L1385" t="n">
        <v>1</v>
      </c>
      <c r="M1385" t="n">
        <v>0</v>
      </c>
    </row>
    <row r="1386" spans="1:13">
      <c r="A1386" s="1">
        <f>HYPERLINK("http://www.twitter.com/NathanBLawrence/status/994684475685724160", "994684475685724160")</f>
        <v/>
      </c>
      <c r="B1386" s="2" t="n">
        <v>43230.87770833333</v>
      </c>
      <c r="C1386" t="n">
        <v>0</v>
      </c>
      <c r="D1386" t="n">
        <v>1812</v>
      </c>
      <c r="E1386" t="s">
        <v>1381</v>
      </c>
      <c r="F1386" t="s"/>
      <c r="G1386" t="s"/>
      <c r="H1386" t="s"/>
      <c r="I1386" t="s"/>
      <c r="J1386" t="n">
        <v>0.7845</v>
      </c>
      <c r="K1386" t="n">
        <v>0</v>
      </c>
      <c r="L1386" t="n">
        <v>0.706</v>
      </c>
      <c r="M1386" t="n">
        <v>0.294</v>
      </c>
    </row>
    <row r="1387" spans="1:13">
      <c r="A1387" s="1">
        <f>HYPERLINK("http://www.twitter.com/NathanBLawrence/status/994684364729540608", "994684364729540608")</f>
        <v/>
      </c>
      <c r="B1387" s="2" t="n">
        <v>43230.87739583333</v>
      </c>
      <c r="C1387" t="n">
        <v>0</v>
      </c>
      <c r="D1387" t="n">
        <v>8</v>
      </c>
      <c r="E1387" t="s">
        <v>1382</v>
      </c>
      <c r="F1387" t="s"/>
      <c r="G1387" t="s"/>
      <c r="H1387" t="s"/>
      <c r="I1387" t="s"/>
      <c r="J1387" t="n">
        <v>-0.4767</v>
      </c>
      <c r="K1387" t="n">
        <v>0.181</v>
      </c>
      <c r="L1387" t="n">
        <v>0.819</v>
      </c>
      <c r="M1387" t="n">
        <v>0</v>
      </c>
    </row>
    <row r="1388" spans="1:13">
      <c r="A1388" s="1">
        <f>HYPERLINK("http://www.twitter.com/NathanBLawrence/status/994682647988330498", "994682647988330498")</f>
        <v/>
      </c>
      <c r="B1388" s="2" t="n">
        <v>43230.87266203704</v>
      </c>
      <c r="C1388" t="n">
        <v>0</v>
      </c>
      <c r="D1388" t="n">
        <v>17</v>
      </c>
      <c r="E1388" t="s">
        <v>1383</v>
      </c>
      <c r="F1388">
        <f>HYPERLINK("http://pbs.twimg.com/media/Dc3SX1mWkAMANbN.jpg", "http://pbs.twimg.com/media/Dc3SX1mWkAMANbN.jpg")</f>
        <v/>
      </c>
      <c r="G1388" t="s"/>
      <c r="H1388" t="s"/>
      <c r="I1388" t="s"/>
      <c r="J1388" t="n">
        <v>-0.5719</v>
      </c>
      <c r="K1388" t="n">
        <v>0.15</v>
      </c>
      <c r="L1388" t="n">
        <v>0.85</v>
      </c>
      <c r="M1388" t="n">
        <v>0</v>
      </c>
    </row>
    <row r="1389" spans="1:13">
      <c r="A1389" s="1">
        <f>HYPERLINK("http://www.twitter.com/NathanBLawrence/status/994682406643884032", "994682406643884032")</f>
        <v/>
      </c>
      <c r="B1389" s="2" t="n">
        <v>43230.87199074074</v>
      </c>
      <c r="C1389" t="n">
        <v>22</v>
      </c>
      <c r="D1389" t="n">
        <v>17</v>
      </c>
      <c r="E1389" t="s">
        <v>1384</v>
      </c>
      <c r="F1389">
        <f>HYPERLINK("http://pbs.twimg.com/media/Dc3SX1mWkAMANbN.jpg", "http://pbs.twimg.com/media/Dc3SX1mWkAMANbN.jpg")</f>
        <v/>
      </c>
      <c r="G1389" t="s"/>
      <c r="H1389" t="s"/>
      <c r="I1389" t="s"/>
      <c r="J1389" t="n">
        <v>-0.6114000000000001</v>
      </c>
      <c r="K1389" t="n">
        <v>0.083</v>
      </c>
      <c r="L1389" t="n">
        <v>0.917</v>
      </c>
      <c r="M1389" t="n">
        <v>0</v>
      </c>
    </row>
    <row r="1390" spans="1:13">
      <c r="A1390" s="1">
        <f>HYPERLINK("http://www.twitter.com/NathanBLawrence/status/994681834201141248", "994681834201141248")</f>
        <v/>
      </c>
      <c r="B1390" s="2" t="n">
        <v>43230.87041666666</v>
      </c>
      <c r="C1390" t="n">
        <v>0</v>
      </c>
      <c r="D1390" t="n">
        <v>11</v>
      </c>
      <c r="E1390" t="s">
        <v>1385</v>
      </c>
      <c r="F1390" t="s"/>
      <c r="G1390" t="s"/>
      <c r="H1390" t="s"/>
      <c r="I1390" t="s"/>
      <c r="J1390" t="n">
        <v>0.1469</v>
      </c>
      <c r="K1390" t="n">
        <v>0.16</v>
      </c>
      <c r="L1390" t="n">
        <v>0.6929999999999999</v>
      </c>
      <c r="M1390" t="n">
        <v>0.147</v>
      </c>
    </row>
    <row r="1391" spans="1:13">
      <c r="A1391" s="1">
        <f>HYPERLINK("http://www.twitter.com/NathanBLawrence/status/994681653552435201", "994681653552435201")</f>
        <v/>
      </c>
      <c r="B1391" s="2" t="n">
        <v>43230.86991898148</v>
      </c>
      <c r="C1391" t="n">
        <v>0</v>
      </c>
      <c r="D1391" t="n">
        <v>8</v>
      </c>
      <c r="E1391" t="s">
        <v>1386</v>
      </c>
      <c r="F1391">
        <f>HYPERLINK("http://pbs.twimg.com/media/Dc2mW9hW0AMDhJY.jpg", "http://pbs.twimg.com/media/Dc2mW9hW0AMDhJY.jpg")</f>
        <v/>
      </c>
      <c r="G1391" t="s"/>
      <c r="H1391" t="s"/>
      <c r="I1391" t="s"/>
      <c r="J1391" t="n">
        <v>0.634</v>
      </c>
      <c r="K1391" t="n">
        <v>0</v>
      </c>
      <c r="L1391" t="n">
        <v>0.767</v>
      </c>
      <c r="M1391" t="n">
        <v>0.233</v>
      </c>
    </row>
    <row r="1392" spans="1:13">
      <c r="A1392" s="1">
        <f>HYPERLINK("http://www.twitter.com/NathanBLawrence/status/994681630852829185", "994681630852829185")</f>
        <v/>
      </c>
      <c r="B1392" s="2" t="n">
        <v>43230.86984953703</v>
      </c>
      <c r="C1392" t="n">
        <v>0</v>
      </c>
      <c r="D1392" t="n">
        <v>4</v>
      </c>
      <c r="E1392" t="s">
        <v>1387</v>
      </c>
      <c r="F1392" t="s"/>
      <c r="G1392" t="s"/>
      <c r="H1392" t="s"/>
      <c r="I1392" t="s"/>
      <c r="J1392" t="n">
        <v>0.3612</v>
      </c>
      <c r="K1392" t="n">
        <v>0</v>
      </c>
      <c r="L1392" t="n">
        <v>0.898</v>
      </c>
      <c r="M1392" t="n">
        <v>0.102</v>
      </c>
    </row>
    <row r="1393" spans="1:13">
      <c r="A1393" s="1">
        <f>HYPERLINK("http://www.twitter.com/NathanBLawrence/status/994681612775370757", "994681612775370757")</f>
        <v/>
      </c>
      <c r="B1393" s="2" t="n">
        <v>43230.86980324074</v>
      </c>
      <c r="C1393" t="n">
        <v>0</v>
      </c>
      <c r="D1393" t="n">
        <v>4</v>
      </c>
      <c r="E1393" t="s">
        <v>1388</v>
      </c>
      <c r="F1393" t="s"/>
      <c r="G1393" t="s"/>
      <c r="H1393" t="s"/>
      <c r="I1393" t="s"/>
      <c r="J1393" t="n">
        <v>0</v>
      </c>
      <c r="K1393" t="n">
        <v>0</v>
      </c>
      <c r="L1393" t="n">
        <v>1</v>
      </c>
      <c r="M1393" t="n">
        <v>0</v>
      </c>
    </row>
    <row r="1394" spans="1:13">
      <c r="A1394" s="1">
        <f>HYPERLINK("http://www.twitter.com/NathanBLawrence/status/994681593305460747", "994681593305460747")</f>
        <v/>
      </c>
      <c r="B1394" s="2" t="n">
        <v>43230.86974537037</v>
      </c>
      <c r="C1394" t="n">
        <v>0</v>
      </c>
      <c r="D1394" t="n">
        <v>2</v>
      </c>
      <c r="E1394" t="s">
        <v>1389</v>
      </c>
      <c r="F1394" t="s"/>
      <c r="G1394" t="s"/>
      <c r="H1394" t="s"/>
      <c r="I1394" t="s"/>
      <c r="J1394" t="n">
        <v>0</v>
      </c>
      <c r="K1394" t="n">
        <v>0</v>
      </c>
      <c r="L1394" t="n">
        <v>1</v>
      </c>
      <c r="M1394" t="n">
        <v>0</v>
      </c>
    </row>
    <row r="1395" spans="1:13">
      <c r="A1395" s="1">
        <f>HYPERLINK("http://www.twitter.com/NathanBLawrence/status/994681577476116480", "994681577476116480")</f>
        <v/>
      </c>
      <c r="B1395" s="2" t="n">
        <v>43230.86971064815</v>
      </c>
      <c r="C1395" t="n">
        <v>0</v>
      </c>
      <c r="D1395" t="n">
        <v>2</v>
      </c>
      <c r="E1395" t="s">
        <v>1390</v>
      </c>
      <c r="F1395" t="s"/>
      <c r="G1395" t="s"/>
      <c r="H1395" t="s"/>
      <c r="I1395" t="s"/>
      <c r="J1395" t="n">
        <v>0</v>
      </c>
      <c r="K1395" t="n">
        <v>0</v>
      </c>
      <c r="L1395" t="n">
        <v>1</v>
      </c>
      <c r="M1395" t="n">
        <v>0</v>
      </c>
    </row>
    <row r="1396" spans="1:13">
      <c r="A1396" s="1">
        <f>HYPERLINK("http://www.twitter.com/NathanBLawrence/status/994681557205114882", "994681557205114882")</f>
        <v/>
      </c>
      <c r="B1396" s="2" t="n">
        <v>43230.86965277778</v>
      </c>
      <c r="C1396" t="n">
        <v>0</v>
      </c>
      <c r="D1396" t="n">
        <v>4</v>
      </c>
      <c r="E1396" t="s">
        <v>1391</v>
      </c>
      <c r="F1396" t="s"/>
      <c r="G1396" t="s"/>
      <c r="H1396" t="s"/>
      <c r="I1396" t="s"/>
      <c r="J1396" t="n">
        <v>-0.3947</v>
      </c>
      <c r="K1396" t="n">
        <v>0.108</v>
      </c>
      <c r="L1396" t="n">
        <v>0.892</v>
      </c>
      <c r="M1396" t="n">
        <v>0</v>
      </c>
    </row>
    <row r="1397" spans="1:13">
      <c r="A1397" s="1">
        <f>HYPERLINK("http://www.twitter.com/NathanBLawrence/status/994681419954827265", "994681419954827265")</f>
        <v/>
      </c>
      <c r="B1397" s="2" t="n">
        <v>43230.86927083333</v>
      </c>
      <c r="C1397" t="n">
        <v>0</v>
      </c>
      <c r="D1397" t="n">
        <v>4</v>
      </c>
      <c r="E1397" t="s">
        <v>1392</v>
      </c>
      <c r="F1397" t="s"/>
      <c r="G1397" t="s"/>
      <c r="H1397" t="s"/>
      <c r="I1397" t="s"/>
      <c r="J1397" t="n">
        <v>0</v>
      </c>
      <c r="K1397" t="n">
        <v>0</v>
      </c>
      <c r="L1397" t="n">
        <v>1</v>
      </c>
      <c r="M1397" t="n">
        <v>0</v>
      </c>
    </row>
    <row r="1398" spans="1:13">
      <c r="A1398" s="1">
        <f>HYPERLINK("http://www.twitter.com/NathanBLawrence/status/994681024922705920", "994681024922705920")</f>
        <v/>
      </c>
      <c r="B1398" s="2" t="n">
        <v>43230.86818287037</v>
      </c>
      <c r="C1398" t="n">
        <v>0</v>
      </c>
      <c r="D1398" t="n">
        <v>3</v>
      </c>
      <c r="E1398" t="s">
        <v>1393</v>
      </c>
      <c r="F1398">
        <f>HYPERLINK("http://pbs.twimg.com/media/Dc3A06pX0AYAtb-.jpg", "http://pbs.twimg.com/media/Dc3A06pX0AYAtb-.jpg")</f>
        <v/>
      </c>
      <c r="G1398" t="s"/>
      <c r="H1398" t="s"/>
      <c r="I1398" t="s"/>
      <c r="J1398" t="n">
        <v>0</v>
      </c>
      <c r="K1398" t="n">
        <v>0</v>
      </c>
      <c r="L1398" t="n">
        <v>1</v>
      </c>
      <c r="M1398" t="n">
        <v>0</v>
      </c>
    </row>
    <row r="1399" spans="1:13">
      <c r="A1399" s="1">
        <f>HYPERLINK("http://www.twitter.com/NathanBLawrence/status/994681014994825216", "994681014994825216")</f>
        <v/>
      </c>
      <c r="B1399" s="2" t="n">
        <v>43230.86814814815</v>
      </c>
      <c r="C1399" t="n">
        <v>0</v>
      </c>
      <c r="D1399" t="n">
        <v>7</v>
      </c>
      <c r="E1399" t="s">
        <v>1394</v>
      </c>
      <c r="F1399">
        <f>HYPERLINK("http://pbs.twimg.com/media/Dc3AKmNXUAId2Ic.jpg", "http://pbs.twimg.com/media/Dc3AKmNXUAId2Ic.jpg")</f>
        <v/>
      </c>
      <c r="G1399" t="s"/>
      <c r="H1399" t="s"/>
      <c r="I1399" t="s"/>
      <c r="J1399" t="n">
        <v>0</v>
      </c>
      <c r="K1399" t="n">
        <v>0</v>
      </c>
      <c r="L1399" t="n">
        <v>1</v>
      </c>
      <c r="M1399" t="n">
        <v>0</v>
      </c>
    </row>
    <row r="1400" spans="1:13">
      <c r="A1400" s="1">
        <f>HYPERLINK("http://www.twitter.com/NathanBLawrence/status/994680977279606784", "994680977279606784")</f>
        <v/>
      </c>
      <c r="B1400" s="2" t="n">
        <v>43230.86804398148</v>
      </c>
      <c r="C1400" t="n">
        <v>1</v>
      </c>
      <c r="D1400" t="n">
        <v>0</v>
      </c>
      <c r="E1400" t="s">
        <v>1395</v>
      </c>
      <c r="F1400">
        <f>HYPERLINK("http://pbs.twimg.com/media/Dc3RBTiXcAUzU02.jpg", "http://pbs.twimg.com/media/Dc3RBTiXcAUzU02.jpg")</f>
        <v/>
      </c>
      <c r="G1400">
        <f>HYPERLINK("http://pbs.twimg.com/media/Dc3RCLFWAAMUSBC.jpg", "http://pbs.twimg.com/media/Dc3RCLFWAAMUSBC.jpg")</f>
        <v/>
      </c>
      <c r="H1400">
        <f>HYPERLINK("http://pbs.twimg.com/media/Dc3RDQqXkAEC8uS.jpg", "http://pbs.twimg.com/media/Dc3RDQqXkAEC8uS.jpg")</f>
        <v/>
      </c>
      <c r="I1400">
        <f>HYPERLINK("http://pbs.twimg.com/media/Dc3RD82XUAATfZn.jpg", "http://pbs.twimg.com/media/Dc3RD82XUAATfZn.jpg")</f>
        <v/>
      </c>
      <c r="J1400" t="n">
        <v>0</v>
      </c>
      <c r="K1400" t="n">
        <v>0</v>
      </c>
      <c r="L1400" t="n">
        <v>1</v>
      </c>
      <c r="M1400" t="n">
        <v>0</v>
      </c>
    </row>
    <row r="1401" spans="1:13">
      <c r="A1401" s="1">
        <f>HYPERLINK("http://www.twitter.com/NathanBLawrence/status/994680519592996864", "994680519592996864")</f>
        <v/>
      </c>
      <c r="B1401" s="2" t="n">
        <v>43230.86678240741</v>
      </c>
      <c r="C1401" t="n">
        <v>0</v>
      </c>
      <c r="D1401" t="n">
        <v>0</v>
      </c>
      <c r="E1401" t="s">
        <v>1396</v>
      </c>
      <c r="F1401">
        <f>HYPERLINK("http://pbs.twimg.com/media/Dc3Qpo7X4AExujW.jpg", "http://pbs.twimg.com/media/Dc3Qpo7X4AExujW.jpg")</f>
        <v/>
      </c>
      <c r="G1401" t="s"/>
      <c r="H1401" t="s"/>
      <c r="I1401" t="s"/>
      <c r="J1401" t="n">
        <v>0</v>
      </c>
      <c r="K1401" t="n">
        <v>0</v>
      </c>
      <c r="L1401" t="n">
        <v>1</v>
      </c>
      <c r="M1401" t="n">
        <v>0</v>
      </c>
    </row>
    <row r="1402" spans="1:13">
      <c r="A1402" s="1">
        <f>HYPERLINK("http://www.twitter.com/NathanBLawrence/status/994680128130158592", "994680128130158592")</f>
        <v/>
      </c>
      <c r="B1402" s="2" t="n">
        <v>43230.86570601852</v>
      </c>
      <c r="C1402" t="n">
        <v>1</v>
      </c>
      <c r="D1402" t="n">
        <v>0</v>
      </c>
      <c r="E1402" t="s">
        <v>1397</v>
      </c>
      <c r="F1402">
        <f>HYPERLINK("http://pbs.twimg.com/media/Dc3QSlsWkAAe0U6.jpg", "http://pbs.twimg.com/media/Dc3QSlsWkAAe0U6.jpg")</f>
        <v/>
      </c>
      <c r="G1402" t="s"/>
      <c r="H1402" t="s"/>
      <c r="I1402" t="s"/>
      <c r="J1402" t="n">
        <v>0</v>
      </c>
      <c r="K1402" t="n">
        <v>0</v>
      </c>
      <c r="L1402" t="n">
        <v>1</v>
      </c>
      <c r="M1402" t="n">
        <v>0</v>
      </c>
    </row>
    <row r="1403" spans="1:13">
      <c r="A1403" s="1">
        <f>HYPERLINK("http://www.twitter.com/NathanBLawrence/status/994679986094268418", "994679986094268418")</f>
        <v/>
      </c>
      <c r="B1403" s="2" t="n">
        <v>43230.8653125</v>
      </c>
      <c r="C1403" t="n">
        <v>1</v>
      </c>
      <c r="D1403" t="n">
        <v>0</v>
      </c>
      <c r="E1403" t="s">
        <v>1398</v>
      </c>
      <c r="F1403">
        <f>HYPERLINK("http://pbs.twimg.com/media/Dc3QKaCWAAIymTE.jpg", "http://pbs.twimg.com/media/Dc3QKaCWAAIymTE.jpg")</f>
        <v/>
      </c>
      <c r="G1403" t="s"/>
      <c r="H1403" t="s"/>
      <c r="I1403" t="s"/>
      <c r="J1403" t="n">
        <v>0.5423</v>
      </c>
      <c r="K1403" t="n">
        <v>0</v>
      </c>
      <c r="L1403" t="n">
        <v>0.71</v>
      </c>
      <c r="M1403" t="n">
        <v>0.29</v>
      </c>
    </row>
    <row r="1404" spans="1:13">
      <c r="A1404" s="1">
        <f>HYPERLINK("http://www.twitter.com/NathanBLawrence/status/994679877436624901", "994679877436624901")</f>
        <v/>
      </c>
      <c r="B1404" s="2" t="n">
        <v>43230.86501157407</v>
      </c>
      <c r="C1404" t="n">
        <v>0</v>
      </c>
      <c r="D1404" t="n">
        <v>0</v>
      </c>
      <c r="E1404" t="s">
        <v>1399</v>
      </c>
      <c r="F1404" t="s"/>
      <c r="G1404" t="s"/>
      <c r="H1404" t="s"/>
      <c r="I1404" t="s"/>
      <c r="J1404" t="n">
        <v>0</v>
      </c>
      <c r="K1404" t="n">
        <v>0</v>
      </c>
      <c r="L1404" t="n">
        <v>1</v>
      </c>
      <c r="M1404" t="n">
        <v>0</v>
      </c>
    </row>
    <row r="1405" spans="1:13">
      <c r="A1405" s="1">
        <f>HYPERLINK("http://www.twitter.com/NathanBLawrence/status/994672491133132801", "994672491133132801")</f>
        <v/>
      </c>
      <c r="B1405" s="2" t="n">
        <v>43230.84462962963</v>
      </c>
      <c r="C1405" t="n">
        <v>0</v>
      </c>
      <c r="D1405" t="n">
        <v>0</v>
      </c>
      <c r="E1405" t="s">
        <v>1400</v>
      </c>
      <c r="F1405" t="s"/>
      <c r="G1405" t="s"/>
      <c r="H1405" t="s"/>
      <c r="I1405" t="s"/>
      <c r="J1405" t="n">
        <v>0</v>
      </c>
      <c r="K1405" t="n">
        <v>0</v>
      </c>
      <c r="L1405" t="n">
        <v>1</v>
      </c>
      <c r="M1405" t="n">
        <v>0</v>
      </c>
    </row>
    <row r="1406" spans="1:13">
      <c r="A1406" s="1">
        <f>HYPERLINK("http://www.twitter.com/NathanBLawrence/status/994672337898344448", "994672337898344448")</f>
        <v/>
      </c>
      <c r="B1406" s="2" t="n">
        <v>43230.84421296296</v>
      </c>
      <c r="C1406" t="n">
        <v>0</v>
      </c>
      <c r="D1406" t="n">
        <v>4</v>
      </c>
      <c r="E1406" t="s">
        <v>1401</v>
      </c>
      <c r="F1406" t="s"/>
      <c r="G1406" t="s"/>
      <c r="H1406" t="s"/>
      <c r="I1406" t="s"/>
      <c r="J1406" t="n">
        <v>0</v>
      </c>
      <c r="K1406" t="n">
        <v>0</v>
      </c>
      <c r="L1406" t="n">
        <v>1</v>
      </c>
      <c r="M1406" t="n">
        <v>0</v>
      </c>
    </row>
    <row r="1407" spans="1:13">
      <c r="A1407" s="1">
        <f>HYPERLINK("http://www.twitter.com/NathanBLawrence/status/994672326624075783", "994672326624075783")</f>
        <v/>
      </c>
      <c r="B1407" s="2" t="n">
        <v>43230.84417824074</v>
      </c>
      <c r="C1407" t="n">
        <v>0</v>
      </c>
      <c r="D1407" t="n">
        <v>4</v>
      </c>
      <c r="E1407" t="s">
        <v>1402</v>
      </c>
      <c r="F1407" t="s"/>
      <c r="G1407" t="s"/>
      <c r="H1407" t="s"/>
      <c r="I1407" t="s"/>
      <c r="J1407" t="n">
        <v>0.4019</v>
      </c>
      <c r="K1407" t="n">
        <v>0</v>
      </c>
      <c r="L1407" t="n">
        <v>0.886</v>
      </c>
      <c r="M1407" t="n">
        <v>0.114</v>
      </c>
    </row>
    <row r="1408" spans="1:13">
      <c r="A1408" s="1">
        <f>HYPERLINK("http://www.twitter.com/NathanBLawrence/status/994672310798962688", "994672310798962688")</f>
        <v/>
      </c>
      <c r="B1408" s="2" t="n">
        <v>43230.84413194445</v>
      </c>
      <c r="C1408" t="n">
        <v>0</v>
      </c>
      <c r="D1408" t="n">
        <v>12</v>
      </c>
      <c r="E1408" t="s">
        <v>1403</v>
      </c>
      <c r="F1408" t="s"/>
      <c r="G1408" t="s"/>
      <c r="H1408" t="s"/>
      <c r="I1408" t="s"/>
      <c r="J1408" t="n">
        <v>0</v>
      </c>
      <c r="K1408" t="n">
        <v>0</v>
      </c>
      <c r="L1408" t="n">
        <v>1</v>
      </c>
      <c r="M1408" t="n">
        <v>0</v>
      </c>
    </row>
    <row r="1409" spans="1:13">
      <c r="A1409" s="1">
        <f>HYPERLINK("http://www.twitter.com/NathanBLawrence/status/994671508990685185", "994671508990685185")</f>
        <v/>
      </c>
      <c r="B1409" s="2" t="n">
        <v>43230.8419212963</v>
      </c>
      <c r="C1409" t="n">
        <v>0</v>
      </c>
      <c r="D1409" t="n">
        <v>5</v>
      </c>
      <c r="E1409" t="s">
        <v>1404</v>
      </c>
      <c r="F1409">
        <f>HYPERLINK("http://pbs.twimg.com/media/Dc2-QphWkAEXw6f.jpg", "http://pbs.twimg.com/media/Dc2-QphWkAEXw6f.jpg")</f>
        <v/>
      </c>
      <c r="G1409" t="s"/>
      <c r="H1409" t="s"/>
      <c r="I1409" t="s"/>
      <c r="J1409" t="n">
        <v>0</v>
      </c>
      <c r="K1409" t="n">
        <v>0</v>
      </c>
      <c r="L1409" t="n">
        <v>1</v>
      </c>
      <c r="M1409" t="n">
        <v>0</v>
      </c>
    </row>
    <row r="1410" spans="1:13">
      <c r="A1410" s="1">
        <f>HYPERLINK("http://www.twitter.com/NathanBLawrence/status/994671469866209282", "994671469866209282")</f>
        <v/>
      </c>
      <c r="B1410" s="2" t="n">
        <v>43230.84181712963</v>
      </c>
      <c r="C1410" t="n">
        <v>0</v>
      </c>
      <c r="D1410" t="n">
        <v>13</v>
      </c>
      <c r="E1410" t="s">
        <v>1405</v>
      </c>
      <c r="F1410">
        <f>HYPERLINK("http://pbs.twimg.com/media/Dc2DVrwW4AUk41y.jpg", "http://pbs.twimg.com/media/Dc2DVrwW4AUk41y.jpg")</f>
        <v/>
      </c>
      <c r="G1410" t="s"/>
      <c r="H1410" t="s"/>
      <c r="I1410" t="s"/>
      <c r="J1410" t="n">
        <v>-0.794</v>
      </c>
      <c r="K1410" t="n">
        <v>0.261</v>
      </c>
      <c r="L1410" t="n">
        <v>0.739</v>
      </c>
      <c r="M1410" t="n">
        <v>0</v>
      </c>
    </row>
    <row r="1411" spans="1:13">
      <c r="A1411" s="1">
        <f>HYPERLINK("http://www.twitter.com/NathanBLawrence/status/994666000388952070", "994666000388952070")</f>
        <v/>
      </c>
      <c r="B1411" s="2" t="n">
        <v>43230.82672453704</v>
      </c>
      <c r="C1411" t="n">
        <v>10</v>
      </c>
      <c r="D1411" t="n">
        <v>7</v>
      </c>
      <c r="E1411" t="s">
        <v>1406</v>
      </c>
      <c r="F1411">
        <f>HYPERLINK("http://pbs.twimg.com/media/Dc3Dc4LW4AA21xW.jpg", "http://pbs.twimg.com/media/Dc3Dc4LW4AA21xW.jpg")</f>
        <v/>
      </c>
      <c r="G1411" t="s"/>
      <c r="H1411" t="s"/>
      <c r="I1411" t="s"/>
      <c r="J1411" t="n">
        <v>-0.6745</v>
      </c>
      <c r="K1411" t="n">
        <v>0.107</v>
      </c>
      <c r="L1411" t="n">
        <v>0.893</v>
      </c>
      <c r="M1411" t="n">
        <v>0</v>
      </c>
    </row>
    <row r="1412" spans="1:13">
      <c r="A1412" s="1">
        <f>HYPERLINK("http://www.twitter.com/NathanBLawrence/status/994664257022251008", "994664257022251008")</f>
        <v/>
      </c>
      <c r="B1412" s="2" t="n">
        <v>43230.82190972222</v>
      </c>
      <c r="C1412" t="n">
        <v>7</v>
      </c>
      <c r="D1412" t="n">
        <v>0</v>
      </c>
      <c r="E1412" t="s">
        <v>1407</v>
      </c>
      <c r="F1412" t="s"/>
      <c r="G1412" t="s"/>
      <c r="H1412" t="s"/>
      <c r="I1412" t="s"/>
      <c r="J1412" t="n">
        <v>-0.5994</v>
      </c>
      <c r="K1412" t="n">
        <v>0.078</v>
      </c>
      <c r="L1412" t="n">
        <v>0.905</v>
      </c>
      <c r="M1412" t="n">
        <v>0.017</v>
      </c>
    </row>
    <row r="1413" spans="1:13">
      <c r="A1413" s="1">
        <f>HYPERLINK("http://www.twitter.com/NathanBLawrence/status/994663115798339585", "994663115798339585")</f>
        <v/>
      </c>
      <c r="B1413" s="2" t="n">
        <v>43230.81876157408</v>
      </c>
      <c r="C1413" t="n">
        <v>7</v>
      </c>
      <c r="D1413" t="n">
        <v>3</v>
      </c>
      <c r="E1413" t="s">
        <v>1408</v>
      </c>
      <c r="F1413">
        <f>HYPERLINK("http://pbs.twimg.com/media/Dc3A06pX0AYAtb-.jpg", "http://pbs.twimg.com/media/Dc3A06pX0AYAtb-.jpg")</f>
        <v/>
      </c>
      <c r="G1413" t="s"/>
      <c r="H1413" t="s"/>
      <c r="I1413" t="s"/>
      <c r="J1413" t="n">
        <v>0</v>
      </c>
      <c r="K1413" t="n">
        <v>0</v>
      </c>
      <c r="L1413" t="n">
        <v>1</v>
      </c>
      <c r="M1413" t="n">
        <v>0</v>
      </c>
    </row>
    <row r="1414" spans="1:13">
      <c r="A1414" s="1">
        <f>HYPERLINK("http://www.twitter.com/NathanBLawrence/status/994662388749209600", "994662388749209600")</f>
        <v/>
      </c>
      <c r="B1414" s="2" t="n">
        <v>43230.81675925926</v>
      </c>
      <c r="C1414" t="n">
        <v>9</v>
      </c>
      <c r="D1414" t="n">
        <v>7</v>
      </c>
      <c r="E1414" t="s">
        <v>1409</v>
      </c>
      <c r="F1414">
        <f>HYPERLINK("http://pbs.twimg.com/media/Dc3AKmNXUAId2Ic.jpg", "http://pbs.twimg.com/media/Dc3AKmNXUAId2Ic.jpg")</f>
        <v/>
      </c>
      <c r="G1414" t="s"/>
      <c r="H1414" t="s"/>
      <c r="I1414" t="s"/>
      <c r="J1414" t="n">
        <v>0</v>
      </c>
      <c r="K1414" t="n">
        <v>0</v>
      </c>
      <c r="L1414" t="n">
        <v>1</v>
      </c>
      <c r="M1414" t="n">
        <v>0</v>
      </c>
    </row>
    <row r="1415" spans="1:13">
      <c r="A1415" s="1">
        <f>HYPERLINK("http://www.twitter.com/NathanBLawrence/status/994660295191810048", "994660295191810048")</f>
        <v/>
      </c>
      <c r="B1415" s="2" t="n">
        <v>43230.81097222222</v>
      </c>
      <c r="C1415" t="n">
        <v>10</v>
      </c>
      <c r="D1415" t="n">
        <v>5</v>
      </c>
      <c r="E1415" t="s">
        <v>1410</v>
      </c>
      <c r="F1415">
        <f>HYPERLINK("http://pbs.twimg.com/media/Dc2-QphWkAEXw6f.jpg", "http://pbs.twimg.com/media/Dc2-QphWkAEXw6f.jpg")</f>
        <v/>
      </c>
      <c r="G1415" t="s"/>
      <c r="H1415" t="s"/>
      <c r="I1415" t="s"/>
      <c r="J1415" t="n">
        <v>0</v>
      </c>
      <c r="K1415" t="n">
        <v>0</v>
      </c>
      <c r="L1415" t="n">
        <v>1</v>
      </c>
      <c r="M1415" t="n">
        <v>0</v>
      </c>
    </row>
    <row r="1416" spans="1:13">
      <c r="A1416" s="1">
        <f>HYPERLINK("http://www.twitter.com/NathanBLawrence/status/994658806046085122", "994658806046085122")</f>
        <v/>
      </c>
      <c r="B1416" s="2" t="n">
        <v>43230.80686342593</v>
      </c>
      <c r="C1416" t="n">
        <v>0</v>
      </c>
      <c r="D1416" t="n">
        <v>5</v>
      </c>
      <c r="E1416" t="s">
        <v>1411</v>
      </c>
      <c r="F1416" t="s"/>
      <c r="G1416" t="s"/>
      <c r="H1416" t="s"/>
      <c r="I1416" t="s"/>
      <c r="J1416" t="n">
        <v>0</v>
      </c>
      <c r="K1416" t="n">
        <v>0</v>
      </c>
      <c r="L1416" t="n">
        <v>1</v>
      </c>
      <c r="M1416" t="n">
        <v>0</v>
      </c>
    </row>
    <row r="1417" spans="1:13">
      <c r="A1417" s="1">
        <f>HYPERLINK("http://www.twitter.com/NathanBLawrence/status/994658787318550529", "994658787318550529")</f>
        <v/>
      </c>
      <c r="B1417" s="2" t="n">
        <v>43230.80681712963</v>
      </c>
      <c r="C1417" t="n">
        <v>0</v>
      </c>
      <c r="D1417" t="n">
        <v>8</v>
      </c>
      <c r="E1417" t="s">
        <v>1412</v>
      </c>
      <c r="F1417">
        <f>HYPERLINK("http://pbs.twimg.com/media/Dc21-X7XcAAdFNW.jpg", "http://pbs.twimg.com/media/Dc21-X7XcAAdFNW.jpg")</f>
        <v/>
      </c>
      <c r="G1417" t="s"/>
      <c r="H1417" t="s"/>
      <c r="I1417" t="s"/>
      <c r="J1417" t="n">
        <v>0</v>
      </c>
      <c r="K1417" t="n">
        <v>0</v>
      </c>
      <c r="L1417" t="n">
        <v>1</v>
      </c>
      <c r="M1417" t="n">
        <v>0</v>
      </c>
    </row>
    <row r="1418" spans="1:13">
      <c r="A1418" s="1">
        <f>HYPERLINK("http://www.twitter.com/NathanBLawrence/status/994656504602157057", "994656504602157057")</f>
        <v/>
      </c>
      <c r="B1418" s="2" t="n">
        <v>43230.80052083333</v>
      </c>
      <c r="C1418" t="n">
        <v>0</v>
      </c>
      <c r="D1418" t="n">
        <v>8</v>
      </c>
      <c r="E1418" t="s">
        <v>1413</v>
      </c>
      <c r="F1418" t="s"/>
      <c r="G1418" t="s"/>
      <c r="H1418" t="s"/>
      <c r="I1418" t="s"/>
      <c r="J1418" t="n">
        <v>0</v>
      </c>
      <c r="K1418" t="n">
        <v>0</v>
      </c>
      <c r="L1418" t="n">
        <v>1</v>
      </c>
      <c r="M1418" t="n">
        <v>0</v>
      </c>
    </row>
    <row r="1419" spans="1:13">
      <c r="A1419" s="1">
        <f>HYPERLINK("http://www.twitter.com/NathanBLawrence/status/994656398066798592", "994656398066798592")</f>
        <v/>
      </c>
      <c r="B1419" s="2" t="n">
        <v>43230.80021990741</v>
      </c>
      <c r="C1419" t="n">
        <v>1</v>
      </c>
      <c r="D1419" t="n">
        <v>0</v>
      </c>
      <c r="E1419" t="s">
        <v>1414</v>
      </c>
      <c r="F1419" t="s"/>
      <c r="G1419" t="s"/>
      <c r="H1419" t="s"/>
      <c r="I1419" t="s"/>
      <c r="J1419" t="n">
        <v>0.6652</v>
      </c>
      <c r="K1419" t="n">
        <v>0.13</v>
      </c>
      <c r="L1419" t="n">
        <v>0.611</v>
      </c>
      <c r="M1419" t="n">
        <v>0.259</v>
      </c>
    </row>
    <row r="1420" spans="1:13">
      <c r="A1420" s="1">
        <f>HYPERLINK("http://www.twitter.com/NathanBLawrence/status/994656100841648128", "994656100841648128")</f>
        <v/>
      </c>
      <c r="B1420" s="2" t="n">
        <v>43230.79939814815</v>
      </c>
      <c r="C1420" t="n">
        <v>0</v>
      </c>
      <c r="D1420" t="n">
        <v>12</v>
      </c>
      <c r="E1420" t="s">
        <v>1415</v>
      </c>
      <c r="F1420">
        <f>HYPERLINK("http://pbs.twimg.com/media/Dc2bu6AVAAE8JMq.jpg", "http://pbs.twimg.com/media/Dc2bu6AVAAE8JMq.jpg")</f>
        <v/>
      </c>
      <c r="G1420" t="s"/>
      <c r="H1420" t="s"/>
      <c r="I1420" t="s"/>
      <c r="J1420" t="n">
        <v>-0.7506</v>
      </c>
      <c r="K1420" t="n">
        <v>0.262</v>
      </c>
      <c r="L1420" t="n">
        <v>0.738</v>
      </c>
      <c r="M1420" t="n">
        <v>0</v>
      </c>
    </row>
    <row r="1421" spans="1:13">
      <c r="A1421" s="1">
        <f>HYPERLINK("http://www.twitter.com/NathanBLawrence/status/994655979370401792", "994655979370401792")</f>
        <v/>
      </c>
      <c r="B1421" s="2" t="n">
        <v>43230.7990625</v>
      </c>
      <c r="C1421" t="n">
        <v>1</v>
      </c>
      <c r="D1421" t="n">
        <v>0</v>
      </c>
      <c r="E1421" t="s">
        <v>309</v>
      </c>
      <c r="F1421" t="s"/>
      <c r="G1421" t="s"/>
      <c r="H1421" t="s"/>
      <c r="I1421" t="s"/>
      <c r="J1421" t="n">
        <v>0</v>
      </c>
      <c r="K1421" t="n">
        <v>0</v>
      </c>
      <c r="L1421" t="n">
        <v>1</v>
      </c>
      <c r="M1421" t="n">
        <v>0</v>
      </c>
    </row>
    <row r="1422" spans="1:13">
      <c r="A1422" s="1">
        <f>HYPERLINK("http://www.twitter.com/NathanBLawrence/status/994655734288744449", "994655734288744449")</f>
        <v/>
      </c>
      <c r="B1422" s="2" t="n">
        <v>43230.7983912037</v>
      </c>
      <c r="C1422" t="n">
        <v>3</v>
      </c>
      <c r="D1422" t="n">
        <v>0</v>
      </c>
      <c r="E1422" t="s">
        <v>590</v>
      </c>
      <c r="F1422" t="s"/>
      <c r="G1422" t="s"/>
      <c r="H1422" t="s"/>
      <c r="I1422" t="s"/>
      <c r="J1422" t="n">
        <v>0</v>
      </c>
      <c r="K1422" t="n">
        <v>0</v>
      </c>
      <c r="L1422" t="n">
        <v>1</v>
      </c>
      <c r="M1422" t="n">
        <v>0</v>
      </c>
    </row>
    <row r="1423" spans="1:13">
      <c r="A1423" s="1">
        <f>HYPERLINK("http://www.twitter.com/NathanBLawrence/status/994655542026166273", "994655542026166273")</f>
        <v/>
      </c>
      <c r="B1423" s="2" t="n">
        <v>43230.79785879629</v>
      </c>
      <c r="C1423" t="n">
        <v>3</v>
      </c>
      <c r="D1423" t="n">
        <v>0</v>
      </c>
      <c r="E1423" t="s">
        <v>311</v>
      </c>
      <c r="F1423" t="s"/>
      <c r="G1423" t="s"/>
      <c r="H1423" t="s"/>
      <c r="I1423" t="s"/>
      <c r="J1423" t="n">
        <v>0</v>
      </c>
      <c r="K1423" t="n">
        <v>0</v>
      </c>
      <c r="L1423" t="n">
        <v>1</v>
      </c>
      <c r="M1423" t="n">
        <v>0</v>
      </c>
    </row>
    <row r="1424" spans="1:13">
      <c r="A1424" s="1">
        <f>HYPERLINK("http://www.twitter.com/NathanBLawrence/status/994652020668854272", "994652020668854272")</f>
        <v/>
      </c>
      <c r="B1424" s="2" t="n">
        <v>43230.78814814815</v>
      </c>
      <c r="C1424" t="n">
        <v>3</v>
      </c>
      <c r="D1424" t="n">
        <v>2</v>
      </c>
      <c r="E1424" t="s">
        <v>1416</v>
      </c>
      <c r="F1424" t="s"/>
      <c r="G1424" t="s"/>
      <c r="H1424" t="s"/>
      <c r="I1424" t="s"/>
      <c r="J1424" t="n">
        <v>0</v>
      </c>
      <c r="K1424" t="n">
        <v>0</v>
      </c>
      <c r="L1424" t="n">
        <v>1</v>
      </c>
      <c r="M1424" t="n">
        <v>0</v>
      </c>
    </row>
    <row r="1425" spans="1:13">
      <c r="A1425" s="1">
        <f>HYPERLINK("http://www.twitter.com/NathanBLawrence/status/994651198501408768", "994651198501408768")</f>
        <v/>
      </c>
      <c r="B1425" s="2" t="n">
        <v>43230.78587962963</v>
      </c>
      <c r="C1425" t="n">
        <v>11</v>
      </c>
      <c r="D1425" t="n">
        <v>8</v>
      </c>
      <c r="E1425" t="s">
        <v>1417</v>
      </c>
      <c r="F1425">
        <f>HYPERLINK("http://pbs.twimg.com/media/Dc21-X7XcAAdFNW.jpg", "http://pbs.twimg.com/media/Dc21-X7XcAAdFNW.jpg")</f>
        <v/>
      </c>
      <c r="G1425" t="s"/>
      <c r="H1425" t="s"/>
      <c r="I1425" t="s"/>
      <c r="J1425" t="n">
        <v>0</v>
      </c>
      <c r="K1425" t="n">
        <v>0</v>
      </c>
      <c r="L1425" t="n">
        <v>1</v>
      </c>
      <c r="M1425" t="n">
        <v>0</v>
      </c>
    </row>
    <row r="1426" spans="1:13">
      <c r="A1426" s="1">
        <f>HYPERLINK("http://www.twitter.com/NathanBLawrence/status/994639917216161792", "994639917216161792")</f>
        <v/>
      </c>
      <c r="B1426" s="2" t="n">
        <v>43230.75474537037</v>
      </c>
      <c r="C1426" t="n">
        <v>0</v>
      </c>
      <c r="D1426" t="n">
        <v>3</v>
      </c>
      <c r="E1426" t="s">
        <v>1418</v>
      </c>
      <c r="F1426" t="s"/>
      <c r="G1426" t="s"/>
      <c r="H1426" t="s"/>
      <c r="I1426" t="s"/>
      <c r="J1426" t="n">
        <v>0.6249</v>
      </c>
      <c r="K1426" t="n">
        <v>0</v>
      </c>
      <c r="L1426" t="n">
        <v>0.797</v>
      </c>
      <c r="M1426" t="n">
        <v>0.203</v>
      </c>
    </row>
    <row r="1427" spans="1:13">
      <c r="A1427" s="1">
        <f>HYPERLINK("http://www.twitter.com/NathanBLawrence/status/994639892801052672", "994639892801052672")</f>
        <v/>
      </c>
      <c r="B1427" s="2" t="n">
        <v>43230.75467592593</v>
      </c>
      <c r="C1427" t="n">
        <v>0</v>
      </c>
      <c r="D1427" t="n">
        <v>8</v>
      </c>
      <c r="E1427" t="s">
        <v>1419</v>
      </c>
      <c r="F1427" t="s"/>
      <c r="G1427" t="s"/>
      <c r="H1427" t="s"/>
      <c r="I1427" t="s"/>
      <c r="J1427" t="n">
        <v>0</v>
      </c>
      <c r="K1427" t="n">
        <v>0</v>
      </c>
      <c r="L1427" t="n">
        <v>1</v>
      </c>
      <c r="M1427" t="n">
        <v>0</v>
      </c>
    </row>
    <row r="1428" spans="1:13">
      <c r="A1428" s="1">
        <f>HYPERLINK("http://www.twitter.com/NathanBLawrence/status/994637950129491968", "994637950129491968")</f>
        <v/>
      </c>
      <c r="B1428" s="2" t="n">
        <v>43230.74931712963</v>
      </c>
      <c r="C1428" t="n">
        <v>14</v>
      </c>
      <c r="D1428" t="n">
        <v>8</v>
      </c>
      <c r="E1428" t="s">
        <v>1420</v>
      </c>
      <c r="F1428" t="s"/>
      <c r="G1428" t="s"/>
      <c r="H1428" t="s"/>
      <c r="I1428" t="s"/>
      <c r="J1428" t="n">
        <v>0</v>
      </c>
      <c r="K1428" t="n">
        <v>0</v>
      </c>
      <c r="L1428" t="n">
        <v>1</v>
      </c>
      <c r="M1428" t="n">
        <v>0</v>
      </c>
    </row>
    <row r="1429" spans="1:13">
      <c r="A1429" s="1">
        <f>HYPERLINK("http://www.twitter.com/NathanBLawrence/status/994637578220556291", "994637578220556291")</f>
        <v/>
      </c>
      <c r="B1429" s="2" t="n">
        <v>43230.74828703704</v>
      </c>
      <c r="C1429" t="n">
        <v>0</v>
      </c>
      <c r="D1429" t="n">
        <v>16</v>
      </c>
      <c r="E1429" t="s">
        <v>1421</v>
      </c>
      <c r="F1429">
        <f>HYPERLINK("http://pbs.twimg.com/media/Dc2pfzWW4AAq-cS.jpg", "http://pbs.twimg.com/media/Dc2pfzWW4AAq-cS.jpg")</f>
        <v/>
      </c>
      <c r="G1429" t="s"/>
      <c r="H1429" t="s"/>
      <c r="I1429" t="s"/>
      <c r="J1429" t="n">
        <v>0</v>
      </c>
      <c r="K1429" t="n">
        <v>0</v>
      </c>
      <c r="L1429" t="n">
        <v>1</v>
      </c>
      <c r="M1429" t="n">
        <v>0</v>
      </c>
    </row>
    <row r="1430" spans="1:13">
      <c r="A1430" s="1">
        <f>HYPERLINK("http://www.twitter.com/NathanBLawrence/status/994637526601170945", "994637526601170945")</f>
        <v/>
      </c>
      <c r="B1430" s="2" t="n">
        <v>43230.74814814814</v>
      </c>
      <c r="C1430" t="n">
        <v>0</v>
      </c>
      <c r="D1430" t="n">
        <v>1</v>
      </c>
      <c r="E1430" t="s">
        <v>1422</v>
      </c>
      <c r="F1430">
        <f>HYPERLINK("http://pbs.twimg.com/media/Dc2hr02XcAABb5c.jpg", "http://pbs.twimg.com/media/Dc2hr02XcAABb5c.jpg")</f>
        <v/>
      </c>
      <c r="G1430" t="s"/>
      <c r="H1430" t="s"/>
      <c r="I1430" t="s"/>
      <c r="J1430" t="n">
        <v>0</v>
      </c>
      <c r="K1430" t="n">
        <v>0</v>
      </c>
      <c r="L1430" t="n">
        <v>1</v>
      </c>
      <c r="M1430" t="n">
        <v>0</v>
      </c>
    </row>
    <row r="1431" spans="1:13">
      <c r="A1431" s="1">
        <f>HYPERLINK("http://www.twitter.com/NathanBLawrence/status/994637504446943237", "994637504446943237")</f>
        <v/>
      </c>
      <c r="B1431" s="2" t="n">
        <v>43230.74809027778</v>
      </c>
      <c r="C1431" t="n">
        <v>0</v>
      </c>
      <c r="D1431" t="n">
        <v>1</v>
      </c>
      <c r="E1431" t="s">
        <v>1423</v>
      </c>
      <c r="F1431">
        <f>HYPERLINK("http://pbs.twimg.com/media/Dc2iLf5XcAErruS.jpg", "http://pbs.twimg.com/media/Dc2iLf5XcAErruS.jpg")</f>
        <v/>
      </c>
      <c r="G1431" t="s"/>
      <c r="H1431" t="s"/>
      <c r="I1431" t="s"/>
      <c r="J1431" t="n">
        <v>0</v>
      </c>
      <c r="K1431" t="n">
        <v>0</v>
      </c>
      <c r="L1431" t="n">
        <v>1</v>
      </c>
      <c r="M1431" t="n">
        <v>0</v>
      </c>
    </row>
    <row r="1432" spans="1:13">
      <c r="A1432" s="1">
        <f>HYPERLINK("http://www.twitter.com/NathanBLawrence/status/994637466731728896", "994637466731728896")</f>
        <v/>
      </c>
      <c r="B1432" s="2" t="n">
        <v>43230.74798611111</v>
      </c>
      <c r="C1432" t="n">
        <v>20</v>
      </c>
      <c r="D1432" t="n">
        <v>16</v>
      </c>
      <c r="E1432" t="s">
        <v>1424</v>
      </c>
      <c r="F1432">
        <f>HYPERLINK("http://pbs.twimg.com/media/Dc2pfzWW4AAq-cS.jpg", "http://pbs.twimg.com/media/Dc2pfzWW4AAq-cS.jpg")</f>
        <v/>
      </c>
      <c r="G1432" t="s"/>
      <c r="H1432" t="s"/>
      <c r="I1432" t="s"/>
      <c r="J1432" t="n">
        <v>0</v>
      </c>
      <c r="K1432" t="n">
        <v>0</v>
      </c>
      <c r="L1432" t="n">
        <v>1</v>
      </c>
      <c r="M1432" t="n">
        <v>0</v>
      </c>
    </row>
    <row r="1433" spans="1:13">
      <c r="A1433" s="1">
        <f>HYPERLINK("http://www.twitter.com/NathanBLawrence/status/994637130805719040", "994637130805719040")</f>
        <v/>
      </c>
      <c r="B1433" s="2" t="n">
        <v>43230.74706018518</v>
      </c>
      <c r="C1433" t="n">
        <v>11</v>
      </c>
      <c r="D1433" t="n">
        <v>3</v>
      </c>
      <c r="E1433" t="s">
        <v>1425</v>
      </c>
      <c r="F1433" t="s"/>
      <c r="G1433" t="s"/>
      <c r="H1433" t="s"/>
      <c r="I1433" t="s"/>
      <c r="J1433" t="n">
        <v>0.6249</v>
      </c>
      <c r="K1433" t="n">
        <v>0</v>
      </c>
      <c r="L1433" t="n">
        <v>0.779</v>
      </c>
      <c r="M1433" t="n">
        <v>0.221</v>
      </c>
    </row>
    <row r="1434" spans="1:13">
      <c r="A1434" s="1">
        <f>HYPERLINK("http://www.twitter.com/NathanBLawrence/status/994634079554428928", "994634079554428928")</f>
        <v/>
      </c>
      <c r="B1434" s="2" t="n">
        <v>43230.73863425926</v>
      </c>
      <c r="C1434" t="n">
        <v>0</v>
      </c>
      <c r="D1434" t="n">
        <v>6</v>
      </c>
      <c r="E1434" t="s">
        <v>1426</v>
      </c>
      <c r="F1434">
        <f>HYPERLINK("http://pbs.twimg.com/media/Dc2ha-MXcAEEpsw.jpg", "http://pbs.twimg.com/media/Dc2ha-MXcAEEpsw.jpg")</f>
        <v/>
      </c>
      <c r="G1434" t="s"/>
      <c r="H1434" t="s"/>
      <c r="I1434" t="s"/>
      <c r="J1434" t="n">
        <v>0</v>
      </c>
      <c r="K1434" t="n">
        <v>0</v>
      </c>
      <c r="L1434" t="n">
        <v>1</v>
      </c>
      <c r="M1434" t="n">
        <v>0</v>
      </c>
    </row>
    <row r="1435" spans="1:13">
      <c r="A1435" s="1">
        <f>HYPERLINK("http://www.twitter.com/NathanBLawrence/status/994634019894677504", "994634019894677504")</f>
        <v/>
      </c>
      <c r="B1435" s="2" t="n">
        <v>43230.73847222222</v>
      </c>
      <c r="C1435" t="n">
        <v>6</v>
      </c>
      <c r="D1435" t="n">
        <v>8</v>
      </c>
      <c r="E1435" t="s">
        <v>1427</v>
      </c>
      <c r="F1435">
        <f>HYPERLINK("http://pbs.twimg.com/media/Dc2mW9hW0AMDhJY.jpg", "http://pbs.twimg.com/media/Dc2mW9hW0AMDhJY.jpg")</f>
        <v/>
      </c>
      <c r="G1435" t="s"/>
      <c r="H1435" t="s"/>
      <c r="I1435" t="s"/>
      <c r="J1435" t="n">
        <v>0.634</v>
      </c>
      <c r="K1435" t="n">
        <v>0</v>
      </c>
      <c r="L1435" t="n">
        <v>0.743</v>
      </c>
      <c r="M1435" t="n">
        <v>0.257</v>
      </c>
    </row>
    <row r="1436" spans="1:13">
      <c r="A1436" s="1">
        <f>HYPERLINK("http://www.twitter.com/NathanBLawrence/status/994629477492764672", "994629477492764672")</f>
        <v/>
      </c>
      <c r="B1436" s="2" t="n">
        <v>43230.7259375</v>
      </c>
      <c r="C1436" t="n">
        <v>4</v>
      </c>
      <c r="D1436" t="n">
        <v>1</v>
      </c>
      <c r="E1436" t="s">
        <v>1428</v>
      </c>
      <c r="F1436">
        <f>HYPERLINK("http://pbs.twimg.com/media/Dc2iLf5XcAErruS.jpg", "http://pbs.twimg.com/media/Dc2iLf5XcAErruS.jpg")</f>
        <v/>
      </c>
      <c r="G1436" t="s"/>
      <c r="H1436" t="s"/>
      <c r="I1436" t="s"/>
      <c r="J1436" t="n">
        <v>0</v>
      </c>
      <c r="K1436" t="n">
        <v>0</v>
      </c>
      <c r="L1436" t="n">
        <v>1</v>
      </c>
      <c r="M1436" t="n">
        <v>0</v>
      </c>
    </row>
    <row r="1437" spans="1:13">
      <c r="A1437" s="1">
        <f>HYPERLINK("http://www.twitter.com/NathanBLawrence/status/994628875715010561", "994628875715010561")</f>
        <v/>
      </c>
      <c r="B1437" s="2" t="n">
        <v>43230.72427083334</v>
      </c>
      <c r="C1437" t="n">
        <v>1</v>
      </c>
      <c r="D1437" t="n">
        <v>1</v>
      </c>
      <c r="E1437" t="s">
        <v>1429</v>
      </c>
      <c r="F1437">
        <f>HYPERLINK("http://pbs.twimg.com/media/Dc2hr02XcAABb5c.jpg", "http://pbs.twimg.com/media/Dc2hr02XcAABb5c.jpg")</f>
        <v/>
      </c>
      <c r="G1437" t="s"/>
      <c r="H1437" t="s"/>
      <c r="I1437" t="s"/>
      <c r="J1437" t="n">
        <v>0</v>
      </c>
      <c r="K1437" t="n">
        <v>0</v>
      </c>
      <c r="L1437" t="n">
        <v>1</v>
      </c>
      <c r="M1437" t="n">
        <v>0</v>
      </c>
    </row>
    <row r="1438" spans="1:13">
      <c r="A1438" s="1">
        <f>HYPERLINK("http://www.twitter.com/NathanBLawrence/status/994628610752503808", "994628610752503808")</f>
        <v/>
      </c>
      <c r="B1438" s="2" t="n">
        <v>43230.72354166667</v>
      </c>
      <c r="C1438" t="n">
        <v>7</v>
      </c>
      <c r="D1438" t="n">
        <v>6</v>
      </c>
      <c r="E1438" t="s">
        <v>1430</v>
      </c>
      <c r="F1438">
        <f>HYPERLINK("http://pbs.twimg.com/media/Dc2ha-MXcAEEpsw.jpg", "http://pbs.twimg.com/media/Dc2ha-MXcAEEpsw.jpg")</f>
        <v/>
      </c>
      <c r="G1438" t="s"/>
      <c r="H1438" t="s"/>
      <c r="I1438" t="s"/>
      <c r="J1438" t="n">
        <v>0</v>
      </c>
      <c r="K1438" t="n">
        <v>0</v>
      </c>
      <c r="L1438" t="n">
        <v>1</v>
      </c>
      <c r="M1438" t="n">
        <v>0</v>
      </c>
    </row>
    <row r="1439" spans="1:13">
      <c r="A1439" s="1">
        <f>HYPERLINK("http://www.twitter.com/NathanBLawrence/status/994628298113249280", "994628298113249280")</f>
        <v/>
      </c>
      <c r="B1439" s="2" t="n">
        <v>43230.72268518519</v>
      </c>
      <c r="C1439" t="n">
        <v>0</v>
      </c>
      <c r="D1439" t="n">
        <v>9</v>
      </c>
      <c r="E1439" t="s">
        <v>1431</v>
      </c>
      <c r="F1439" t="s"/>
      <c r="G1439" t="s"/>
      <c r="H1439" t="s"/>
      <c r="I1439" t="s"/>
      <c r="J1439" t="n">
        <v>-0.5574</v>
      </c>
      <c r="K1439" t="n">
        <v>0.146</v>
      </c>
      <c r="L1439" t="n">
        <v>0.854</v>
      </c>
      <c r="M1439" t="n">
        <v>0</v>
      </c>
    </row>
    <row r="1440" spans="1:13">
      <c r="A1440" s="1">
        <f>HYPERLINK("http://www.twitter.com/NathanBLawrence/status/994628247886422023", "994628247886422023")</f>
        <v/>
      </c>
      <c r="B1440" s="2" t="n">
        <v>43230.7225462963</v>
      </c>
      <c r="C1440" t="n">
        <v>0</v>
      </c>
      <c r="D1440" t="n">
        <v>10</v>
      </c>
      <c r="E1440" t="s">
        <v>1432</v>
      </c>
      <c r="F1440">
        <f>HYPERLINK("http://pbs.twimg.com/media/Dc2YpqeXUAAfLRM.jpg", "http://pbs.twimg.com/media/Dc2YpqeXUAAfLRM.jpg")</f>
        <v/>
      </c>
      <c r="G1440" t="s"/>
      <c r="H1440" t="s"/>
      <c r="I1440" t="s"/>
      <c r="J1440" t="n">
        <v>0</v>
      </c>
      <c r="K1440" t="n">
        <v>0</v>
      </c>
      <c r="L1440" t="n">
        <v>1</v>
      </c>
      <c r="M1440" t="n">
        <v>0</v>
      </c>
    </row>
    <row r="1441" spans="1:13">
      <c r="A1441" s="1">
        <f>HYPERLINK("http://www.twitter.com/NathanBLawrence/status/994628155955609605", "994628155955609605")</f>
        <v/>
      </c>
      <c r="B1441" s="2" t="n">
        <v>43230.72229166667</v>
      </c>
      <c r="C1441" t="n">
        <v>0</v>
      </c>
      <c r="D1441" t="n">
        <v>8</v>
      </c>
      <c r="E1441" t="s">
        <v>1433</v>
      </c>
      <c r="F1441" t="s"/>
      <c r="G1441" t="s"/>
      <c r="H1441" t="s"/>
      <c r="I1441" t="s"/>
      <c r="J1441" t="n">
        <v>-0.4767</v>
      </c>
      <c r="K1441" t="n">
        <v>0.17</v>
      </c>
      <c r="L1441" t="n">
        <v>0.83</v>
      </c>
      <c r="M1441" t="n">
        <v>0</v>
      </c>
    </row>
    <row r="1442" spans="1:13">
      <c r="A1442" s="1">
        <f>HYPERLINK("http://www.twitter.com/NathanBLawrence/status/994628020592893953", "994628020592893953")</f>
        <v/>
      </c>
      <c r="B1442" s="2" t="n">
        <v>43230.7219212963</v>
      </c>
      <c r="C1442" t="n">
        <v>0</v>
      </c>
      <c r="D1442" t="n">
        <v>6</v>
      </c>
      <c r="E1442" t="s">
        <v>1434</v>
      </c>
      <c r="F1442">
        <f>HYPERLINK("http://pbs.twimg.com/media/Dc2gvF3XUAA5iIi.jpg", "http://pbs.twimg.com/media/Dc2gvF3XUAA5iIi.jpg")</f>
        <v/>
      </c>
      <c r="G1442" t="s"/>
      <c r="H1442" t="s"/>
      <c r="I1442" t="s"/>
      <c r="J1442" t="n">
        <v>0</v>
      </c>
      <c r="K1442" t="n">
        <v>0</v>
      </c>
      <c r="L1442" t="n">
        <v>1</v>
      </c>
      <c r="M1442" t="n">
        <v>0</v>
      </c>
    </row>
    <row r="1443" spans="1:13">
      <c r="A1443" s="1">
        <f>HYPERLINK("http://www.twitter.com/NathanBLawrence/status/994627846328016896", "994627846328016896")</f>
        <v/>
      </c>
      <c r="B1443" s="2" t="n">
        <v>43230.72143518519</v>
      </c>
      <c r="C1443" t="n">
        <v>7</v>
      </c>
      <c r="D1443" t="n">
        <v>6</v>
      </c>
      <c r="E1443" t="s">
        <v>1435</v>
      </c>
      <c r="F1443">
        <f>HYPERLINK("http://pbs.twimg.com/media/Dc2gvF3XUAA5iIi.jpg", "http://pbs.twimg.com/media/Dc2gvF3XUAA5iIi.jpg")</f>
        <v/>
      </c>
      <c r="G1443" t="s"/>
      <c r="H1443" t="s"/>
      <c r="I1443" t="s"/>
      <c r="J1443" t="n">
        <v>0.9139</v>
      </c>
      <c r="K1443" t="n">
        <v>0</v>
      </c>
      <c r="L1443" t="n">
        <v>0.744</v>
      </c>
      <c r="M1443" t="n">
        <v>0.256</v>
      </c>
    </row>
    <row r="1444" spans="1:13">
      <c r="A1444" s="1">
        <f>HYPERLINK("http://www.twitter.com/NathanBLawrence/status/994616761923272704", "994616761923272704")</f>
        <v/>
      </c>
      <c r="B1444" s="2" t="n">
        <v>43230.69084490741</v>
      </c>
      <c r="C1444" t="n">
        <v>0</v>
      </c>
      <c r="D1444" t="n">
        <v>528</v>
      </c>
      <c r="E1444" t="s">
        <v>1436</v>
      </c>
      <c r="F1444" t="s"/>
      <c r="G1444" t="s"/>
      <c r="H1444" t="s"/>
      <c r="I1444" t="s"/>
      <c r="J1444" t="n">
        <v>-0.7804</v>
      </c>
      <c r="K1444" t="n">
        <v>0.255</v>
      </c>
      <c r="L1444" t="n">
        <v>0.745</v>
      </c>
      <c r="M1444" t="n">
        <v>0</v>
      </c>
    </row>
    <row r="1445" spans="1:13">
      <c r="A1445" s="1">
        <f>HYPERLINK("http://www.twitter.com/NathanBLawrence/status/994616277552558081", "994616277552558081")</f>
        <v/>
      </c>
      <c r="B1445" s="2" t="n">
        <v>43230.68951388889</v>
      </c>
      <c r="C1445" t="n">
        <v>0</v>
      </c>
      <c r="D1445" t="n">
        <v>21</v>
      </c>
      <c r="E1445" t="s">
        <v>1437</v>
      </c>
      <c r="F1445">
        <f>HYPERLINK("http://pbs.twimg.com/media/Dc2WIHeVwAAQWB3.jpg", "http://pbs.twimg.com/media/Dc2WIHeVwAAQWB3.jpg")</f>
        <v/>
      </c>
      <c r="G1445" t="s"/>
      <c r="H1445" t="s"/>
      <c r="I1445" t="s"/>
      <c r="J1445" t="n">
        <v>0.4404</v>
      </c>
      <c r="K1445" t="n">
        <v>0</v>
      </c>
      <c r="L1445" t="n">
        <v>0.896</v>
      </c>
      <c r="M1445" t="n">
        <v>0.104</v>
      </c>
    </row>
    <row r="1446" spans="1:13">
      <c r="A1446" s="1">
        <f>HYPERLINK("http://www.twitter.com/NathanBLawrence/status/994616177409298434", "994616177409298434")</f>
        <v/>
      </c>
      <c r="B1446" s="2" t="n">
        <v>43230.68923611111</v>
      </c>
      <c r="C1446" t="n">
        <v>28</v>
      </c>
      <c r="D1446" t="n">
        <v>21</v>
      </c>
      <c r="E1446" t="s">
        <v>1438</v>
      </c>
      <c r="F1446">
        <f>HYPERLINK("http://pbs.twimg.com/media/Dc2WIHeVwAAQWB3.jpg", "http://pbs.twimg.com/media/Dc2WIHeVwAAQWB3.jpg")</f>
        <v/>
      </c>
      <c r="G1446" t="s"/>
      <c r="H1446" t="s"/>
      <c r="I1446" t="s"/>
      <c r="J1446" t="n">
        <v>0.3164</v>
      </c>
      <c r="K1446" t="n">
        <v>0.035</v>
      </c>
      <c r="L1446" t="n">
        <v>0.906</v>
      </c>
      <c r="M1446" t="n">
        <v>0.059</v>
      </c>
    </row>
    <row r="1447" spans="1:13">
      <c r="A1447" s="1">
        <f>HYPERLINK("http://www.twitter.com/NathanBLawrence/status/994614657905299461", "994614657905299461")</f>
        <v/>
      </c>
      <c r="B1447" s="2" t="n">
        <v>43230.6850462963</v>
      </c>
      <c r="C1447" t="n">
        <v>0</v>
      </c>
      <c r="D1447" t="n">
        <v>0</v>
      </c>
      <c r="E1447" t="s">
        <v>1439</v>
      </c>
      <c r="F1447">
        <f>HYPERLINK("http://pbs.twimg.com/media/Dc2UvW_V4AALg5m.jpg", "http://pbs.twimg.com/media/Dc2UvW_V4AALg5m.jpg")</f>
        <v/>
      </c>
      <c r="G1447" t="s"/>
      <c r="H1447" t="s"/>
      <c r="I1447" t="s"/>
      <c r="J1447" t="n">
        <v>0</v>
      </c>
      <c r="K1447" t="n">
        <v>0</v>
      </c>
      <c r="L1447" t="n">
        <v>1</v>
      </c>
      <c r="M1447" t="n">
        <v>0</v>
      </c>
    </row>
    <row r="1448" spans="1:13">
      <c r="A1448" s="1">
        <f>HYPERLINK("http://www.twitter.com/NathanBLawrence/status/994614452531159040", "994614452531159040")</f>
        <v/>
      </c>
      <c r="B1448" s="2" t="n">
        <v>43230.68447916667</v>
      </c>
      <c r="C1448" t="n">
        <v>0</v>
      </c>
      <c r="D1448" t="n">
        <v>24</v>
      </c>
      <c r="E1448" t="s">
        <v>1440</v>
      </c>
      <c r="F1448" t="s"/>
      <c r="G1448" t="s"/>
      <c r="H1448" t="s"/>
      <c r="I1448" t="s"/>
      <c r="J1448" t="n">
        <v>0.5266999999999999</v>
      </c>
      <c r="K1448" t="n">
        <v>0</v>
      </c>
      <c r="L1448" t="n">
        <v>0.876</v>
      </c>
      <c r="M1448" t="n">
        <v>0.124</v>
      </c>
    </row>
    <row r="1449" spans="1:13">
      <c r="A1449" s="1">
        <f>HYPERLINK("http://www.twitter.com/NathanBLawrence/status/994612786889191427", "994612786889191427")</f>
        <v/>
      </c>
      <c r="B1449" s="2" t="n">
        <v>43230.67988425926</v>
      </c>
      <c r="C1449" t="n">
        <v>0</v>
      </c>
      <c r="D1449" t="n">
        <v>9</v>
      </c>
      <c r="E1449" t="s">
        <v>1441</v>
      </c>
      <c r="F1449" t="s"/>
      <c r="G1449" t="s"/>
      <c r="H1449" t="s"/>
      <c r="I1449" t="s"/>
      <c r="J1449" t="n">
        <v>-0.25</v>
      </c>
      <c r="K1449" t="n">
        <v>0.146</v>
      </c>
      <c r="L1449" t="n">
        <v>0.748</v>
      </c>
      <c r="M1449" t="n">
        <v>0.106</v>
      </c>
    </row>
    <row r="1450" spans="1:13">
      <c r="A1450" s="1">
        <f>HYPERLINK("http://www.twitter.com/NathanBLawrence/status/994612647541858304", "994612647541858304")</f>
        <v/>
      </c>
      <c r="B1450" s="2" t="n">
        <v>43230.67949074074</v>
      </c>
      <c r="C1450" t="n">
        <v>0</v>
      </c>
      <c r="D1450" t="n">
        <v>14</v>
      </c>
      <c r="E1450" t="s">
        <v>1442</v>
      </c>
      <c r="F1450" t="s"/>
      <c r="G1450" t="s"/>
      <c r="H1450" t="s"/>
      <c r="I1450" t="s"/>
      <c r="J1450" t="n">
        <v>-0.8401999999999999</v>
      </c>
      <c r="K1450" t="n">
        <v>0.375</v>
      </c>
      <c r="L1450" t="n">
        <v>0.625</v>
      </c>
      <c r="M1450" t="n">
        <v>0</v>
      </c>
    </row>
    <row r="1451" spans="1:13">
      <c r="A1451" s="1">
        <f>HYPERLINK("http://www.twitter.com/NathanBLawrence/status/994612620958339074", "994612620958339074")</f>
        <v/>
      </c>
      <c r="B1451" s="2" t="n">
        <v>43230.6794212963</v>
      </c>
      <c r="C1451" t="n">
        <v>0</v>
      </c>
      <c r="D1451" t="n">
        <v>14</v>
      </c>
      <c r="E1451" t="s">
        <v>1443</v>
      </c>
      <c r="F1451" t="s"/>
      <c r="G1451" t="s"/>
      <c r="H1451" t="s"/>
      <c r="I1451" t="s"/>
      <c r="J1451" t="n">
        <v>0.6514</v>
      </c>
      <c r="K1451" t="n">
        <v>0.105</v>
      </c>
      <c r="L1451" t="n">
        <v>0.65</v>
      </c>
      <c r="M1451" t="n">
        <v>0.245</v>
      </c>
    </row>
    <row r="1452" spans="1:13">
      <c r="A1452" s="1">
        <f>HYPERLINK("http://www.twitter.com/NathanBLawrence/status/994612608589352960", "994612608589352960")</f>
        <v/>
      </c>
      <c r="B1452" s="2" t="n">
        <v>43230.67938657408</v>
      </c>
      <c r="C1452" t="n">
        <v>0</v>
      </c>
      <c r="D1452" t="n">
        <v>15</v>
      </c>
      <c r="E1452" t="s">
        <v>1444</v>
      </c>
      <c r="F1452" t="s"/>
      <c r="G1452" t="s"/>
      <c r="H1452" t="s"/>
      <c r="I1452" t="s"/>
      <c r="J1452" t="n">
        <v>-0.8316</v>
      </c>
      <c r="K1452" t="n">
        <v>0.286</v>
      </c>
      <c r="L1452" t="n">
        <v>0.714</v>
      </c>
      <c r="M1452" t="n">
        <v>0</v>
      </c>
    </row>
    <row r="1453" spans="1:13">
      <c r="A1453" s="1">
        <f>HYPERLINK("http://www.twitter.com/NathanBLawrence/status/994612153893179392", "994612153893179392")</f>
        <v/>
      </c>
      <c r="B1453" s="2" t="n">
        <v>43230.67813657408</v>
      </c>
      <c r="C1453" t="n">
        <v>2</v>
      </c>
      <c r="D1453" t="n">
        <v>0</v>
      </c>
      <c r="E1453" t="s">
        <v>1445</v>
      </c>
      <c r="F1453" t="s"/>
      <c r="G1453" t="s"/>
      <c r="H1453" t="s"/>
      <c r="I1453" t="s"/>
      <c r="J1453" t="n">
        <v>0.34</v>
      </c>
      <c r="K1453" t="n">
        <v>0</v>
      </c>
      <c r="L1453" t="n">
        <v>0.625</v>
      </c>
      <c r="M1453" t="n">
        <v>0.375</v>
      </c>
    </row>
    <row r="1454" spans="1:13">
      <c r="A1454" s="1">
        <f>HYPERLINK("http://www.twitter.com/NathanBLawrence/status/994455200504188928", "994455200504188928")</f>
        <v/>
      </c>
      <c r="B1454" s="2" t="n">
        <v>43230.24502314815</v>
      </c>
      <c r="C1454" t="n">
        <v>0</v>
      </c>
      <c r="D1454" t="n">
        <v>4624</v>
      </c>
      <c r="E1454" t="s">
        <v>1446</v>
      </c>
      <c r="F1454" t="s"/>
      <c r="G1454" t="s"/>
      <c r="H1454" t="s"/>
      <c r="I1454" t="s"/>
      <c r="J1454" t="n">
        <v>0.2732</v>
      </c>
      <c r="K1454" t="n">
        <v>0</v>
      </c>
      <c r="L1454" t="n">
        <v>0.909</v>
      </c>
      <c r="M1454" t="n">
        <v>0.091</v>
      </c>
    </row>
    <row r="1455" spans="1:13">
      <c r="A1455" s="1">
        <f>HYPERLINK("http://www.twitter.com/NathanBLawrence/status/994455041862983681", "994455041862983681")</f>
        <v/>
      </c>
      <c r="B1455" s="2" t="n">
        <v>43230.24458333333</v>
      </c>
      <c r="C1455" t="n">
        <v>0</v>
      </c>
      <c r="D1455" t="n">
        <v>2684</v>
      </c>
      <c r="E1455" t="s">
        <v>1447</v>
      </c>
      <c r="F1455" t="s"/>
      <c r="G1455" t="s"/>
      <c r="H1455" t="s"/>
      <c r="I1455" t="s"/>
      <c r="J1455" t="n">
        <v>0.6908</v>
      </c>
      <c r="K1455" t="n">
        <v>0</v>
      </c>
      <c r="L1455" t="n">
        <v>0.621</v>
      </c>
      <c r="M1455" t="n">
        <v>0.379</v>
      </c>
    </row>
    <row r="1456" spans="1:13">
      <c r="A1456" s="1">
        <f>HYPERLINK("http://www.twitter.com/NathanBLawrence/status/994422451814715392", "994422451814715392")</f>
        <v/>
      </c>
      <c r="B1456" s="2" t="n">
        <v>43230.15465277778</v>
      </c>
      <c r="C1456" t="n">
        <v>0</v>
      </c>
      <c r="D1456" t="n">
        <v>7</v>
      </c>
      <c r="E1456" t="s">
        <v>1448</v>
      </c>
      <c r="F1456" t="s"/>
      <c r="G1456" t="s"/>
      <c r="H1456" t="s"/>
      <c r="I1456" t="s"/>
      <c r="J1456" t="n">
        <v>-0.7651</v>
      </c>
      <c r="K1456" t="n">
        <v>0.32</v>
      </c>
      <c r="L1456" t="n">
        <v>0.68</v>
      </c>
      <c r="M1456" t="n">
        <v>0</v>
      </c>
    </row>
    <row r="1457" spans="1:13">
      <c r="A1457" s="1">
        <f>HYPERLINK("http://www.twitter.com/NathanBLawrence/status/994422415433322497", "994422415433322497")</f>
        <v/>
      </c>
      <c r="B1457" s="2" t="n">
        <v>43230.15454861111</v>
      </c>
      <c r="C1457" t="n">
        <v>0</v>
      </c>
      <c r="D1457" t="n">
        <v>25</v>
      </c>
      <c r="E1457" t="s">
        <v>1449</v>
      </c>
      <c r="F1457" t="s"/>
      <c r="G1457" t="s"/>
      <c r="H1457" t="s"/>
      <c r="I1457" t="s"/>
      <c r="J1457" t="n">
        <v>0</v>
      </c>
      <c r="K1457" t="n">
        <v>0</v>
      </c>
      <c r="L1457" t="n">
        <v>1</v>
      </c>
      <c r="M1457" t="n">
        <v>0</v>
      </c>
    </row>
    <row r="1458" spans="1:13">
      <c r="A1458" s="1">
        <f>HYPERLINK("http://www.twitter.com/NathanBLawrence/status/994422309514596352", "994422309514596352")</f>
        <v/>
      </c>
      <c r="B1458" s="2" t="n">
        <v>43230.15425925926</v>
      </c>
      <c r="C1458" t="n">
        <v>0</v>
      </c>
      <c r="D1458" t="n">
        <v>0</v>
      </c>
      <c r="E1458" t="s">
        <v>1450</v>
      </c>
      <c r="F1458" t="s"/>
      <c r="G1458" t="s"/>
      <c r="H1458" t="s"/>
      <c r="I1458" t="s"/>
      <c r="J1458" t="n">
        <v>0.4854</v>
      </c>
      <c r="K1458" t="n">
        <v>0.034</v>
      </c>
      <c r="L1458" t="n">
        <v>0.871</v>
      </c>
      <c r="M1458" t="n">
        <v>0.095</v>
      </c>
    </row>
    <row r="1459" spans="1:13">
      <c r="A1459" s="1">
        <f>HYPERLINK("http://www.twitter.com/NathanBLawrence/status/994421899454279681", "994421899454279681")</f>
        <v/>
      </c>
      <c r="B1459" s="2" t="n">
        <v>43230.153125</v>
      </c>
      <c r="C1459" t="n">
        <v>0</v>
      </c>
      <c r="D1459" t="n">
        <v>0</v>
      </c>
      <c r="E1459" t="s">
        <v>1451</v>
      </c>
      <c r="F1459">
        <f>HYPERLINK("http://pbs.twimg.com/media/DczlcRgXUAAShIx.jpg", "http://pbs.twimg.com/media/DczlcRgXUAAShIx.jpg")</f>
        <v/>
      </c>
      <c r="G1459" t="s"/>
      <c r="H1459" t="s"/>
      <c r="I1459" t="s"/>
      <c r="J1459" t="n">
        <v>0</v>
      </c>
      <c r="K1459" t="n">
        <v>0</v>
      </c>
      <c r="L1459" t="n">
        <v>1</v>
      </c>
      <c r="M1459" t="n">
        <v>0</v>
      </c>
    </row>
    <row r="1460" spans="1:13">
      <c r="A1460" s="1">
        <f>HYPERLINK("http://www.twitter.com/NathanBLawrence/status/994421667328819202", "994421667328819202")</f>
        <v/>
      </c>
      <c r="B1460" s="2" t="n">
        <v>43230.15248842593</v>
      </c>
      <c r="C1460" t="n">
        <v>2</v>
      </c>
      <c r="D1460" t="n">
        <v>0</v>
      </c>
      <c r="E1460" t="s">
        <v>1452</v>
      </c>
      <c r="F1460" t="s"/>
      <c r="G1460" t="s"/>
      <c r="H1460" t="s"/>
      <c r="I1460" t="s"/>
      <c r="J1460" t="n">
        <v>0.6705</v>
      </c>
      <c r="K1460" t="n">
        <v>0.08500000000000001</v>
      </c>
      <c r="L1460" t="n">
        <v>0.6840000000000001</v>
      </c>
      <c r="M1460" t="n">
        <v>0.231</v>
      </c>
    </row>
    <row r="1461" spans="1:13">
      <c r="A1461" s="1">
        <f>HYPERLINK("http://www.twitter.com/NathanBLawrence/status/994421171952209920", "994421171952209920")</f>
        <v/>
      </c>
      <c r="B1461" s="2" t="n">
        <v>43230.15112268519</v>
      </c>
      <c r="C1461" t="n">
        <v>0</v>
      </c>
      <c r="D1461" t="n">
        <v>28</v>
      </c>
      <c r="E1461" t="s">
        <v>1453</v>
      </c>
      <c r="F1461" t="s"/>
      <c r="G1461" t="s"/>
      <c r="H1461" t="s"/>
      <c r="I1461" t="s"/>
      <c r="J1461" t="n">
        <v>-0.6669</v>
      </c>
      <c r="K1461" t="n">
        <v>0.267</v>
      </c>
      <c r="L1461" t="n">
        <v>0.633</v>
      </c>
      <c r="M1461" t="n">
        <v>0.1</v>
      </c>
    </row>
    <row r="1462" spans="1:13">
      <c r="A1462" s="1">
        <f>HYPERLINK("http://www.twitter.com/NathanBLawrence/status/994421051563102208", "994421051563102208")</f>
        <v/>
      </c>
      <c r="B1462" s="2" t="n">
        <v>43230.15078703704</v>
      </c>
      <c r="C1462" t="n">
        <v>2</v>
      </c>
      <c r="D1462" t="n">
        <v>0</v>
      </c>
      <c r="E1462" t="s">
        <v>1454</v>
      </c>
      <c r="F1462" t="s"/>
      <c r="G1462" t="s"/>
      <c r="H1462" t="s"/>
      <c r="I1462" t="s"/>
      <c r="J1462" t="n">
        <v>-0.8089</v>
      </c>
      <c r="K1462" t="n">
        <v>0.182</v>
      </c>
      <c r="L1462" t="n">
        <v>0.8179999999999999</v>
      </c>
      <c r="M1462" t="n">
        <v>0</v>
      </c>
    </row>
    <row r="1463" spans="1:13">
      <c r="A1463" s="1">
        <f>HYPERLINK("http://www.twitter.com/NathanBLawrence/status/994419750406180865", "994419750406180865")</f>
        <v/>
      </c>
      <c r="B1463" s="2" t="n">
        <v>43230.14719907408</v>
      </c>
      <c r="C1463" t="n">
        <v>0</v>
      </c>
      <c r="D1463" t="n">
        <v>0</v>
      </c>
      <c r="E1463" t="s">
        <v>1455</v>
      </c>
      <c r="F1463" t="s"/>
      <c r="G1463" t="s"/>
      <c r="H1463" t="s"/>
      <c r="I1463" t="s"/>
      <c r="J1463" t="n">
        <v>0</v>
      </c>
      <c r="K1463" t="n">
        <v>0</v>
      </c>
      <c r="L1463" t="n">
        <v>1</v>
      </c>
      <c r="M1463" t="n">
        <v>0</v>
      </c>
    </row>
    <row r="1464" spans="1:13">
      <c r="A1464" s="1">
        <f>HYPERLINK("http://www.twitter.com/NathanBLawrence/status/994419569048674304", "994419569048674304")</f>
        <v/>
      </c>
      <c r="B1464" s="2" t="n">
        <v>43230.14670138889</v>
      </c>
      <c r="C1464" t="n">
        <v>0</v>
      </c>
      <c r="D1464" t="n">
        <v>18373</v>
      </c>
      <c r="E1464" t="s">
        <v>1456</v>
      </c>
      <c r="F1464" t="s"/>
      <c r="G1464" t="s"/>
      <c r="H1464" t="s"/>
      <c r="I1464" t="s"/>
      <c r="J1464" t="n">
        <v>0.3818</v>
      </c>
      <c r="K1464" t="n">
        <v>0</v>
      </c>
      <c r="L1464" t="n">
        <v>0.822</v>
      </c>
      <c r="M1464" t="n">
        <v>0.178</v>
      </c>
    </row>
    <row r="1465" spans="1:13">
      <c r="A1465" s="1">
        <f>HYPERLINK("http://www.twitter.com/NathanBLawrence/status/994419381156409344", "994419381156409344")</f>
        <v/>
      </c>
      <c r="B1465" s="2" t="n">
        <v>43230.14618055556</v>
      </c>
      <c r="C1465" t="n">
        <v>0</v>
      </c>
      <c r="D1465" t="n">
        <v>8</v>
      </c>
      <c r="E1465" t="s">
        <v>1457</v>
      </c>
      <c r="F1465" t="s"/>
      <c r="G1465" t="s"/>
      <c r="H1465" t="s"/>
      <c r="I1465" t="s"/>
      <c r="J1465" t="n">
        <v>0.7717000000000001</v>
      </c>
      <c r="K1465" t="n">
        <v>0</v>
      </c>
      <c r="L1465" t="n">
        <v>0.749</v>
      </c>
      <c r="M1465" t="n">
        <v>0.251</v>
      </c>
    </row>
    <row r="1466" spans="1:13">
      <c r="A1466" s="1">
        <f>HYPERLINK("http://www.twitter.com/NathanBLawrence/status/994412287397154818", "994412287397154818")</f>
        <v/>
      </c>
      <c r="B1466" s="2" t="n">
        <v>43230.12660879629</v>
      </c>
      <c r="C1466" t="n">
        <v>0</v>
      </c>
      <c r="D1466" t="n">
        <v>40265</v>
      </c>
      <c r="E1466" t="s">
        <v>1458</v>
      </c>
      <c r="F1466" t="s"/>
      <c r="G1466" t="s"/>
      <c r="H1466" t="s"/>
      <c r="I1466" t="s"/>
      <c r="J1466" t="n">
        <v>0</v>
      </c>
      <c r="K1466" t="n">
        <v>0</v>
      </c>
      <c r="L1466" t="n">
        <v>1</v>
      </c>
      <c r="M1466" t="n">
        <v>0</v>
      </c>
    </row>
    <row r="1467" spans="1:13">
      <c r="A1467" s="1">
        <f>HYPERLINK("http://www.twitter.com/NathanBLawrence/status/994412274038312960", "994412274038312960")</f>
        <v/>
      </c>
      <c r="B1467" s="2" t="n">
        <v>43230.12657407407</v>
      </c>
      <c r="C1467" t="n">
        <v>0</v>
      </c>
      <c r="D1467" t="n">
        <v>54</v>
      </c>
      <c r="E1467" t="s">
        <v>1459</v>
      </c>
      <c r="F1467">
        <f>HYPERLINK("http://pbs.twimg.com/media/DczLWPVXcAAmj-c.jpg", "http://pbs.twimg.com/media/DczLWPVXcAAmj-c.jpg")</f>
        <v/>
      </c>
      <c r="G1467" t="s"/>
      <c r="H1467" t="s"/>
      <c r="I1467" t="s"/>
      <c r="J1467" t="n">
        <v>0.8395</v>
      </c>
      <c r="K1467" t="n">
        <v>0</v>
      </c>
      <c r="L1467" t="n">
        <v>0.556</v>
      </c>
      <c r="M1467" t="n">
        <v>0.444</v>
      </c>
    </row>
    <row r="1468" spans="1:13">
      <c r="A1468" s="1">
        <f>HYPERLINK("http://www.twitter.com/NathanBLawrence/status/994399150291718146", "994399150291718146")</f>
        <v/>
      </c>
      <c r="B1468" s="2" t="n">
        <v>43230.0903587963</v>
      </c>
      <c r="C1468" t="n">
        <v>0</v>
      </c>
      <c r="D1468" t="n">
        <v>44</v>
      </c>
      <c r="E1468" t="s">
        <v>1460</v>
      </c>
      <c r="F1468" t="s"/>
      <c r="G1468" t="s"/>
      <c r="H1468" t="s"/>
      <c r="I1468" t="s"/>
      <c r="J1468" t="n">
        <v>-0.5719</v>
      </c>
      <c r="K1468" t="n">
        <v>0.19</v>
      </c>
      <c r="L1468" t="n">
        <v>0.8100000000000001</v>
      </c>
      <c r="M1468" t="n">
        <v>0</v>
      </c>
    </row>
    <row r="1469" spans="1:13">
      <c r="A1469" s="1">
        <f>HYPERLINK("http://www.twitter.com/NathanBLawrence/status/994398603069280256", "994398603069280256")</f>
        <v/>
      </c>
      <c r="B1469" s="2" t="n">
        <v>43230.0888425926</v>
      </c>
      <c r="C1469" t="n">
        <v>0</v>
      </c>
      <c r="D1469" t="n">
        <v>6</v>
      </c>
      <c r="E1469" t="s">
        <v>1461</v>
      </c>
      <c r="F1469" t="s"/>
      <c r="G1469" t="s"/>
      <c r="H1469" t="s"/>
      <c r="I1469" t="s"/>
      <c r="J1469" t="n">
        <v>-0.1531</v>
      </c>
      <c r="K1469" t="n">
        <v>0.146</v>
      </c>
      <c r="L1469" t="n">
        <v>0.732</v>
      </c>
      <c r="M1469" t="n">
        <v>0.122</v>
      </c>
    </row>
    <row r="1470" spans="1:13">
      <c r="A1470" s="1">
        <f>HYPERLINK("http://www.twitter.com/NathanBLawrence/status/994398357308231680", "994398357308231680")</f>
        <v/>
      </c>
      <c r="B1470" s="2" t="n">
        <v>43230.08817129629</v>
      </c>
      <c r="C1470" t="n">
        <v>0</v>
      </c>
      <c r="D1470" t="n">
        <v>6</v>
      </c>
      <c r="E1470" t="s">
        <v>1462</v>
      </c>
      <c r="F1470" t="s"/>
      <c r="G1470" t="s"/>
      <c r="H1470" t="s"/>
      <c r="I1470" t="s"/>
      <c r="J1470" t="n">
        <v>-0.7906</v>
      </c>
      <c r="K1470" t="n">
        <v>0.28</v>
      </c>
      <c r="L1470" t="n">
        <v>0.72</v>
      </c>
      <c r="M1470" t="n">
        <v>0</v>
      </c>
    </row>
    <row r="1471" spans="1:13">
      <c r="A1471" s="1">
        <f>HYPERLINK("http://www.twitter.com/NathanBLawrence/status/994398336475070465", "994398336475070465")</f>
        <v/>
      </c>
      <c r="B1471" s="2" t="n">
        <v>43230.08811342593</v>
      </c>
      <c r="C1471" t="n">
        <v>0</v>
      </c>
      <c r="D1471" t="n">
        <v>8</v>
      </c>
      <c r="E1471" t="s">
        <v>1463</v>
      </c>
      <c r="F1471">
        <f>HYPERLINK("http://pbs.twimg.com/media/DcxczrkXkAII00R.jpg", "http://pbs.twimg.com/media/DcxczrkXkAII00R.jpg")</f>
        <v/>
      </c>
      <c r="G1471" t="s"/>
      <c r="H1471" t="s"/>
      <c r="I1471" t="s"/>
      <c r="J1471" t="n">
        <v>-0.6597</v>
      </c>
      <c r="K1471" t="n">
        <v>0.265</v>
      </c>
      <c r="L1471" t="n">
        <v>0.735</v>
      </c>
      <c r="M1471" t="n">
        <v>0</v>
      </c>
    </row>
    <row r="1472" spans="1:13">
      <c r="A1472" s="1">
        <f>HYPERLINK("http://www.twitter.com/NathanBLawrence/status/994397773779886080", "994397773779886080")</f>
        <v/>
      </c>
      <c r="B1472" s="2" t="n">
        <v>43230.08655092592</v>
      </c>
      <c r="C1472" t="n">
        <v>0</v>
      </c>
      <c r="D1472" t="n">
        <v>1</v>
      </c>
      <c r="E1472" t="s">
        <v>1464</v>
      </c>
      <c r="F1472" t="s"/>
      <c r="G1472" t="s"/>
      <c r="H1472" t="s"/>
      <c r="I1472" t="s"/>
      <c r="J1472" t="n">
        <v>-0.8217</v>
      </c>
      <c r="K1472" t="n">
        <v>0.323</v>
      </c>
      <c r="L1472" t="n">
        <v>0.677</v>
      </c>
      <c r="M1472" t="n">
        <v>0</v>
      </c>
    </row>
    <row r="1473" spans="1:13">
      <c r="A1473" s="1">
        <f>HYPERLINK("http://www.twitter.com/NathanBLawrence/status/994397713792950272", "994397713792950272")</f>
        <v/>
      </c>
      <c r="B1473" s="2" t="n">
        <v>43230.08638888889</v>
      </c>
      <c r="C1473" t="n">
        <v>0</v>
      </c>
      <c r="D1473" t="n">
        <v>16</v>
      </c>
      <c r="E1473" t="s">
        <v>1465</v>
      </c>
      <c r="F1473" t="s"/>
      <c r="G1473" t="s"/>
      <c r="H1473" t="s"/>
      <c r="I1473" t="s"/>
      <c r="J1473" t="n">
        <v>-0.6988</v>
      </c>
      <c r="K1473" t="n">
        <v>0.243</v>
      </c>
      <c r="L1473" t="n">
        <v>0.757</v>
      </c>
      <c r="M1473" t="n">
        <v>0</v>
      </c>
    </row>
    <row r="1474" spans="1:13">
      <c r="A1474" s="1">
        <f>HYPERLINK("http://www.twitter.com/NathanBLawrence/status/994397696101441536", "994397696101441536")</f>
        <v/>
      </c>
      <c r="B1474" s="2" t="n">
        <v>43230.08634259259</v>
      </c>
      <c r="C1474" t="n">
        <v>0</v>
      </c>
      <c r="D1474" t="n">
        <v>2</v>
      </c>
      <c r="E1474" t="s">
        <v>1466</v>
      </c>
      <c r="F1474" t="s"/>
      <c r="G1474" t="s"/>
      <c r="H1474" t="s"/>
      <c r="I1474" t="s"/>
      <c r="J1474" t="n">
        <v>0</v>
      </c>
      <c r="K1474" t="n">
        <v>0</v>
      </c>
      <c r="L1474" t="n">
        <v>1</v>
      </c>
      <c r="M1474" t="n">
        <v>0</v>
      </c>
    </row>
    <row r="1475" spans="1:13">
      <c r="A1475" s="1">
        <f>HYPERLINK("http://www.twitter.com/NathanBLawrence/status/994397673603108864", "994397673603108864")</f>
        <v/>
      </c>
      <c r="B1475" s="2" t="n">
        <v>43230.08628472222</v>
      </c>
      <c r="C1475" t="n">
        <v>0</v>
      </c>
      <c r="D1475" t="n">
        <v>38</v>
      </c>
      <c r="E1475" t="s">
        <v>1467</v>
      </c>
      <c r="F1475" t="s"/>
      <c r="G1475" t="s"/>
      <c r="H1475" t="s"/>
      <c r="I1475" t="s"/>
      <c r="J1475" t="n">
        <v>0</v>
      </c>
      <c r="K1475" t="n">
        <v>0.114</v>
      </c>
      <c r="L1475" t="n">
        <v>0.773</v>
      </c>
      <c r="M1475" t="n">
        <v>0.114</v>
      </c>
    </row>
    <row r="1476" spans="1:13">
      <c r="A1476" s="1">
        <f>HYPERLINK("http://www.twitter.com/NathanBLawrence/status/994387536041701376", "994387536041701376")</f>
        <v/>
      </c>
      <c r="B1476" s="2" t="n">
        <v>43230.05831018519</v>
      </c>
      <c r="C1476" t="n">
        <v>0</v>
      </c>
      <c r="D1476" t="n">
        <v>3</v>
      </c>
      <c r="E1476" t="s">
        <v>1468</v>
      </c>
      <c r="F1476" t="s"/>
      <c r="G1476" t="s"/>
      <c r="H1476" t="s"/>
      <c r="I1476" t="s"/>
      <c r="J1476" t="n">
        <v>-0.1779</v>
      </c>
      <c r="K1476" t="n">
        <v>0.114</v>
      </c>
      <c r="L1476" t="n">
        <v>0.798</v>
      </c>
      <c r="M1476" t="n">
        <v>0.08699999999999999</v>
      </c>
    </row>
    <row r="1477" spans="1:13">
      <c r="A1477" s="1">
        <f>HYPERLINK("http://www.twitter.com/NathanBLawrence/status/994387526105300993", "994387526105300993")</f>
        <v/>
      </c>
      <c r="B1477" s="2" t="n">
        <v>43230.05827546296</v>
      </c>
      <c r="C1477" t="n">
        <v>0</v>
      </c>
      <c r="D1477" t="n">
        <v>4</v>
      </c>
      <c r="E1477" t="s">
        <v>1469</v>
      </c>
      <c r="F1477" t="s"/>
      <c r="G1477" t="s"/>
      <c r="H1477" t="s"/>
      <c r="I1477" t="s"/>
      <c r="J1477" t="n">
        <v>0.2023</v>
      </c>
      <c r="K1477" t="n">
        <v>0.138</v>
      </c>
      <c r="L1477" t="n">
        <v>0.65</v>
      </c>
      <c r="M1477" t="n">
        <v>0.211</v>
      </c>
    </row>
    <row r="1478" spans="1:13">
      <c r="A1478" s="1">
        <f>HYPERLINK("http://www.twitter.com/NathanBLawrence/status/994385554082091008", "994385554082091008")</f>
        <v/>
      </c>
      <c r="B1478" s="2" t="n">
        <v>43230.05283564814</v>
      </c>
      <c r="C1478" t="n">
        <v>0</v>
      </c>
      <c r="D1478" t="n">
        <v>6</v>
      </c>
      <c r="E1478" t="s">
        <v>1470</v>
      </c>
      <c r="F1478" t="s"/>
      <c r="G1478" t="s"/>
      <c r="H1478" t="s"/>
      <c r="I1478" t="s"/>
      <c r="J1478" t="n">
        <v>0.6486</v>
      </c>
      <c r="K1478" t="n">
        <v>0.102</v>
      </c>
      <c r="L1478" t="n">
        <v>0.656</v>
      </c>
      <c r="M1478" t="n">
        <v>0.243</v>
      </c>
    </row>
    <row r="1479" spans="1:13">
      <c r="A1479" s="1">
        <f>HYPERLINK("http://www.twitter.com/NathanBLawrence/status/994385537929801729", "994385537929801729")</f>
        <v/>
      </c>
      <c r="B1479" s="2" t="n">
        <v>43230.05278935185</v>
      </c>
      <c r="C1479" t="n">
        <v>0</v>
      </c>
      <c r="D1479" t="n">
        <v>4</v>
      </c>
      <c r="E1479" t="s">
        <v>1471</v>
      </c>
      <c r="F1479" t="s"/>
      <c r="G1479" t="s"/>
      <c r="H1479" t="s"/>
      <c r="I1479" t="s"/>
      <c r="J1479" t="n">
        <v>0.7592</v>
      </c>
      <c r="K1479" t="n">
        <v>0</v>
      </c>
      <c r="L1479" t="n">
        <v>0.745</v>
      </c>
      <c r="M1479" t="n">
        <v>0.255</v>
      </c>
    </row>
    <row r="1480" spans="1:13">
      <c r="A1480" s="1">
        <f>HYPERLINK("http://www.twitter.com/NathanBLawrence/status/994385512755597313", "994385512755597313")</f>
        <v/>
      </c>
      <c r="B1480" s="2" t="n">
        <v>43230.05271990741</v>
      </c>
      <c r="C1480" t="n">
        <v>0</v>
      </c>
      <c r="D1480" t="n">
        <v>4</v>
      </c>
      <c r="E1480" t="s">
        <v>1472</v>
      </c>
      <c r="F1480" t="s"/>
      <c r="G1480" t="s"/>
      <c r="H1480" t="s"/>
      <c r="I1480" t="s"/>
      <c r="J1480" t="n">
        <v>0</v>
      </c>
      <c r="K1480" t="n">
        <v>0</v>
      </c>
      <c r="L1480" t="n">
        <v>1</v>
      </c>
      <c r="M1480" t="n">
        <v>0</v>
      </c>
    </row>
    <row r="1481" spans="1:13">
      <c r="A1481" s="1">
        <f>HYPERLINK("http://www.twitter.com/NathanBLawrence/status/994385487262617601", "994385487262617601")</f>
        <v/>
      </c>
      <c r="B1481" s="2" t="n">
        <v>43230.05265046296</v>
      </c>
      <c r="C1481" t="n">
        <v>0</v>
      </c>
      <c r="D1481" t="n">
        <v>5</v>
      </c>
      <c r="E1481" t="s">
        <v>1473</v>
      </c>
      <c r="F1481">
        <f>HYPERLINK("http://pbs.twimg.com/media/DcysWw1X4AAEVLo.jpg", "http://pbs.twimg.com/media/DcysWw1X4AAEVLo.jpg")</f>
        <v/>
      </c>
      <c r="G1481" t="s"/>
      <c r="H1481" t="s"/>
      <c r="I1481" t="s"/>
      <c r="J1481" t="n">
        <v>-0.1779</v>
      </c>
      <c r="K1481" t="n">
        <v>0.091</v>
      </c>
      <c r="L1481" t="n">
        <v>0.909</v>
      </c>
      <c r="M1481" t="n">
        <v>0</v>
      </c>
    </row>
    <row r="1482" spans="1:13">
      <c r="A1482" s="1">
        <f>HYPERLINK("http://www.twitter.com/NathanBLawrence/status/994385462096691200", "994385462096691200")</f>
        <v/>
      </c>
      <c r="B1482" s="2" t="n">
        <v>43230.05258101852</v>
      </c>
      <c r="C1482" t="n">
        <v>0</v>
      </c>
      <c r="D1482" t="n">
        <v>4</v>
      </c>
      <c r="E1482" t="s">
        <v>1474</v>
      </c>
      <c r="F1482">
        <f>HYPERLINK("http://pbs.twimg.com/media/Dcytg0aW4AINAuW.jpg", "http://pbs.twimg.com/media/Dcytg0aW4AINAuW.jpg")</f>
        <v/>
      </c>
      <c r="G1482" t="s"/>
      <c r="H1482" t="s"/>
      <c r="I1482" t="s"/>
      <c r="J1482" t="n">
        <v>0</v>
      </c>
      <c r="K1482" t="n">
        <v>0</v>
      </c>
      <c r="L1482" t="n">
        <v>1</v>
      </c>
      <c r="M1482" t="n">
        <v>0</v>
      </c>
    </row>
    <row r="1483" spans="1:13">
      <c r="A1483" s="1">
        <f>HYPERLINK("http://www.twitter.com/NathanBLawrence/status/994385381071183877", "994385381071183877")</f>
        <v/>
      </c>
      <c r="B1483" s="2" t="n">
        <v>43230.05236111111</v>
      </c>
      <c r="C1483" t="n">
        <v>0</v>
      </c>
      <c r="D1483" t="n">
        <v>4</v>
      </c>
      <c r="E1483" t="s">
        <v>1475</v>
      </c>
      <c r="F1483" t="s"/>
      <c r="G1483" t="s"/>
      <c r="H1483" t="s"/>
      <c r="I1483" t="s"/>
      <c r="J1483" t="n">
        <v>-0.34</v>
      </c>
      <c r="K1483" t="n">
        <v>0.103</v>
      </c>
      <c r="L1483" t="n">
        <v>0.897</v>
      </c>
      <c r="M1483" t="n">
        <v>0</v>
      </c>
    </row>
    <row r="1484" spans="1:13">
      <c r="A1484" s="1">
        <f>HYPERLINK("http://www.twitter.com/NathanBLawrence/status/994383597107806210", "994383597107806210")</f>
        <v/>
      </c>
      <c r="B1484" s="2" t="n">
        <v>43230.04743055555</v>
      </c>
      <c r="C1484" t="n">
        <v>0</v>
      </c>
      <c r="D1484" t="n">
        <v>5</v>
      </c>
      <c r="E1484" t="s">
        <v>1476</v>
      </c>
      <c r="F1484">
        <f>HYPERLINK("http://pbs.twimg.com/media/Dcytg0aW4AINAuW.jpg", "http://pbs.twimg.com/media/Dcytg0aW4AINAuW.jpg")</f>
        <v/>
      </c>
      <c r="G1484" t="s"/>
      <c r="H1484" t="s"/>
      <c r="I1484" t="s"/>
      <c r="J1484" t="n">
        <v>-0.4402</v>
      </c>
      <c r="K1484" t="n">
        <v>0.234</v>
      </c>
      <c r="L1484" t="n">
        <v>0.622</v>
      </c>
      <c r="M1484" t="n">
        <v>0.143</v>
      </c>
    </row>
    <row r="1485" spans="1:13">
      <c r="A1485" s="1">
        <f>HYPERLINK("http://www.twitter.com/NathanBLawrence/status/994361853504577537", "994361853504577537")</f>
        <v/>
      </c>
      <c r="B1485" s="2" t="n">
        <v>43229.98743055556</v>
      </c>
      <c r="C1485" t="n">
        <v>0</v>
      </c>
      <c r="D1485" t="n">
        <v>212</v>
      </c>
      <c r="E1485" t="s">
        <v>1477</v>
      </c>
      <c r="F1485" t="s"/>
      <c r="G1485" t="s"/>
      <c r="H1485" t="s"/>
      <c r="I1485" t="s"/>
      <c r="J1485" t="n">
        <v>0.2023</v>
      </c>
      <c r="K1485" t="n">
        <v>0</v>
      </c>
      <c r="L1485" t="n">
        <v>0.899</v>
      </c>
      <c r="M1485" t="n">
        <v>0.101</v>
      </c>
    </row>
    <row r="1486" spans="1:13">
      <c r="A1486" s="1">
        <f>HYPERLINK("http://www.twitter.com/NathanBLawrence/status/994356020540518400", "994356020540518400")</f>
        <v/>
      </c>
      <c r="B1486" s="2" t="n">
        <v>43229.97134259259</v>
      </c>
      <c r="C1486" t="n">
        <v>0</v>
      </c>
      <c r="D1486" t="n">
        <v>11</v>
      </c>
      <c r="E1486" t="s">
        <v>1478</v>
      </c>
      <c r="F1486" t="s"/>
      <c r="G1486" t="s"/>
      <c r="H1486" t="s"/>
      <c r="I1486" t="s"/>
      <c r="J1486" t="n">
        <v>-0.802</v>
      </c>
      <c r="K1486" t="n">
        <v>0.286</v>
      </c>
      <c r="L1486" t="n">
        <v>0.714</v>
      </c>
      <c r="M1486" t="n">
        <v>0</v>
      </c>
    </row>
    <row r="1487" spans="1:13">
      <c r="A1487" s="1">
        <f>HYPERLINK("http://www.twitter.com/NathanBLawrence/status/994355776591482881", "994355776591482881")</f>
        <v/>
      </c>
      <c r="B1487" s="2" t="n">
        <v>43229.97067129629</v>
      </c>
      <c r="C1487" t="n">
        <v>0</v>
      </c>
      <c r="D1487" t="n">
        <v>9</v>
      </c>
      <c r="E1487" t="s">
        <v>1479</v>
      </c>
      <c r="F1487">
        <f>HYPERLINK("http://pbs.twimg.com/media/DctkULVV4AA45cm.jpg", "http://pbs.twimg.com/media/DctkULVV4AA45cm.jpg")</f>
        <v/>
      </c>
      <c r="G1487" t="s"/>
      <c r="H1487" t="s"/>
      <c r="I1487" t="s"/>
      <c r="J1487" t="n">
        <v>0.3182</v>
      </c>
      <c r="K1487" t="n">
        <v>0</v>
      </c>
      <c r="L1487" t="n">
        <v>0.753</v>
      </c>
      <c r="M1487" t="n">
        <v>0.247</v>
      </c>
    </row>
    <row r="1488" spans="1:13">
      <c r="A1488" s="1">
        <f>HYPERLINK("http://www.twitter.com/NathanBLawrence/status/994355747898249216", "994355747898249216")</f>
        <v/>
      </c>
      <c r="B1488" s="2" t="n">
        <v>43229.97059027778</v>
      </c>
      <c r="C1488" t="n">
        <v>0</v>
      </c>
      <c r="D1488" t="n">
        <v>4</v>
      </c>
      <c r="E1488" t="s">
        <v>1480</v>
      </c>
      <c r="F1488">
        <f>HYPERLINK("http://pbs.twimg.com/media/Dcuu4lzXUAAHYOk.jpg", "http://pbs.twimg.com/media/Dcuu4lzXUAAHYOk.jpg")</f>
        <v/>
      </c>
      <c r="G1488" t="s"/>
      <c r="H1488" t="s"/>
      <c r="I1488" t="s"/>
      <c r="J1488" t="n">
        <v>0</v>
      </c>
      <c r="K1488" t="n">
        <v>0</v>
      </c>
      <c r="L1488" t="n">
        <v>1</v>
      </c>
      <c r="M1488" t="n">
        <v>0</v>
      </c>
    </row>
    <row r="1489" spans="1:13">
      <c r="A1489" s="1">
        <f>HYPERLINK("http://www.twitter.com/NathanBLawrence/status/994355726435979265", "994355726435979265")</f>
        <v/>
      </c>
      <c r="B1489" s="2" t="n">
        <v>43229.97053240741</v>
      </c>
      <c r="C1489" t="n">
        <v>0</v>
      </c>
      <c r="D1489" t="n">
        <v>6</v>
      </c>
      <c r="E1489" t="s">
        <v>1481</v>
      </c>
      <c r="F1489" t="s"/>
      <c r="G1489" t="s"/>
      <c r="H1489" t="s"/>
      <c r="I1489" t="s"/>
      <c r="J1489" t="n">
        <v>0</v>
      </c>
      <c r="K1489" t="n">
        <v>0</v>
      </c>
      <c r="L1489" t="n">
        <v>1</v>
      </c>
      <c r="M1489" t="n">
        <v>0</v>
      </c>
    </row>
    <row r="1490" spans="1:13">
      <c r="A1490" s="1">
        <f>HYPERLINK("http://www.twitter.com/NathanBLawrence/status/994355676473446400", "994355676473446400")</f>
        <v/>
      </c>
      <c r="B1490" s="2" t="n">
        <v>43229.97039351852</v>
      </c>
      <c r="C1490" t="n">
        <v>0</v>
      </c>
      <c r="D1490" t="n">
        <v>7</v>
      </c>
      <c r="E1490" t="s">
        <v>1482</v>
      </c>
      <c r="F1490">
        <f>HYPERLINK("http://pbs.twimg.com/media/DcwwNpgUQAAjmqv.jpg", "http://pbs.twimg.com/media/DcwwNpgUQAAjmqv.jpg")</f>
        <v/>
      </c>
      <c r="G1490" t="s"/>
      <c r="H1490" t="s"/>
      <c r="I1490" t="s"/>
      <c r="J1490" t="n">
        <v>0</v>
      </c>
      <c r="K1490" t="n">
        <v>0</v>
      </c>
      <c r="L1490" t="n">
        <v>1</v>
      </c>
      <c r="M1490" t="n">
        <v>0</v>
      </c>
    </row>
    <row r="1491" spans="1:13">
      <c r="A1491" s="1">
        <f>HYPERLINK("http://www.twitter.com/NathanBLawrence/status/994355459795628032", "994355459795628032")</f>
        <v/>
      </c>
      <c r="B1491" s="2" t="n">
        <v>43229.96979166667</v>
      </c>
      <c r="C1491" t="n">
        <v>0</v>
      </c>
      <c r="D1491" t="n">
        <v>6</v>
      </c>
      <c r="E1491" t="s">
        <v>1483</v>
      </c>
      <c r="F1491" t="s"/>
      <c r="G1491" t="s"/>
      <c r="H1491" t="s"/>
      <c r="I1491" t="s"/>
      <c r="J1491" t="n">
        <v>0.7089</v>
      </c>
      <c r="K1491" t="n">
        <v>0</v>
      </c>
      <c r="L1491" t="n">
        <v>0.772</v>
      </c>
      <c r="M1491" t="n">
        <v>0.228</v>
      </c>
    </row>
    <row r="1492" spans="1:13">
      <c r="A1492" s="1">
        <f>HYPERLINK("http://www.twitter.com/NathanBLawrence/status/994355412832047104", "994355412832047104")</f>
        <v/>
      </c>
      <c r="B1492" s="2" t="n">
        <v>43229.96966435185</v>
      </c>
      <c r="C1492" t="n">
        <v>0</v>
      </c>
      <c r="D1492" t="n">
        <v>5</v>
      </c>
      <c r="E1492" t="s">
        <v>1484</v>
      </c>
      <c r="F1492" t="s"/>
      <c r="G1492" t="s"/>
      <c r="H1492" t="s"/>
      <c r="I1492" t="s"/>
      <c r="J1492" t="n">
        <v>0.25</v>
      </c>
      <c r="K1492" t="n">
        <v>0.083</v>
      </c>
      <c r="L1492" t="n">
        <v>0.758</v>
      </c>
      <c r="M1492" t="n">
        <v>0.159</v>
      </c>
    </row>
    <row r="1493" spans="1:13">
      <c r="A1493" s="1">
        <f>HYPERLINK("http://www.twitter.com/NathanBLawrence/status/994355365667049472", "994355365667049472")</f>
        <v/>
      </c>
      <c r="B1493" s="2" t="n">
        <v>43229.96953703704</v>
      </c>
      <c r="C1493" t="n">
        <v>0</v>
      </c>
      <c r="D1493" t="n">
        <v>8</v>
      </c>
      <c r="E1493" t="s">
        <v>1485</v>
      </c>
      <c r="F1493">
        <f>HYPERLINK("http://pbs.twimg.com/media/DcxcuWHXkAMyZ_6.jpg", "http://pbs.twimg.com/media/DcxcuWHXkAMyZ_6.jpg")</f>
        <v/>
      </c>
      <c r="G1493" t="s"/>
      <c r="H1493" t="s"/>
      <c r="I1493" t="s"/>
      <c r="J1493" t="n">
        <v>0</v>
      </c>
      <c r="K1493" t="n">
        <v>0</v>
      </c>
      <c r="L1493" t="n">
        <v>1</v>
      </c>
      <c r="M1493" t="n">
        <v>0</v>
      </c>
    </row>
    <row r="1494" spans="1:13">
      <c r="A1494" s="1">
        <f>HYPERLINK("http://www.twitter.com/NathanBLawrence/status/994355292661075969", "994355292661075969")</f>
        <v/>
      </c>
      <c r="B1494" s="2" t="n">
        <v>43229.9693287037</v>
      </c>
      <c r="C1494" t="n">
        <v>0</v>
      </c>
      <c r="D1494" t="n">
        <v>7</v>
      </c>
      <c r="E1494" t="s">
        <v>1486</v>
      </c>
      <c r="F1494" t="s"/>
      <c r="G1494" t="s"/>
      <c r="H1494" t="s"/>
      <c r="I1494" t="s"/>
      <c r="J1494" t="n">
        <v>0.2732</v>
      </c>
      <c r="K1494" t="n">
        <v>0.124</v>
      </c>
      <c r="L1494" t="n">
        <v>0.6840000000000001</v>
      </c>
      <c r="M1494" t="n">
        <v>0.192</v>
      </c>
    </row>
    <row r="1495" spans="1:13">
      <c r="A1495" s="1">
        <f>HYPERLINK("http://www.twitter.com/NathanBLawrence/status/994355267369349120", "994355267369349120")</f>
        <v/>
      </c>
      <c r="B1495" s="2" t="n">
        <v>43229.96925925926</v>
      </c>
      <c r="C1495" t="n">
        <v>0</v>
      </c>
      <c r="D1495" t="n">
        <v>357</v>
      </c>
      <c r="E1495" t="s">
        <v>1487</v>
      </c>
      <c r="F1495" t="s"/>
      <c r="G1495" t="s"/>
      <c r="H1495" t="s"/>
      <c r="I1495" t="s"/>
      <c r="J1495" t="n">
        <v>0</v>
      </c>
      <c r="K1495" t="n">
        <v>0</v>
      </c>
      <c r="L1495" t="n">
        <v>1</v>
      </c>
      <c r="M1495" t="n">
        <v>0</v>
      </c>
    </row>
    <row r="1496" spans="1:13">
      <c r="A1496" s="1">
        <f>HYPERLINK("http://www.twitter.com/NathanBLawrence/status/994355170812350464", "994355170812350464")</f>
        <v/>
      </c>
      <c r="B1496" s="2" t="n">
        <v>43229.96899305555</v>
      </c>
      <c r="C1496" t="n">
        <v>0</v>
      </c>
      <c r="D1496" t="n">
        <v>10</v>
      </c>
      <c r="E1496" t="s">
        <v>1488</v>
      </c>
      <c r="F1496" t="s"/>
      <c r="G1496" t="s"/>
      <c r="H1496" t="s"/>
      <c r="I1496" t="s"/>
      <c r="J1496" t="n">
        <v>0</v>
      </c>
      <c r="K1496" t="n">
        <v>0</v>
      </c>
      <c r="L1496" t="n">
        <v>1</v>
      </c>
      <c r="M1496" t="n">
        <v>0</v>
      </c>
    </row>
    <row r="1497" spans="1:13">
      <c r="A1497" s="1">
        <f>HYPERLINK("http://www.twitter.com/NathanBLawrence/status/994354992604745728", "994354992604745728")</f>
        <v/>
      </c>
      <c r="B1497" s="2" t="n">
        <v>43229.96850694445</v>
      </c>
      <c r="C1497" t="n">
        <v>0</v>
      </c>
      <c r="D1497" t="n">
        <v>5</v>
      </c>
      <c r="E1497" t="s">
        <v>1489</v>
      </c>
      <c r="F1497" t="s"/>
      <c r="G1497" t="s"/>
      <c r="H1497" t="s"/>
      <c r="I1497" t="s"/>
      <c r="J1497" t="n">
        <v>0</v>
      </c>
      <c r="K1497" t="n">
        <v>0</v>
      </c>
      <c r="L1497" t="n">
        <v>1</v>
      </c>
      <c r="M1497" t="n">
        <v>0</v>
      </c>
    </row>
    <row r="1498" spans="1:13">
      <c r="A1498" s="1">
        <f>HYPERLINK("http://www.twitter.com/NathanBLawrence/status/994354980676100103", "994354980676100103")</f>
        <v/>
      </c>
      <c r="B1498" s="2" t="n">
        <v>43229.96847222222</v>
      </c>
      <c r="C1498" t="n">
        <v>2</v>
      </c>
      <c r="D1498" t="n">
        <v>1</v>
      </c>
      <c r="E1498" t="s">
        <v>1490</v>
      </c>
      <c r="F1498" t="s"/>
      <c r="G1498" t="s"/>
      <c r="H1498" t="s"/>
      <c r="I1498" t="s"/>
      <c r="J1498" t="n">
        <v>0.4199</v>
      </c>
      <c r="K1498" t="n">
        <v>0</v>
      </c>
      <c r="L1498" t="n">
        <v>0.8110000000000001</v>
      </c>
      <c r="M1498" t="n">
        <v>0.189</v>
      </c>
    </row>
    <row r="1499" spans="1:13">
      <c r="A1499" s="1">
        <f>HYPERLINK("http://www.twitter.com/NathanBLawrence/status/994353333258383360", "994353333258383360")</f>
        <v/>
      </c>
      <c r="B1499" s="2" t="n">
        <v>43229.96392361111</v>
      </c>
      <c r="C1499" t="n">
        <v>0</v>
      </c>
      <c r="D1499" t="n">
        <v>1</v>
      </c>
      <c r="E1499" t="s">
        <v>1491</v>
      </c>
      <c r="F1499" t="s"/>
      <c r="G1499" t="s"/>
      <c r="H1499" t="s"/>
      <c r="I1499" t="s"/>
      <c r="J1499" t="n">
        <v>-0.8442</v>
      </c>
      <c r="K1499" t="n">
        <v>0.407</v>
      </c>
      <c r="L1499" t="n">
        <v>0.494</v>
      </c>
      <c r="M1499" t="n">
        <v>0.099</v>
      </c>
    </row>
    <row r="1500" spans="1:13">
      <c r="A1500" s="1">
        <f>HYPERLINK("http://www.twitter.com/NathanBLawrence/status/994343589462323200", "994343589462323200")</f>
        <v/>
      </c>
      <c r="B1500" s="2" t="n">
        <v>43229.93703703704</v>
      </c>
      <c r="C1500" t="n">
        <v>0</v>
      </c>
      <c r="D1500" t="n">
        <v>18</v>
      </c>
      <c r="E1500" t="s">
        <v>1492</v>
      </c>
      <c r="F1500" t="s"/>
      <c r="G1500" t="s"/>
      <c r="H1500" t="s"/>
      <c r="I1500" t="s"/>
      <c r="J1500" t="n">
        <v>0</v>
      </c>
      <c r="K1500" t="n">
        <v>0</v>
      </c>
      <c r="L1500" t="n">
        <v>1</v>
      </c>
      <c r="M1500" t="n">
        <v>0</v>
      </c>
    </row>
    <row r="1501" spans="1:13">
      <c r="A1501" s="1">
        <f>HYPERLINK("http://www.twitter.com/NathanBLawrence/status/994339221509984257", "994339221509984257")</f>
        <v/>
      </c>
      <c r="B1501" s="2" t="n">
        <v>43229.92497685185</v>
      </c>
      <c r="C1501" t="n">
        <v>0</v>
      </c>
      <c r="D1501" t="n">
        <v>12</v>
      </c>
      <c r="E1501" t="s">
        <v>1493</v>
      </c>
      <c r="F1501" t="s"/>
      <c r="G1501" t="s"/>
      <c r="H1501" t="s"/>
      <c r="I1501" t="s"/>
      <c r="J1501" t="n">
        <v>-0.4981</v>
      </c>
      <c r="K1501" t="n">
        <v>0.133</v>
      </c>
      <c r="L1501" t="n">
        <v>0.867</v>
      </c>
      <c r="M1501" t="n">
        <v>0</v>
      </c>
    </row>
    <row r="1502" spans="1:13">
      <c r="A1502" s="1">
        <f>HYPERLINK("http://www.twitter.com/NathanBLawrence/status/994339160038273024", "994339160038273024")</f>
        <v/>
      </c>
      <c r="B1502" s="2" t="n">
        <v>43229.92481481482</v>
      </c>
      <c r="C1502" t="n">
        <v>3</v>
      </c>
      <c r="D1502" t="n">
        <v>3</v>
      </c>
      <c r="E1502" t="s">
        <v>1494</v>
      </c>
      <c r="F1502" t="s"/>
      <c r="G1502" t="s"/>
      <c r="H1502" t="s"/>
      <c r="I1502" t="s"/>
      <c r="J1502" t="n">
        <v>0.3818</v>
      </c>
      <c r="K1502" t="n">
        <v>0</v>
      </c>
      <c r="L1502" t="n">
        <v>0.833</v>
      </c>
      <c r="M1502" t="n">
        <v>0.167</v>
      </c>
    </row>
    <row r="1503" spans="1:13">
      <c r="A1503" s="1">
        <f>HYPERLINK("http://www.twitter.com/NathanBLawrence/status/994338800666120192", "994338800666120192")</f>
        <v/>
      </c>
      <c r="B1503" s="2" t="n">
        <v>43229.92381944445</v>
      </c>
      <c r="C1503" t="n">
        <v>0</v>
      </c>
      <c r="D1503" t="n">
        <v>0</v>
      </c>
      <c r="E1503" t="s">
        <v>1495</v>
      </c>
      <c r="F1503" t="s"/>
      <c r="G1503" t="s"/>
      <c r="H1503" t="s"/>
      <c r="I1503" t="s"/>
      <c r="J1503" t="n">
        <v>0.1511</v>
      </c>
      <c r="K1503" t="n">
        <v>0</v>
      </c>
      <c r="L1503" t="n">
        <v>0.715</v>
      </c>
      <c r="M1503" t="n">
        <v>0.285</v>
      </c>
    </row>
    <row r="1504" spans="1:13">
      <c r="A1504" s="1">
        <f>HYPERLINK("http://www.twitter.com/NathanBLawrence/status/994338684580384768", "994338684580384768")</f>
        <v/>
      </c>
      <c r="B1504" s="2" t="n">
        <v>43229.92349537037</v>
      </c>
      <c r="C1504" t="n">
        <v>16</v>
      </c>
      <c r="D1504" t="n">
        <v>12</v>
      </c>
      <c r="E1504" t="s">
        <v>1496</v>
      </c>
      <c r="F1504" t="s"/>
      <c r="G1504" t="s"/>
      <c r="H1504" t="s"/>
      <c r="I1504" t="s"/>
      <c r="J1504" t="n">
        <v>0.4283</v>
      </c>
      <c r="K1504" t="n">
        <v>0.038</v>
      </c>
      <c r="L1504" t="n">
        <v>0.869</v>
      </c>
      <c r="M1504" t="n">
        <v>0.093</v>
      </c>
    </row>
    <row r="1505" spans="1:13">
      <c r="A1505" s="1">
        <f>HYPERLINK("http://www.twitter.com/NathanBLawrence/status/994321761083813888", "994321761083813888")</f>
        <v/>
      </c>
      <c r="B1505" s="2" t="n">
        <v>43229.87680555556</v>
      </c>
      <c r="C1505" t="n">
        <v>0</v>
      </c>
      <c r="D1505" t="n">
        <v>16</v>
      </c>
      <c r="E1505" t="s">
        <v>1497</v>
      </c>
      <c r="F1505" t="s"/>
      <c r="G1505" t="s"/>
      <c r="H1505" t="s"/>
      <c r="I1505" t="s"/>
      <c r="J1505" t="n">
        <v>0.8168</v>
      </c>
      <c r="K1505" t="n">
        <v>0.046</v>
      </c>
      <c r="L1505" t="n">
        <v>0.66</v>
      </c>
      <c r="M1505" t="n">
        <v>0.293</v>
      </c>
    </row>
    <row r="1506" spans="1:13">
      <c r="A1506" s="1">
        <f>HYPERLINK("http://www.twitter.com/NathanBLawrence/status/994321727005036544", "994321727005036544")</f>
        <v/>
      </c>
      <c r="B1506" s="2" t="n">
        <v>43229.87670138889</v>
      </c>
      <c r="C1506" t="n">
        <v>0</v>
      </c>
      <c r="D1506" t="n">
        <v>5</v>
      </c>
      <c r="E1506" t="s">
        <v>1498</v>
      </c>
      <c r="F1506" t="s"/>
      <c r="G1506" t="s"/>
      <c r="H1506" t="s"/>
      <c r="I1506" t="s"/>
      <c r="J1506" t="n">
        <v>-0.3976</v>
      </c>
      <c r="K1506" t="n">
        <v>0.118</v>
      </c>
      <c r="L1506" t="n">
        <v>0.831</v>
      </c>
      <c r="M1506" t="n">
        <v>0.051</v>
      </c>
    </row>
    <row r="1507" spans="1:13">
      <c r="A1507" s="1">
        <f>HYPERLINK("http://www.twitter.com/NathanBLawrence/status/994321692284674048", "994321692284674048")</f>
        <v/>
      </c>
      <c r="B1507" s="2" t="n">
        <v>43229.87660879629</v>
      </c>
      <c r="C1507" t="n">
        <v>1</v>
      </c>
      <c r="D1507" t="n">
        <v>0</v>
      </c>
      <c r="E1507" t="s">
        <v>1499</v>
      </c>
      <c r="F1507" t="s"/>
      <c r="G1507" t="s"/>
      <c r="H1507" t="s"/>
      <c r="I1507" t="s"/>
      <c r="J1507" t="n">
        <v>0.3804</v>
      </c>
      <c r="K1507" t="n">
        <v>0</v>
      </c>
      <c r="L1507" t="n">
        <v>0.8090000000000001</v>
      </c>
      <c r="M1507" t="n">
        <v>0.191</v>
      </c>
    </row>
    <row r="1508" spans="1:13">
      <c r="A1508" s="1">
        <f>HYPERLINK("http://www.twitter.com/NathanBLawrence/status/994321537447718914", "994321537447718914")</f>
        <v/>
      </c>
      <c r="B1508" s="2" t="n">
        <v>43229.87618055556</v>
      </c>
      <c r="C1508" t="n">
        <v>0</v>
      </c>
      <c r="D1508" t="n">
        <v>0</v>
      </c>
      <c r="E1508" t="s">
        <v>1500</v>
      </c>
      <c r="F1508" t="s"/>
      <c r="G1508" t="s"/>
      <c r="H1508" t="s"/>
      <c r="I1508" t="s"/>
      <c r="J1508" t="n">
        <v>0</v>
      </c>
      <c r="K1508" t="n">
        <v>0</v>
      </c>
      <c r="L1508" t="n">
        <v>1</v>
      </c>
      <c r="M1508" t="n">
        <v>0</v>
      </c>
    </row>
    <row r="1509" spans="1:13">
      <c r="A1509" s="1">
        <f>HYPERLINK("http://www.twitter.com/NathanBLawrence/status/994321485450960903", "994321485450960903")</f>
        <v/>
      </c>
      <c r="B1509" s="2" t="n">
        <v>43229.87604166667</v>
      </c>
      <c r="C1509" t="n">
        <v>0</v>
      </c>
      <c r="D1509" t="n">
        <v>43</v>
      </c>
      <c r="E1509" t="s">
        <v>1501</v>
      </c>
      <c r="F1509">
        <f>HYPERLINK("http://pbs.twimg.com/media/DcxtI1sUQAAUJCC.jpg", "http://pbs.twimg.com/media/DcxtI1sUQAAUJCC.jpg")</f>
        <v/>
      </c>
      <c r="G1509" t="s"/>
      <c r="H1509" t="s"/>
      <c r="I1509" t="s"/>
      <c r="J1509" t="n">
        <v>0.4588</v>
      </c>
      <c r="K1509" t="n">
        <v>0.103</v>
      </c>
      <c r="L1509" t="n">
        <v>0.762</v>
      </c>
      <c r="M1509" t="n">
        <v>0.136</v>
      </c>
    </row>
    <row r="1510" spans="1:13">
      <c r="A1510" s="1">
        <f>HYPERLINK("http://www.twitter.com/NathanBLawrence/status/994321147281002497", "994321147281002497")</f>
        <v/>
      </c>
      <c r="B1510" s="2" t="n">
        <v>43229.87510416667</v>
      </c>
      <c r="C1510" t="n">
        <v>4</v>
      </c>
      <c r="D1510" t="n">
        <v>2</v>
      </c>
      <c r="E1510" t="s">
        <v>1502</v>
      </c>
      <c r="F1510" t="s"/>
      <c r="G1510" t="s"/>
      <c r="H1510" t="s"/>
      <c r="I1510" t="s"/>
      <c r="J1510" t="n">
        <v>0.9239000000000001</v>
      </c>
      <c r="K1510" t="n">
        <v>0.033</v>
      </c>
      <c r="L1510" t="n">
        <v>0.745</v>
      </c>
      <c r="M1510" t="n">
        <v>0.221</v>
      </c>
    </row>
    <row r="1511" spans="1:13">
      <c r="A1511" s="1">
        <f>HYPERLINK("http://www.twitter.com/NathanBLawrence/status/994320900169269248", "994320900169269248")</f>
        <v/>
      </c>
      <c r="B1511" s="2" t="n">
        <v>43229.8744212963</v>
      </c>
      <c r="C1511" t="n">
        <v>2</v>
      </c>
      <c r="D1511" t="n">
        <v>0</v>
      </c>
      <c r="E1511" t="s">
        <v>1503</v>
      </c>
      <c r="F1511" t="s"/>
      <c r="G1511" t="s"/>
      <c r="H1511" t="s"/>
      <c r="I1511" t="s"/>
      <c r="J1511" t="n">
        <v>-0.4912</v>
      </c>
      <c r="K1511" t="n">
        <v>0.067</v>
      </c>
      <c r="L1511" t="n">
        <v>0.9330000000000001</v>
      </c>
      <c r="M1511" t="n">
        <v>0</v>
      </c>
    </row>
    <row r="1512" spans="1:13">
      <c r="A1512" s="1">
        <f>HYPERLINK("http://www.twitter.com/NathanBLawrence/status/994320413604839425", "994320413604839425")</f>
        <v/>
      </c>
      <c r="B1512" s="2" t="n">
        <v>43229.87307870371</v>
      </c>
      <c r="C1512" t="n">
        <v>1</v>
      </c>
      <c r="D1512" t="n">
        <v>1</v>
      </c>
      <c r="E1512" t="s">
        <v>1504</v>
      </c>
      <c r="F1512" t="s"/>
      <c r="G1512" t="s"/>
      <c r="H1512" t="s"/>
      <c r="I1512" t="s"/>
      <c r="J1512" t="n">
        <v>0.5145</v>
      </c>
      <c r="K1512" t="n">
        <v>0.08</v>
      </c>
      <c r="L1512" t="n">
        <v>0.745</v>
      </c>
      <c r="M1512" t="n">
        <v>0.175</v>
      </c>
    </row>
    <row r="1513" spans="1:13">
      <c r="A1513" s="1">
        <f>HYPERLINK("http://www.twitter.com/NathanBLawrence/status/994320319270805510", "994320319270805510")</f>
        <v/>
      </c>
      <c r="B1513" s="2" t="n">
        <v>43229.87282407407</v>
      </c>
      <c r="C1513" t="n">
        <v>1</v>
      </c>
      <c r="D1513" t="n">
        <v>0</v>
      </c>
      <c r="E1513" t="s">
        <v>1505</v>
      </c>
      <c r="F1513" t="s"/>
      <c r="G1513" t="s"/>
      <c r="H1513" t="s"/>
      <c r="I1513" t="s"/>
      <c r="J1513" t="n">
        <v>-0.5501</v>
      </c>
      <c r="K1513" t="n">
        <v>0.165</v>
      </c>
      <c r="L1513" t="n">
        <v>0.768</v>
      </c>
      <c r="M1513" t="n">
        <v>0.067</v>
      </c>
    </row>
    <row r="1514" spans="1:13">
      <c r="A1514" s="1">
        <f>HYPERLINK("http://www.twitter.com/NathanBLawrence/status/994320098725941248", "994320098725941248")</f>
        <v/>
      </c>
      <c r="B1514" s="2" t="n">
        <v>43229.87221064815</v>
      </c>
      <c r="C1514" t="n">
        <v>2</v>
      </c>
      <c r="D1514" t="n">
        <v>2</v>
      </c>
      <c r="E1514" t="s">
        <v>1506</v>
      </c>
      <c r="F1514" t="s"/>
      <c r="G1514" t="s"/>
      <c r="H1514" t="s"/>
      <c r="I1514" t="s"/>
      <c r="J1514" t="n">
        <v>0.1916</v>
      </c>
      <c r="K1514" t="n">
        <v>0.075</v>
      </c>
      <c r="L1514" t="n">
        <v>0.871</v>
      </c>
      <c r="M1514" t="n">
        <v>0.054</v>
      </c>
    </row>
    <row r="1515" spans="1:13">
      <c r="A1515" s="1">
        <f>HYPERLINK("http://www.twitter.com/NathanBLawrence/status/994319891774701568", "994319891774701568")</f>
        <v/>
      </c>
      <c r="B1515" s="2" t="n">
        <v>43229.87164351852</v>
      </c>
      <c r="C1515" t="n">
        <v>1</v>
      </c>
      <c r="D1515" t="n">
        <v>0</v>
      </c>
      <c r="E1515" t="s">
        <v>1507</v>
      </c>
      <c r="F1515" t="s"/>
      <c r="G1515" t="s"/>
      <c r="H1515" t="s"/>
      <c r="I1515" t="s"/>
      <c r="J1515" t="n">
        <v>0</v>
      </c>
      <c r="K1515" t="n">
        <v>0</v>
      </c>
      <c r="L1515" t="n">
        <v>1</v>
      </c>
      <c r="M1515" t="n">
        <v>0</v>
      </c>
    </row>
    <row r="1516" spans="1:13">
      <c r="A1516" s="1">
        <f>HYPERLINK("http://www.twitter.com/NathanBLawrence/status/994317915389399040", "994317915389399040")</f>
        <v/>
      </c>
      <c r="B1516" s="2" t="n">
        <v>43229.86619212963</v>
      </c>
      <c r="C1516" t="n">
        <v>2</v>
      </c>
      <c r="D1516" t="n">
        <v>0</v>
      </c>
      <c r="E1516" t="s">
        <v>1508</v>
      </c>
      <c r="F1516" t="s"/>
      <c r="G1516" t="s"/>
      <c r="H1516" t="s"/>
      <c r="I1516" t="s"/>
      <c r="J1516" t="n">
        <v>0.802</v>
      </c>
      <c r="K1516" t="n">
        <v>0.052</v>
      </c>
      <c r="L1516" t="n">
        <v>0.762</v>
      </c>
      <c r="M1516" t="n">
        <v>0.186</v>
      </c>
    </row>
    <row r="1517" spans="1:13">
      <c r="A1517" s="1">
        <f>HYPERLINK("http://www.twitter.com/NathanBLawrence/status/994317693883994117", "994317693883994117")</f>
        <v/>
      </c>
      <c r="B1517" s="2" t="n">
        <v>43229.86557870371</v>
      </c>
      <c r="C1517" t="n">
        <v>1</v>
      </c>
      <c r="D1517" t="n">
        <v>0</v>
      </c>
      <c r="E1517" t="s">
        <v>1509</v>
      </c>
      <c r="F1517" t="s"/>
      <c r="G1517" t="s"/>
      <c r="H1517" t="s"/>
      <c r="I1517" t="s"/>
      <c r="J1517" t="n">
        <v>0.3737</v>
      </c>
      <c r="K1517" t="n">
        <v>0.049</v>
      </c>
      <c r="L1517" t="n">
        <v>0.858</v>
      </c>
      <c r="M1517" t="n">
        <v>0.094</v>
      </c>
    </row>
    <row r="1518" spans="1:13">
      <c r="A1518" s="1">
        <f>HYPERLINK("http://www.twitter.com/NathanBLawrence/status/994317472839946242", "994317472839946242")</f>
        <v/>
      </c>
      <c r="B1518" s="2" t="n">
        <v>43229.86496527777</v>
      </c>
      <c r="C1518" t="n">
        <v>1</v>
      </c>
      <c r="D1518" t="n">
        <v>0</v>
      </c>
      <c r="E1518" t="s">
        <v>1510</v>
      </c>
      <c r="F1518" t="s"/>
      <c r="G1518" t="s"/>
      <c r="H1518" t="s"/>
      <c r="I1518" t="s"/>
      <c r="J1518" t="n">
        <v>0.128</v>
      </c>
      <c r="K1518" t="n">
        <v>0</v>
      </c>
      <c r="L1518" t="n">
        <v>0.97</v>
      </c>
      <c r="M1518" t="n">
        <v>0.03</v>
      </c>
    </row>
    <row r="1519" spans="1:13">
      <c r="A1519" s="1">
        <f>HYPERLINK("http://www.twitter.com/NathanBLawrence/status/994316997612761088", "994316997612761088")</f>
        <v/>
      </c>
      <c r="B1519" s="2" t="n">
        <v>43229.8636574074</v>
      </c>
      <c r="C1519" t="n">
        <v>9</v>
      </c>
      <c r="D1519" t="n">
        <v>6</v>
      </c>
      <c r="E1519" t="s">
        <v>1511</v>
      </c>
      <c r="F1519" t="s"/>
      <c r="G1519" t="s"/>
      <c r="H1519" t="s"/>
      <c r="I1519" t="s"/>
      <c r="J1519" t="n">
        <v>0.5859</v>
      </c>
      <c r="K1519" t="n">
        <v>0</v>
      </c>
      <c r="L1519" t="n">
        <v>0.78</v>
      </c>
      <c r="M1519" t="n">
        <v>0.22</v>
      </c>
    </row>
    <row r="1520" spans="1:13">
      <c r="A1520" s="1">
        <f>HYPERLINK("http://www.twitter.com/NathanBLawrence/status/994316780477788161", "994316780477788161")</f>
        <v/>
      </c>
      <c r="B1520" s="2" t="n">
        <v>43229.86305555556</v>
      </c>
      <c r="C1520" t="n">
        <v>3</v>
      </c>
      <c r="D1520" t="n">
        <v>2</v>
      </c>
      <c r="E1520" t="s">
        <v>1512</v>
      </c>
      <c r="F1520" t="s"/>
      <c r="G1520" t="s"/>
      <c r="H1520" t="s"/>
      <c r="I1520" t="s"/>
      <c r="J1520" t="n">
        <v>-0.25</v>
      </c>
      <c r="K1520" t="n">
        <v>0.107</v>
      </c>
      <c r="L1520" t="n">
        <v>0.821</v>
      </c>
      <c r="M1520" t="n">
        <v>0.07099999999999999</v>
      </c>
    </row>
    <row r="1521" spans="1:13">
      <c r="A1521" s="1">
        <f>HYPERLINK("http://www.twitter.com/NathanBLawrence/status/994316745073741825", "994316745073741825")</f>
        <v/>
      </c>
      <c r="B1521" s="2" t="n">
        <v>43229.86296296296</v>
      </c>
      <c r="C1521" t="n">
        <v>0</v>
      </c>
      <c r="D1521" t="n">
        <v>0</v>
      </c>
      <c r="E1521" t="s">
        <v>1513</v>
      </c>
      <c r="F1521" t="s"/>
      <c r="G1521" t="s"/>
      <c r="H1521" t="s"/>
      <c r="I1521" t="s"/>
      <c r="J1521" t="n">
        <v>-0.3412</v>
      </c>
      <c r="K1521" t="n">
        <v>0.097</v>
      </c>
      <c r="L1521" t="n">
        <v>0.853</v>
      </c>
      <c r="M1521" t="n">
        <v>0.05</v>
      </c>
    </row>
    <row r="1522" spans="1:13">
      <c r="A1522" s="1">
        <f>HYPERLINK("http://www.twitter.com/NathanBLawrence/status/994316392072732673", "994316392072732673")</f>
        <v/>
      </c>
      <c r="B1522" s="2" t="n">
        <v>43229.86199074074</v>
      </c>
      <c r="C1522" t="n">
        <v>1</v>
      </c>
      <c r="D1522" t="n">
        <v>0</v>
      </c>
      <c r="E1522" t="s">
        <v>1514</v>
      </c>
      <c r="F1522" t="s"/>
      <c r="G1522" t="s"/>
      <c r="H1522" t="s"/>
      <c r="I1522" t="s"/>
      <c r="J1522" t="n">
        <v>0</v>
      </c>
      <c r="K1522" t="n">
        <v>0</v>
      </c>
      <c r="L1522" t="n">
        <v>1</v>
      </c>
      <c r="M1522" t="n">
        <v>0</v>
      </c>
    </row>
    <row r="1523" spans="1:13">
      <c r="A1523" s="1">
        <f>HYPERLINK("http://www.twitter.com/NathanBLawrence/status/994316198220312577", "994316198220312577")</f>
        <v/>
      </c>
      <c r="B1523" s="2" t="n">
        <v>43229.86144675926</v>
      </c>
      <c r="C1523" t="n">
        <v>0</v>
      </c>
      <c r="D1523" t="n">
        <v>0</v>
      </c>
      <c r="E1523" t="s">
        <v>1515</v>
      </c>
      <c r="F1523" t="s"/>
      <c r="G1523" t="s"/>
      <c r="H1523" t="s"/>
      <c r="I1523" t="s"/>
      <c r="J1523" t="n">
        <v>0.6662</v>
      </c>
      <c r="K1523" t="n">
        <v>0</v>
      </c>
      <c r="L1523" t="n">
        <v>0.879</v>
      </c>
      <c r="M1523" t="n">
        <v>0.121</v>
      </c>
    </row>
    <row r="1524" spans="1:13">
      <c r="A1524" s="1">
        <f>HYPERLINK("http://www.twitter.com/NathanBLawrence/status/994315919995428865", "994315919995428865")</f>
        <v/>
      </c>
      <c r="B1524" s="2" t="n">
        <v>43229.86068287037</v>
      </c>
      <c r="C1524" t="n">
        <v>1</v>
      </c>
      <c r="D1524" t="n">
        <v>1</v>
      </c>
      <c r="E1524" t="s">
        <v>1516</v>
      </c>
      <c r="F1524" t="s"/>
      <c r="G1524" t="s"/>
      <c r="H1524" t="s"/>
      <c r="I1524" t="s"/>
      <c r="J1524" t="n">
        <v>0</v>
      </c>
      <c r="K1524" t="n">
        <v>0</v>
      </c>
      <c r="L1524" t="n">
        <v>1</v>
      </c>
      <c r="M1524" t="n">
        <v>0</v>
      </c>
    </row>
    <row r="1525" spans="1:13">
      <c r="A1525" s="1">
        <f>HYPERLINK("http://www.twitter.com/NathanBLawrence/status/994315760859336705", "994315760859336705")</f>
        <v/>
      </c>
      <c r="B1525" s="2" t="n">
        <v>43229.86024305555</v>
      </c>
      <c r="C1525" t="n">
        <v>0</v>
      </c>
      <c r="D1525" t="n">
        <v>0</v>
      </c>
      <c r="E1525" t="s">
        <v>1517</v>
      </c>
      <c r="F1525" t="s"/>
      <c r="G1525" t="s"/>
      <c r="H1525" t="s"/>
      <c r="I1525" t="s"/>
      <c r="J1525" t="n">
        <v>0</v>
      </c>
      <c r="K1525" t="n">
        <v>0</v>
      </c>
      <c r="L1525" t="n">
        <v>1</v>
      </c>
      <c r="M1525" t="n">
        <v>0</v>
      </c>
    </row>
    <row r="1526" spans="1:13">
      <c r="A1526" s="1">
        <f>HYPERLINK("http://www.twitter.com/NathanBLawrence/status/994315540264038406", "994315540264038406")</f>
        <v/>
      </c>
      <c r="B1526" s="2" t="n">
        <v>43229.85962962963</v>
      </c>
      <c r="C1526" t="n">
        <v>1</v>
      </c>
      <c r="D1526" t="n">
        <v>1</v>
      </c>
      <c r="E1526" t="s">
        <v>1518</v>
      </c>
      <c r="F1526" t="s"/>
      <c r="G1526" t="s"/>
      <c r="H1526" t="s"/>
      <c r="I1526" t="s"/>
      <c r="J1526" t="n">
        <v>0.4019</v>
      </c>
      <c r="K1526" t="n">
        <v>0</v>
      </c>
      <c r="L1526" t="n">
        <v>0.946</v>
      </c>
      <c r="M1526" t="n">
        <v>0.054</v>
      </c>
    </row>
    <row r="1527" spans="1:13">
      <c r="A1527" s="1">
        <f>HYPERLINK("http://www.twitter.com/NathanBLawrence/status/994315243252744192", "994315243252744192")</f>
        <v/>
      </c>
      <c r="B1527" s="2" t="n">
        <v>43229.85881944445</v>
      </c>
      <c r="C1527" t="n">
        <v>6</v>
      </c>
      <c r="D1527" t="n">
        <v>6</v>
      </c>
      <c r="E1527" t="s">
        <v>1519</v>
      </c>
      <c r="F1527" t="s"/>
      <c r="G1527" t="s"/>
      <c r="H1527" t="s"/>
      <c r="I1527" t="s"/>
      <c r="J1527" t="n">
        <v>0.2732</v>
      </c>
      <c r="K1527" t="n">
        <v>0.104</v>
      </c>
      <c r="L1527" t="n">
        <v>0.76</v>
      </c>
      <c r="M1527" t="n">
        <v>0.136</v>
      </c>
    </row>
    <row r="1528" spans="1:13">
      <c r="A1528" s="1">
        <f>HYPERLINK("http://www.twitter.com/NathanBLawrence/status/994284131642171392", "994284131642171392")</f>
        <v/>
      </c>
      <c r="B1528" s="2" t="n">
        <v>43229.77296296296</v>
      </c>
      <c r="C1528" t="n">
        <v>3</v>
      </c>
      <c r="D1528" t="n">
        <v>0</v>
      </c>
      <c r="E1528" t="s">
        <v>1520</v>
      </c>
      <c r="F1528" t="s"/>
      <c r="G1528" t="s"/>
      <c r="H1528" t="s"/>
      <c r="I1528" t="s"/>
      <c r="J1528" t="n">
        <v>0.6597</v>
      </c>
      <c r="K1528" t="n">
        <v>0</v>
      </c>
      <c r="L1528" t="n">
        <v>0.802</v>
      </c>
      <c r="M1528" t="n">
        <v>0.198</v>
      </c>
    </row>
    <row r="1529" spans="1:13">
      <c r="A1529" s="1">
        <f>HYPERLINK("http://www.twitter.com/NathanBLawrence/status/994283889098141702", "994283889098141702")</f>
        <v/>
      </c>
      <c r="B1529" s="2" t="n">
        <v>43229.77229166667</v>
      </c>
      <c r="C1529" t="n">
        <v>2</v>
      </c>
      <c r="D1529" t="n">
        <v>0</v>
      </c>
      <c r="E1529" t="s">
        <v>1521</v>
      </c>
      <c r="F1529" t="s"/>
      <c r="G1529" t="s"/>
      <c r="H1529" t="s"/>
      <c r="I1529" t="s"/>
      <c r="J1529" t="n">
        <v>0.9344</v>
      </c>
      <c r="K1529" t="n">
        <v>0.07000000000000001</v>
      </c>
      <c r="L1529" t="n">
        <v>0.64</v>
      </c>
      <c r="M1529" t="n">
        <v>0.29</v>
      </c>
    </row>
    <row r="1530" spans="1:13">
      <c r="A1530" s="1">
        <f>HYPERLINK("http://www.twitter.com/NathanBLawrence/status/994273065998733312", "994273065998733312")</f>
        <v/>
      </c>
      <c r="B1530" s="2" t="n">
        <v>43229.74243055555</v>
      </c>
      <c r="C1530" t="n">
        <v>0</v>
      </c>
      <c r="D1530" t="n">
        <v>5</v>
      </c>
      <c r="E1530" t="s">
        <v>1522</v>
      </c>
      <c r="F1530" t="s"/>
      <c r="G1530" t="s"/>
      <c r="H1530" t="s"/>
      <c r="I1530" t="s"/>
      <c r="J1530" t="n">
        <v>-0.1431</v>
      </c>
      <c r="K1530" t="n">
        <v>0.135</v>
      </c>
      <c r="L1530" t="n">
        <v>0.749</v>
      </c>
      <c r="M1530" t="n">
        <v>0.116</v>
      </c>
    </row>
    <row r="1531" spans="1:13">
      <c r="A1531" s="1">
        <f>HYPERLINK("http://www.twitter.com/NathanBLawrence/status/994273043605327872", "994273043605327872")</f>
        <v/>
      </c>
      <c r="B1531" s="2" t="n">
        <v>43229.74236111111</v>
      </c>
      <c r="C1531" t="n">
        <v>0</v>
      </c>
      <c r="D1531" t="n">
        <v>2</v>
      </c>
      <c r="E1531" t="s">
        <v>1523</v>
      </c>
      <c r="F1531">
        <f>HYPERLINK("http://pbs.twimg.com/media/DcxSk8xUQAE4X0H.jpg", "http://pbs.twimg.com/media/DcxSk8xUQAE4X0H.jpg")</f>
        <v/>
      </c>
      <c r="G1531" t="s"/>
      <c r="H1531" t="s"/>
      <c r="I1531" t="s"/>
      <c r="J1531" t="n">
        <v>0.3723</v>
      </c>
      <c r="K1531" t="n">
        <v>0.135</v>
      </c>
      <c r="L1531" t="n">
        <v>0.707</v>
      </c>
      <c r="M1531" t="n">
        <v>0.157</v>
      </c>
    </row>
    <row r="1532" spans="1:13">
      <c r="A1532" s="1">
        <f>HYPERLINK("http://www.twitter.com/NathanBLawrence/status/994254613061742593", "994254613061742593")</f>
        <v/>
      </c>
      <c r="B1532" s="2" t="n">
        <v>43229.69150462963</v>
      </c>
      <c r="C1532" t="n">
        <v>0</v>
      </c>
      <c r="D1532" t="n">
        <v>12</v>
      </c>
      <c r="E1532" t="s">
        <v>1524</v>
      </c>
      <c r="F1532">
        <f>HYPERLINK("http://pbs.twimg.com/media/DcxNO4mXcAAXiN-.jpg", "http://pbs.twimg.com/media/DcxNO4mXcAAXiN-.jpg")</f>
        <v/>
      </c>
      <c r="G1532" t="s"/>
      <c r="H1532" t="s"/>
      <c r="I1532" t="s"/>
      <c r="J1532" t="n">
        <v>0</v>
      </c>
      <c r="K1532" t="n">
        <v>0</v>
      </c>
      <c r="L1532" t="n">
        <v>1</v>
      </c>
      <c r="M1532" t="n">
        <v>0</v>
      </c>
    </row>
    <row r="1533" spans="1:13">
      <c r="A1533" s="1">
        <f>HYPERLINK("http://www.twitter.com/NathanBLawrence/status/994254546678542336", "994254546678542336")</f>
        <v/>
      </c>
      <c r="B1533" s="2" t="n">
        <v>43229.69131944444</v>
      </c>
      <c r="C1533" t="n">
        <v>14</v>
      </c>
      <c r="D1533" t="n">
        <v>12</v>
      </c>
      <c r="E1533" t="s">
        <v>1525</v>
      </c>
      <c r="F1533">
        <f>HYPERLINK("http://pbs.twimg.com/media/DcxNO4mXcAAXiN-.jpg", "http://pbs.twimg.com/media/DcxNO4mXcAAXiN-.jpg")</f>
        <v/>
      </c>
      <c r="G1533" t="s"/>
      <c r="H1533" t="s"/>
      <c r="I1533" t="s"/>
      <c r="J1533" t="n">
        <v>0.7483</v>
      </c>
      <c r="K1533" t="n">
        <v>0</v>
      </c>
      <c r="L1533" t="n">
        <v>0.887</v>
      </c>
      <c r="M1533" t="n">
        <v>0.113</v>
      </c>
    </row>
    <row r="1534" spans="1:13">
      <c r="A1534" s="1">
        <f>HYPERLINK("http://www.twitter.com/NathanBLawrence/status/994250162666135553", "994250162666135553")</f>
        <v/>
      </c>
      <c r="B1534" s="2" t="n">
        <v>43229.67922453704</v>
      </c>
      <c r="C1534" t="n">
        <v>0</v>
      </c>
      <c r="D1534" t="n">
        <v>2601</v>
      </c>
      <c r="E1534" t="s">
        <v>1526</v>
      </c>
      <c r="F1534">
        <f>HYPERLINK("http://pbs.twimg.com/media/DcN0oFeW0AElNwm.jpg", "http://pbs.twimg.com/media/DcN0oFeW0AElNwm.jpg")</f>
        <v/>
      </c>
      <c r="G1534" t="s"/>
      <c r="H1534" t="s"/>
      <c r="I1534" t="s"/>
      <c r="J1534" t="n">
        <v>0</v>
      </c>
      <c r="K1534" t="n">
        <v>0</v>
      </c>
      <c r="L1534" t="n">
        <v>1</v>
      </c>
      <c r="M1534" t="n">
        <v>0</v>
      </c>
    </row>
    <row r="1535" spans="1:13">
      <c r="A1535" s="1">
        <f>HYPERLINK("http://www.twitter.com/NathanBLawrence/status/994250145863741440", "994250145863741440")</f>
        <v/>
      </c>
      <c r="B1535" s="2" t="n">
        <v>43229.67917824074</v>
      </c>
      <c r="C1535" t="n">
        <v>0</v>
      </c>
      <c r="D1535" t="n">
        <v>3934</v>
      </c>
      <c r="E1535" t="s">
        <v>1527</v>
      </c>
      <c r="F1535" t="s"/>
      <c r="G1535" t="s"/>
      <c r="H1535" t="s"/>
      <c r="I1535" t="s"/>
      <c r="J1535" t="n">
        <v>0.2263</v>
      </c>
      <c r="K1535" t="n">
        <v>0.07099999999999999</v>
      </c>
      <c r="L1535" t="n">
        <v>0.787</v>
      </c>
      <c r="M1535" t="n">
        <v>0.142</v>
      </c>
    </row>
    <row r="1536" spans="1:13">
      <c r="A1536" s="1">
        <f>HYPERLINK("http://www.twitter.com/NathanBLawrence/status/994225771437797376", "994225771437797376")</f>
        <v/>
      </c>
      <c r="B1536" s="2" t="n">
        <v>43229.61192129629</v>
      </c>
      <c r="C1536" t="n">
        <v>0</v>
      </c>
      <c r="D1536" t="n">
        <v>13</v>
      </c>
      <c r="E1536" t="s">
        <v>1528</v>
      </c>
      <c r="F1536">
        <f>HYPERLINK("http://pbs.twimg.com/media/DcwzBwwVQAEboK3.jpg", "http://pbs.twimg.com/media/DcwzBwwVQAEboK3.jpg")</f>
        <v/>
      </c>
      <c r="G1536" t="s"/>
      <c r="H1536" t="s"/>
      <c r="I1536" t="s"/>
      <c r="J1536" t="n">
        <v>0</v>
      </c>
      <c r="K1536" t="n">
        <v>0</v>
      </c>
      <c r="L1536" t="n">
        <v>1</v>
      </c>
      <c r="M1536" t="n">
        <v>0</v>
      </c>
    </row>
    <row r="1537" spans="1:13">
      <c r="A1537" s="1">
        <f>HYPERLINK("http://www.twitter.com/NathanBLawrence/status/994225741482135552", "994225741482135552")</f>
        <v/>
      </c>
      <c r="B1537" s="2" t="n">
        <v>43229.61184027778</v>
      </c>
      <c r="C1537" t="n">
        <v>13</v>
      </c>
      <c r="D1537" t="n">
        <v>13</v>
      </c>
      <c r="E1537" t="s">
        <v>1529</v>
      </c>
      <c r="F1537">
        <f>HYPERLINK("http://pbs.twimg.com/media/DcwzBwwVQAEboK3.jpg", "http://pbs.twimg.com/media/DcwzBwwVQAEboK3.jpg")</f>
        <v/>
      </c>
      <c r="G1537" t="s"/>
      <c r="H1537" t="s"/>
      <c r="I1537" t="s"/>
      <c r="J1537" t="n">
        <v>0</v>
      </c>
      <c r="K1537" t="n">
        <v>0</v>
      </c>
      <c r="L1537" t="n">
        <v>1</v>
      </c>
      <c r="M1537" t="n">
        <v>0</v>
      </c>
    </row>
    <row r="1538" spans="1:13">
      <c r="A1538" s="1">
        <f>HYPERLINK("http://www.twitter.com/NathanBLawrence/status/994223278477791233", "994223278477791233")</f>
        <v/>
      </c>
      <c r="B1538" s="2" t="n">
        <v>43229.6050462963</v>
      </c>
      <c r="C1538" t="n">
        <v>0</v>
      </c>
      <c r="D1538" t="n">
        <v>15</v>
      </c>
      <c r="E1538" t="s">
        <v>1530</v>
      </c>
      <c r="F1538" t="s"/>
      <c r="G1538" t="s"/>
      <c r="H1538" t="s"/>
      <c r="I1538" t="s"/>
      <c r="J1538" t="n">
        <v>-0.2942</v>
      </c>
      <c r="K1538" t="n">
        <v>0.135</v>
      </c>
      <c r="L1538" t="n">
        <v>0.865</v>
      </c>
      <c r="M1538" t="n">
        <v>0</v>
      </c>
    </row>
    <row r="1539" spans="1:13">
      <c r="A1539" s="1">
        <f>HYPERLINK("http://www.twitter.com/NathanBLawrence/status/994223252334575616", "994223252334575616")</f>
        <v/>
      </c>
      <c r="B1539" s="2" t="n">
        <v>43229.60496527778</v>
      </c>
      <c r="C1539" t="n">
        <v>0</v>
      </c>
      <c r="D1539" t="n">
        <v>8</v>
      </c>
      <c r="E1539" t="s">
        <v>1531</v>
      </c>
      <c r="F1539" t="s"/>
      <c r="G1539" t="s"/>
      <c r="H1539" t="s"/>
      <c r="I1539" t="s"/>
      <c r="J1539" t="n">
        <v>0</v>
      </c>
      <c r="K1539" t="n">
        <v>0.108</v>
      </c>
      <c r="L1539" t="n">
        <v>0.784</v>
      </c>
      <c r="M1539" t="n">
        <v>0.108</v>
      </c>
    </row>
    <row r="1540" spans="1:13">
      <c r="A1540" s="1">
        <f>HYPERLINK("http://www.twitter.com/NathanBLawrence/status/994197214749777921", "994197214749777921")</f>
        <v/>
      </c>
      <c r="B1540" s="2" t="n">
        <v>43229.53311342592</v>
      </c>
      <c r="C1540" t="n">
        <v>0</v>
      </c>
      <c r="D1540" t="n">
        <v>84098</v>
      </c>
      <c r="E1540" t="s">
        <v>1532</v>
      </c>
      <c r="F1540" t="s"/>
      <c r="G1540" t="s"/>
      <c r="H1540" t="s"/>
      <c r="I1540" t="s"/>
      <c r="J1540" t="n">
        <v>-0.5357</v>
      </c>
      <c r="K1540" t="n">
        <v>0.181</v>
      </c>
      <c r="L1540" t="n">
        <v>0.741</v>
      </c>
      <c r="M1540" t="n">
        <v>0.079</v>
      </c>
    </row>
    <row r="1541" spans="1:13">
      <c r="A1541" s="1">
        <f>HYPERLINK("http://www.twitter.com/NathanBLawrence/status/994106773253623811", "994106773253623811")</f>
        <v/>
      </c>
      <c r="B1541" s="2" t="n">
        <v>43229.28355324074</v>
      </c>
      <c r="C1541" t="n">
        <v>4</v>
      </c>
      <c r="D1541" t="n">
        <v>0</v>
      </c>
      <c r="E1541" t="s">
        <v>1533</v>
      </c>
      <c r="F1541" t="s"/>
      <c r="G1541" t="s"/>
      <c r="H1541" t="s"/>
      <c r="I1541" t="s"/>
      <c r="J1541" t="n">
        <v>0.4404</v>
      </c>
      <c r="K1541" t="n">
        <v>0</v>
      </c>
      <c r="L1541" t="n">
        <v>0.879</v>
      </c>
      <c r="M1541" t="n">
        <v>0.121</v>
      </c>
    </row>
    <row r="1542" spans="1:13">
      <c r="A1542" s="1">
        <f>HYPERLINK("http://www.twitter.com/NathanBLawrence/status/994068940228845569", "994068940228845569")</f>
        <v/>
      </c>
      <c r="B1542" s="2" t="n">
        <v>43229.17914351852</v>
      </c>
      <c r="C1542" t="n">
        <v>0</v>
      </c>
      <c r="D1542" t="n">
        <v>1329</v>
      </c>
      <c r="E1542" t="s">
        <v>1534</v>
      </c>
      <c r="F1542">
        <f>HYPERLINK("http://pbs.twimg.com/media/DctltOdVwAEiTjh.jpg", "http://pbs.twimg.com/media/DctltOdVwAEiTjh.jpg")</f>
        <v/>
      </c>
      <c r="G1542">
        <f>HYPERLINK("http://pbs.twimg.com/media/DctltOdV4AE4lo9.jpg", "http://pbs.twimg.com/media/DctltOdV4AE4lo9.jpg")</f>
        <v/>
      </c>
      <c r="H1542" t="s"/>
      <c r="I1542" t="s"/>
      <c r="J1542" t="n">
        <v>0</v>
      </c>
      <c r="K1542" t="n">
        <v>0</v>
      </c>
      <c r="L1542" t="n">
        <v>1</v>
      </c>
      <c r="M1542" t="n">
        <v>0</v>
      </c>
    </row>
    <row r="1543" spans="1:13">
      <c r="A1543" s="1">
        <f>HYPERLINK("http://www.twitter.com/NathanBLawrence/status/994068772095971328", "994068772095971328")</f>
        <v/>
      </c>
      <c r="B1543" s="2" t="n">
        <v>43229.17868055555</v>
      </c>
      <c r="C1543" t="n">
        <v>0</v>
      </c>
      <c r="D1543" t="n">
        <v>303</v>
      </c>
      <c r="E1543" t="s">
        <v>1535</v>
      </c>
      <c r="F1543" t="s"/>
      <c r="G1543" t="s"/>
      <c r="H1543" t="s"/>
      <c r="I1543" t="s"/>
      <c r="J1543" t="n">
        <v>0.595</v>
      </c>
      <c r="K1543" t="n">
        <v>0.07199999999999999</v>
      </c>
      <c r="L1543" t="n">
        <v>0.707</v>
      </c>
      <c r="M1543" t="n">
        <v>0.221</v>
      </c>
    </row>
    <row r="1544" spans="1:13">
      <c r="A1544" s="1">
        <f>HYPERLINK("http://www.twitter.com/NathanBLawrence/status/994052689427423232", "994052689427423232")</f>
        <v/>
      </c>
      <c r="B1544" s="2" t="n">
        <v>43229.13430555556</v>
      </c>
      <c r="C1544" t="n">
        <v>0</v>
      </c>
      <c r="D1544" t="n">
        <v>76</v>
      </c>
      <c r="E1544" t="s">
        <v>1536</v>
      </c>
      <c r="F1544" t="s"/>
      <c r="G1544" t="s"/>
      <c r="H1544" t="s"/>
      <c r="I1544" t="s"/>
      <c r="J1544" t="n">
        <v>-0.6705</v>
      </c>
      <c r="K1544" t="n">
        <v>0.2</v>
      </c>
      <c r="L1544" t="n">
        <v>0.8</v>
      </c>
      <c r="M1544" t="n">
        <v>0</v>
      </c>
    </row>
    <row r="1545" spans="1:13">
      <c r="A1545" s="1">
        <f>HYPERLINK("http://www.twitter.com/NathanBLawrence/status/994052622372962304", "994052622372962304")</f>
        <v/>
      </c>
      <c r="B1545" s="2" t="n">
        <v>43229.13412037037</v>
      </c>
      <c r="C1545" t="n">
        <v>0</v>
      </c>
      <c r="D1545" t="n">
        <v>55897</v>
      </c>
      <c r="E1545" t="s">
        <v>1537</v>
      </c>
      <c r="F1545" t="s"/>
      <c r="G1545" t="s"/>
      <c r="H1545" t="s"/>
      <c r="I1545" t="s"/>
      <c r="J1545" t="n">
        <v>0.802</v>
      </c>
      <c r="K1545" t="n">
        <v>0</v>
      </c>
      <c r="L1545" t="n">
        <v>0.41</v>
      </c>
      <c r="M1545" t="n">
        <v>0.59</v>
      </c>
    </row>
    <row r="1546" spans="1:13">
      <c r="A1546" s="1">
        <f>HYPERLINK("http://www.twitter.com/NathanBLawrence/status/994052594405380097", "994052594405380097")</f>
        <v/>
      </c>
      <c r="B1546" s="2" t="n">
        <v>43229.13403935185</v>
      </c>
      <c r="C1546" t="n">
        <v>0</v>
      </c>
      <c r="D1546" t="n">
        <v>578</v>
      </c>
      <c r="E1546" t="s">
        <v>1538</v>
      </c>
      <c r="F1546" t="s"/>
      <c r="G1546" t="s"/>
      <c r="H1546" t="s"/>
      <c r="I1546" t="s"/>
      <c r="J1546" t="n">
        <v>0</v>
      </c>
      <c r="K1546" t="n">
        <v>0</v>
      </c>
      <c r="L1546" t="n">
        <v>1</v>
      </c>
      <c r="M1546" t="n">
        <v>0</v>
      </c>
    </row>
    <row r="1547" spans="1:13">
      <c r="A1547" s="1">
        <f>HYPERLINK("http://www.twitter.com/NathanBLawrence/status/994035990418378752", "994035990418378752")</f>
        <v/>
      </c>
      <c r="B1547" s="2" t="n">
        <v>43229.08822916666</v>
      </c>
      <c r="C1547" t="n">
        <v>0</v>
      </c>
      <c r="D1547" t="n">
        <v>338</v>
      </c>
      <c r="E1547" t="s">
        <v>1539</v>
      </c>
      <c r="F1547">
        <f>HYPERLINK("https://video.twimg.com/ext_tw_video/993655863377195009/pu/vid/1280x720/nxRdTwjBtdBtuV98.mp4?tag=3", "https://video.twimg.com/ext_tw_video/993655863377195009/pu/vid/1280x720/nxRdTwjBtdBtuV98.mp4?tag=3")</f>
        <v/>
      </c>
      <c r="G1547" t="s"/>
      <c r="H1547" t="s"/>
      <c r="I1547" t="s"/>
      <c r="J1547" t="n">
        <v>-0.25</v>
      </c>
      <c r="K1547" t="n">
        <v>0.077</v>
      </c>
      <c r="L1547" t="n">
        <v>0.923</v>
      </c>
      <c r="M1547" t="n">
        <v>0</v>
      </c>
    </row>
    <row r="1548" spans="1:13">
      <c r="A1548" s="1">
        <f>HYPERLINK("http://www.twitter.com/NathanBLawrence/status/994035970755452928", "994035970755452928")</f>
        <v/>
      </c>
      <c r="B1548" s="2" t="n">
        <v>43229.08817129629</v>
      </c>
      <c r="C1548" t="n">
        <v>0</v>
      </c>
      <c r="D1548" t="n">
        <v>787</v>
      </c>
      <c r="E1548" t="s">
        <v>1540</v>
      </c>
      <c r="F1548">
        <f>HYPERLINK("http://pbs.twimg.com/media/Dcq8i6sUQAIzQvJ.jpg", "http://pbs.twimg.com/media/Dcq8i6sUQAIzQvJ.jpg")</f>
        <v/>
      </c>
      <c r="G1548" t="s"/>
      <c r="H1548" t="s"/>
      <c r="I1548" t="s"/>
      <c r="J1548" t="n">
        <v>0.7911</v>
      </c>
      <c r="K1548" t="n">
        <v>0</v>
      </c>
      <c r="L1548" t="n">
        <v>0.72</v>
      </c>
      <c r="M1548" t="n">
        <v>0.28</v>
      </c>
    </row>
    <row r="1549" spans="1:13">
      <c r="A1549" s="1">
        <f>HYPERLINK("http://www.twitter.com/NathanBLawrence/status/994035935221338113", "994035935221338113")</f>
        <v/>
      </c>
      <c r="B1549" s="2" t="n">
        <v>43229.08806712963</v>
      </c>
      <c r="C1549" t="n">
        <v>0</v>
      </c>
      <c r="D1549" t="n">
        <v>703</v>
      </c>
      <c r="E1549" t="s">
        <v>1541</v>
      </c>
      <c r="F1549" t="s"/>
      <c r="G1549" t="s"/>
      <c r="H1549" t="s"/>
      <c r="I1549" t="s"/>
      <c r="J1549" t="n">
        <v>-0.5574</v>
      </c>
      <c r="K1549" t="n">
        <v>0.146</v>
      </c>
      <c r="L1549" t="n">
        <v>0.854</v>
      </c>
      <c r="M1549" t="n">
        <v>0</v>
      </c>
    </row>
    <row r="1550" spans="1:13">
      <c r="A1550" s="1">
        <f>HYPERLINK("http://www.twitter.com/NathanBLawrence/status/994035912190328832", "994035912190328832")</f>
        <v/>
      </c>
      <c r="B1550" s="2" t="n">
        <v>43229.08800925926</v>
      </c>
      <c r="C1550" t="n">
        <v>0</v>
      </c>
      <c r="D1550" t="n">
        <v>3</v>
      </c>
      <c r="E1550" t="s">
        <v>1542</v>
      </c>
      <c r="F1550" t="s"/>
      <c r="G1550" t="s"/>
      <c r="H1550" t="s"/>
      <c r="I1550" t="s"/>
      <c r="J1550" t="n">
        <v>-0.4019</v>
      </c>
      <c r="K1550" t="n">
        <v>0.13</v>
      </c>
      <c r="L1550" t="n">
        <v>0.87</v>
      </c>
      <c r="M1550" t="n">
        <v>0</v>
      </c>
    </row>
    <row r="1551" spans="1:13">
      <c r="A1551" s="1">
        <f>HYPERLINK("http://www.twitter.com/NathanBLawrence/status/994035873254690816", "994035873254690816")</f>
        <v/>
      </c>
      <c r="B1551" s="2" t="n">
        <v>43229.08790509259</v>
      </c>
      <c r="C1551" t="n">
        <v>0</v>
      </c>
      <c r="D1551" t="n">
        <v>920</v>
      </c>
      <c r="E1551" t="s">
        <v>1543</v>
      </c>
      <c r="F1551" t="s"/>
      <c r="G1551" t="s"/>
      <c r="H1551" t="s"/>
      <c r="I1551" t="s"/>
      <c r="J1551" t="n">
        <v>0</v>
      </c>
      <c r="K1551" t="n">
        <v>0</v>
      </c>
      <c r="L1551" t="n">
        <v>1</v>
      </c>
      <c r="M1551" t="n">
        <v>0</v>
      </c>
    </row>
    <row r="1552" spans="1:13">
      <c r="A1552" s="1">
        <f>HYPERLINK("http://www.twitter.com/NathanBLawrence/status/994035861347020800", "994035861347020800")</f>
        <v/>
      </c>
      <c r="B1552" s="2" t="n">
        <v>43229.08787037037</v>
      </c>
      <c r="C1552" t="n">
        <v>0</v>
      </c>
      <c r="D1552" t="n">
        <v>874</v>
      </c>
      <c r="E1552" t="s">
        <v>1544</v>
      </c>
      <c r="F1552">
        <f>HYPERLINK("http://pbs.twimg.com/media/DctXWWEVwAAOkIC.jpg", "http://pbs.twimg.com/media/DctXWWEVwAAOkIC.jpg")</f>
        <v/>
      </c>
      <c r="G1552" t="s"/>
      <c r="H1552" t="s"/>
      <c r="I1552" t="s"/>
      <c r="J1552" t="n">
        <v>0.5949</v>
      </c>
      <c r="K1552" t="n">
        <v>0</v>
      </c>
      <c r="L1552" t="n">
        <v>0.608</v>
      </c>
      <c r="M1552" t="n">
        <v>0.392</v>
      </c>
    </row>
    <row r="1553" spans="1:13">
      <c r="A1553" s="1">
        <f>HYPERLINK("http://www.twitter.com/NathanBLawrence/status/994035761275129861", "994035761275129861")</f>
        <v/>
      </c>
      <c r="B1553" s="2" t="n">
        <v>43229.08759259259</v>
      </c>
      <c r="C1553" t="n">
        <v>0</v>
      </c>
      <c r="D1553" t="n">
        <v>420</v>
      </c>
      <c r="E1553" t="s">
        <v>1545</v>
      </c>
      <c r="F1553" t="s"/>
      <c r="G1553" t="s"/>
      <c r="H1553" t="s"/>
      <c r="I1553" t="s"/>
      <c r="J1553" t="n">
        <v>0</v>
      </c>
      <c r="K1553" t="n">
        <v>0</v>
      </c>
      <c r="L1553" t="n">
        <v>1</v>
      </c>
      <c r="M1553" t="n">
        <v>0</v>
      </c>
    </row>
    <row r="1554" spans="1:13">
      <c r="A1554" s="1">
        <f>HYPERLINK("http://www.twitter.com/NathanBLawrence/status/994035738202267648", "994035738202267648")</f>
        <v/>
      </c>
      <c r="B1554" s="2" t="n">
        <v>43229.08752314815</v>
      </c>
      <c r="C1554" t="n">
        <v>0</v>
      </c>
      <c r="D1554" t="n">
        <v>44</v>
      </c>
      <c r="E1554" t="s">
        <v>1546</v>
      </c>
      <c r="F1554" t="s"/>
      <c r="G1554" t="s"/>
      <c r="H1554" t="s"/>
      <c r="I1554" t="s"/>
      <c r="J1554" t="n">
        <v>-0.4404</v>
      </c>
      <c r="K1554" t="n">
        <v>0.116</v>
      </c>
      <c r="L1554" t="n">
        <v>0.884</v>
      </c>
      <c r="M1554" t="n">
        <v>0</v>
      </c>
    </row>
    <row r="1555" spans="1:13">
      <c r="A1555" s="1">
        <f>HYPERLINK("http://www.twitter.com/NathanBLawrence/status/994035596267008000", "994035596267008000")</f>
        <v/>
      </c>
      <c r="B1555" s="2" t="n">
        <v>43229.0871412037</v>
      </c>
      <c r="C1555" t="n">
        <v>0</v>
      </c>
      <c r="D1555" t="n">
        <v>13757</v>
      </c>
      <c r="E1555" t="s">
        <v>1547</v>
      </c>
      <c r="F1555" t="s"/>
      <c r="G1555" t="s"/>
      <c r="H1555" t="s"/>
      <c r="I1555" t="s"/>
      <c r="J1555" t="n">
        <v>0</v>
      </c>
      <c r="K1555" t="n">
        <v>0</v>
      </c>
      <c r="L1555" t="n">
        <v>1</v>
      </c>
      <c r="M1555" t="n">
        <v>0</v>
      </c>
    </row>
    <row r="1556" spans="1:13">
      <c r="A1556" s="1">
        <f>HYPERLINK("http://www.twitter.com/NathanBLawrence/status/994035213385814016", "994035213385814016")</f>
        <v/>
      </c>
      <c r="B1556" s="2" t="n">
        <v>43229.08607638889</v>
      </c>
      <c r="C1556" t="n">
        <v>0</v>
      </c>
      <c r="D1556" t="n">
        <v>1</v>
      </c>
      <c r="E1556" t="s">
        <v>1548</v>
      </c>
      <c r="F1556" t="s"/>
      <c r="G1556" t="s"/>
      <c r="H1556" t="s"/>
      <c r="I1556" t="s"/>
      <c r="J1556" t="n">
        <v>0.5574</v>
      </c>
      <c r="K1556" t="n">
        <v>0.125</v>
      </c>
      <c r="L1556" t="n">
        <v>0.536</v>
      </c>
      <c r="M1556" t="n">
        <v>0.339</v>
      </c>
    </row>
    <row r="1557" spans="1:13">
      <c r="A1557" s="1">
        <f>HYPERLINK("http://www.twitter.com/NathanBLawrence/status/994034775303344129", "994034775303344129")</f>
        <v/>
      </c>
      <c r="B1557" s="2" t="n">
        <v>43229.08487268518</v>
      </c>
      <c r="C1557" t="n">
        <v>0</v>
      </c>
      <c r="D1557" t="n">
        <v>1224</v>
      </c>
      <c r="E1557" t="s">
        <v>1549</v>
      </c>
      <c r="F1557" t="s"/>
      <c r="G1557" t="s"/>
      <c r="H1557" t="s"/>
      <c r="I1557" t="s"/>
      <c r="J1557" t="n">
        <v>0.2732</v>
      </c>
      <c r="K1557" t="n">
        <v>0</v>
      </c>
      <c r="L1557" t="n">
        <v>0.905</v>
      </c>
      <c r="M1557" t="n">
        <v>0.095</v>
      </c>
    </row>
    <row r="1558" spans="1:13">
      <c r="A1558" s="1">
        <f>HYPERLINK("http://www.twitter.com/NathanBLawrence/status/994031307515748352", "994031307515748352")</f>
        <v/>
      </c>
      <c r="B1558" s="2" t="n">
        <v>43229.07530092593</v>
      </c>
      <c r="C1558" t="n">
        <v>0</v>
      </c>
      <c r="D1558" t="n">
        <v>2364</v>
      </c>
      <c r="E1558" t="s">
        <v>1550</v>
      </c>
      <c r="F1558" t="s"/>
      <c r="G1558" t="s"/>
      <c r="H1558" t="s"/>
      <c r="I1558" t="s"/>
      <c r="J1558" t="n">
        <v>-0.1139</v>
      </c>
      <c r="K1558" t="n">
        <v>0.053</v>
      </c>
      <c r="L1558" t="n">
        <v>0.947</v>
      </c>
      <c r="M1558" t="n">
        <v>0</v>
      </c>
    </row>
    <row r="1559" spans="1:13">
      <c r="A1559" s="1">
        <f>HYPERLINK("http://www.twitter.com/NathanBLawrence/status/994031272950419458", "994031272950419458")</f>
        <v/>
      </c>
      <c r="B1559" s="2" t="n">
        <v>43229.07520833334</v>
      </c>
      <c r="C1559" t="n">
        <v>0</v>
      </c>
      <c r="D1559" t="n">
        <v>3041</v>
      </c>
      <c r="E1559" t="s">
        <v>1551</v>
      </c>
      <c r="F1559" t="s"/>
      <c r="G1559" t="s"/>
      <c r="H1559" t="s"/>
      <c r="I1559" t="s"/>
      <c r="J1559" t="n">
        <v>-0.6249</v>
      </c>
      <c r="K1559" t="n">
        <v>0.188</v>
      </c>
      <c r="L1559" t="n">
        <v>0.8120000000000001</v>
      </c>
      <c r="M1559" t="n">
        <v>0</v>
      </c>
    </row>
    <row r="1560" spans="1:13">
      <c r="A1560" s="1">
        <f>HYPERLINK("http://www.twitter.com/NathanBLawrence/status/994031243103801345", "994031243103801345")</f>
        <v/>
      </c>
      <c r="B1560" s="2" t="n">
        <v>43229.07512731481</v>
      </c>
      <c r="C1560" t="n">
        <v>0</v>
      </c>
      <c r="D1560" t="n">
        <v>825</v>
      </c>
      <c r="E1560" t="s">
        <v>1552</v>
      </c>
      <c r="F1560" t="s"/>
      <c r="G1560" t="s"/>
      <c r="H1560" t="s"/>
      <c r="I1560" t="s"/>
      <c r="J1560" t="n">
        <v>0.34</v>
      </c>
      <c r="K1560" t="n">
        <v>0</v>
      </c>
      <c r="L1560" t="n">
        <v>0.906</v>
      </c>
      <c r="M1560" t="n">
        <v>0.094</v>
      </c>
    </row>
    <row r="1561" spans="1:13">
      <c r="A1561" s="1">
        <f>HYPERLINK("http://www.twitter.com/NathanBLawrence/status/994031222614646784", "994031222614646784")</f>
        <v/>
      </c>
      <c r="B1561" s="2" t="n">
        <v>43229.07506944444</v>
      </c>
      <c r="C1561" t="n">
        <v>0</v>
      </c>
      <c r="D1561" t="n">
        <v>33690</v>
      </c>
      <c r="E1561" t="s">
        <v>1553</v>
      </c>
      <c r="F1561" t="s"/>
      <c r="G1561" t="s"/>
      <c r="H1561" t="s"/>
      <c r="I1561" t="s"/>
      <c r="J1561" t="n">
        <v>0.3164</v>
      </c>
      <c r="K1561" t="n">
        <v>0</v>
      </c>
      <c r="L1561" t="n">
        <v>0.913</v>
      </c>
      <c r="M1561" t="n">
        <v>0.08699999999999999</v>
      </c>
    </row>
    <row r="1562" spans="1:13">
      <c r="A1562" s="1">
        <f>HYPERLINK("http://www.twitter.com/NathanBLawrence/status/994031179333537792", "994031179333537792")</f>
        <v/>
      </c>
      <c r="B1562" s="2" t="n">
        <v>43229.0749537037</v>
      </c>
      <c r="C1562" t="n">
        <v>0</v>
      </c>
      <c r="D1562" t="n">
        <v>24451</v>
      </c>
      <c r="E1562" t="s">
        <v>1554</v>
      </c>
      <c r="F1562">
        <f>HYPERLINK("https://video.twimg.com/ext_tw_video/993976473718407168/pu/vid/1280x720/M0zSm_QFjmwF6vqj.mp4?tag=3", "https://video.twimg.com/ext_tw_video/993976473718407168/pu/vid/1280x720/M0zSm_QFjmwF6vqj.mp4?tag=3")</f>
        <v/>
      </c>
      <c r="G1562" t="s"/>
      <c r="H1562" t="s"/>
      <c r="I1562" t="s"/>
      <c r="J1562" t="n">
        <v>-0.4404</v>
      </c>
      <c r="K1562" t="n">
        <v>0.108</v>
      </c>
      <c r="L1562" t="n">
        <v>0.892</v>
      </c>
      <c r="M1562" t="n">
        <v>0</v>
      </c>
    </row>
    <row r="1563" spans="1:13">
      <c r="A1563" s="1">
        <f>HYPERLINK("http://www.twitter.com/NathanBLawrence/status/994031152913633283", "994031152913633283")</f>
        <v/>
      </c>
      <c r="B1563" s="2" t="n">
        <v>43229.07487268518</v>
      </c>
      <c r="C1563" t="n">
        <v>0</v>
      </c>
      <c r="D1563" t="n">
        <v>12</v>
      </c>
      <c r="E1563" t="s">
        <v>1555</v>
      </c>
      <c r="F1563">
        <f>HYPERLINK("http://pbs.twimg.com/media/DcuBtX4W4AAq2vH.jpg", "http://pbs.twimg.com/media/DcuBtX4W4AAq2vH.jpg")</f>
        <v/>
      </c>
      <c r="G1563" t="s"/>
      <c r="H1563" t="s"/>
      <c r="I1563" t="s"/>
      <c r="J1563" t="n">
        <v>0</v>
      </c>
      <c r="K1563" t="n">
        <v>0</v>
      </c>
      <c r="L1563" t="n">
        <v>1</v>
      </c>
      <c r="M1563" t="n">
        <v>0</v>
      </c>
    </row>
    <row r="1564" spans="1:13">
      <c r="A1564" s="1">
        <f>HYPERLINK("http://www.twitter.com/NathanBLawrence/status/994030771047411712", "994030771047411712")</f>
        <v/>
      </c>
      <c r="B1564" s="2" t="n">
        <v>43229.07381944444</v>
      </c>
      <c r="C1564" t="n">
        <v>17</v>
      </c>
      <c r="D1564" t="n">
        <v>12</v>
      </c>
      <c r="E1564" t="s">
        <v>1556</v>
      </c>
      <c r="F1564">
        <f>HYPERLINK("http://pbs.twimg.com/media/DcuBtX4W4AAq2vH.jpg", "http://pbs.twimg.com/media/DcuBtX4W4AAq2vH.jpg")</f>
        <v/>
      </c>
      <c r="G1564" t="s"/>
      <c r="H1564" t="s"/>
      <c r="I1564" t="s"/>
      <c r="J1564" t="n">
        <v>-0.5423</v>
      </c>
      <c r="K1564" t="n">
        <v>0.079</v>
      </c>
      <c r="L1564" t="n">
        <v>0.921</v>
      </c>
      <c r="M1564" t="n">
        <v>0</v>
      </c>
    </row>
    <row r="1565" spans="1:13">
      <c r="A1565" s="1">
        <f>HYPERLINK("http://www.twitter.com/NathanBLawrence/status/994026748101656581", "994026748101656581")</f>
        <v/>
      </c>
      <c r="B1565" s="2" t="n">
        <v>43229.06271990741</v>
      </c>
      <c r="C1565" t="n">
        <v>0</v>
      </c>
      <c r="D1565" t="n">
        <v>10</v>
      </c>
      <c r="E1565" t="s">
        <v>1557</v>
      </c>
      <c r="F1565">
        <f>HYPERLINK("http://pbs.twimg.com/media/Dct4worWsAAiN-F.jpg", "http://pbs.twimg.com/media/Dct4worWsAAiN-F.jpg")</f>
        <v/>
      </c>
      <c r="G1565" t="s"/>
      <c r="H1565" t="s"/>
      <c r="I1565" t="s"/>
      <c r="J1565" t="n">
        <v>-0.8316</v>
      </c>
      <c r="K1565" t="n">
        <v>0.295</v>
      </c>
      <c r="L1565" t="n">
        <v>0.705</v>
      </c>
      <c r="M1565" t="n">
        <v>0</v>
      </c>
    </row>
    <row r="1566" spans="1:13">
      <c r="A1566" s="1">
        <f>HYPERLINK("http://www.twitter.com/NathanBLawrence/status/994024200846430209", "994024200846430209")</f>
        <v/>
      </c>
      <c r="B1566" s="2" t="n">
        <v>43229.05569444445</v>
      </c>
      <c r="C1566" t="n">
        <v>0</v>
      </c>
      <c r="D1566" t="n">
        <v>133</v>
      </c>
      <c r="E1566" t="s">
        <v>1558</v>
      </c>
      <c r="F1566" t="s"/>
      <c r="G1566" t="s"/>
      <c r="H1566" t="s"/>
      <c r="I1566" t="s"/>
      <c r="J1566" t="n">
        <v>0</v>
      </c>
      <c r="K1566" t="n">
        <v>0</v>
      </c>
      <c r="L1566" t="n">
        <v>1</v>
      </c>
      <c r="M1566" t="n">
        <v>0</v>
      </c>
    </row>
    <row r="1567" spans="1:13">
      <c r="A1567" s="1">
        <f>HYPERLINK("http://www.twitter.com/NathanBLawrence/status/993997942007697413", "993997942007697413")</f>
        <v/>
      </c>
      <c r="B1567" s="2" t="n">
        <v>43228.98322916667</v>
      </c>
      <c r="C1567" t="n">
        <v>0</v>
      </c>
      <c r="D1567" t="n">
        <v>7345</v>
      </c>
      <c r="E1567" t="s">
        <v>1559</v>
      </c>
      <c r="F1567" t="s"/>
      <c r="G1567" t="s"/>
      <c r="H1567" t="s"/>
      <c r="I1567" t="s"/>
      <c r="J1567" t="n">
        <v>0</v>
      </c>
      <c r="K1567" t="n">
        <v>0</v>
      </c>
      <c r="L1567" t="n">
        <v>1</v>
      </c>
      <c r="M1567" t="n">
        <v>0</v>
      </c>
    </row>
    <row r="1568" spans="1:13">
      <c r="A1568" s="1">
        <f>HYPERLINK("http://www.twitter.com/NathanBLawrence/status/993983218830344192", "993983218830344192")</f>
        <v/>
      </c>
      <c r="B1568" s="2" t="n">
        <v>43228.94260416667</v>
      </c>
      <c r="C1568" t="n">
        <v>0</v>
      </c>
      <c r="D1568" t="n">
        <v>15</v>
      </c>
      <c r="E1568" t="s">
        <v>1434</v>
      </c>
      <c r="F1568">
        <f>HYPERLINK("http://pbs.twimg.com/media/DctSesfX4AA6NFD.jpg", "http://pbs.twimg.com/media/DctSesfX4AA6NFD.jpg")</f>
        <v/>
      </c>
      <c r="G1568" t="s"/>
      <c r="H1568" t="s"/>
      <c r="I1568" t="s"/>
      <c r="J1568" t="n">
        <v>0</v>
      </c>
      <c r="K1568" t="n">
        <v>0</v>
      </c>
      <c r="L1568" t="n">
        <v>1</v>
      </c>
      <c r="M1568" t="n">
        <v>0</v>
      </c>
    </row>
    <row r="1569" spans="1:13">
      <c r="A1569" s="1">
        <f>HYPERLINK("http://www.twitter.com/NathanBLawrence/status/993978851670876160", "993978851670876160")</f>
        <v/>
      </c>
      <c r="B1569" s="2" t="n">
        <v>43228.93055555555</v>
      </c>
      <c r="C1569" t="n">
        <v>23</v>
      </c>
      <c r="D1569" t="n">
        <v>15</v>
      </c>
      <c r="E1569" t="s">
        <v>1560</v>
      </c>
      <c r="F1569">
        <f>HYPERLINK("http://pbs.twimg.com/media/DctSesfX4AA6NFD.jpg", "http://pbs.twimg.com/media/DctSesfX4AA6NFD.jpg")</f>
        <v/>
      </c>
      <c r="G1569" t="s"/>
      <c r="H1569" t="s"/>
      <c r="I1569" t="s"/>
      <c r="J1569" t="n">
        <v>0.9139</v>
      </c>
      <c r="K1569" t="n">
        <v>0</v>
      </c>
      <c r="L1569" t="n">
        <v>0.749</v>
      </c>
      <c r="M1569" t="n">
        <v>0.251</v>
      </c>
    </row>
    <row r="1570" spans="1:13">
      <c r="A1570" s="1">
        <f>HYPERLINK("http://www.twitter.com/NathanBLawrence/status/993977062116544512", "993977062116544512")</f>
        <v/>
      </c>
      <c r="B1570" s="2" t="n">
        <v>43228.92561342593</v>
      </c>
      <c r="C1570" t="n">
        <v>0</v>
      </c>
      <c r="D1570" t="n">
        <v>9</v>
      </c>
      <c r="E1570" t="s">
        <v>1561</v>
      </c>
      <c r="F1570">
        <f>HYPERLINK("http://pbs.twimg.com/media/DcsNmriUwAA5Hol.jpg", "http://pbs.twimg.com/media/DcsNmriUwAA5Hol.jpg")</f>
        <v/>
      </c>
      <c r="G1570" t="s"/>
      <c r="H1570" t="s"/>
      <c r="I1570" t="s"/>
      <c r="J1570" t="n">
        <v>-0.6908</v>
      </c>
      <c r="K1570" t="n">
        <v>0.289</v>
      </c>
      <c r="L1570" t="n">
        <v>0.711</v>
      </c>
      <c r="M1570" t="n">
        <v>0</v>
      </c>
    </row>
    <row r="1571" spans="1:13">
      <c r="A1571" s="1">
        <f>HYPERLINK("http://www.twitter.com/NathanBLawrence/status/993977025475039232", "993977025475039232")</f>
        <v/>
      </c>
      <c r="B1571" s="2" t="n">
        <v>43228.92550925926</v>
      </c>
      <c r="C1571" t="n">
        <v>0</v>
      </c>
      <c r="D1571" t="n">
        <v>15</v>
      </c>
      <c r="E1571" t="s">
        <v>1562</v>
      </c>
      <c r="F1571">
        <f>HYPERLINK("http://pbs.twimg.com/media/DcsfDHuU8AE-h6k.jpg", "http://pbs.twimg.com/media/DcsfDHuU8AE-h6k.jpg")</f>
        <v/>
      </c>
      <c r="G1571" t="s"/>
      <c r="H1571" t="s"/>
      <c r="I1571" t="s"/>
      <c r="J1571" t="n">
        <v>-0.6908</v>
      </c>
      <c r="K1571" t="n">
        <v>0.231</v>
      </c>
      <c r="L1571" t="n">
        <v>0.769</v>
      </c>
      <c r="M1571" t="n">
        <v>0</v>
      </c>
    </row>
    <row r="1572" spans="1:13">
      <c r="A1572" s="1">
        <f>HYPERLINK("http://www.twitter.com/NathanBLawrence/status/993976988779020288", "993976988779020288")</f>
        <v/>
      </c>
      <c r="B1572" s="2" t="n">
        <v>43228.9254050926</v>
      </c>
      <c r="C1572" t="n">
        <v>0</v>
      </c>
      <c r="D1572" t="n">
        <v>7</v>
      </c>
      <c r="E1572" t="s">
        <v>1563</v>
      </c>
      <c r="F1572" t="s"/>
      <c r="G1572" t="s"/>
      <c r="H1572" t="s"/>
      <c r="I1572" t="s"/>
      <c r="J1572" t="n">
        <v>-0.4019</v>
      </c>
      <c r="K1572" t="n">
        <v>0.208</v>
      </c>
      <c r="L1572" t="n">
        <v>0.681</v>
      </c>
      <c r="M1572" t="n">
        <v>0.111</v>
      </c>
    </row>
    <row r="1573" spans="1:13">
      <c r="A1573" s="1">
        <f>HYPERLINK("http://www.twitter.com/NathanBLawrence/status/993976882034020354", "993976882034020354")</f>
        <v/>
      </c>
      <c r="B1573" s="2" t="n">
        <v>43228.92511574074</v>
      </c>
      <c r="C1573" t="n">
        <v>0</v>
      </c>
      <c r="D1573" t="n">
        <v>4</v>
      </c>
      <c r="E1573" t="s">
        <v>1564</v>
      </c>
      <c r="F1573" t="s"/>
      <c r="G1573" t="s"/>
      <c r="H1573" t="s"/>
      <c r="I1573" t="s"/>
      <c r="J1573" t="n">
        <v>0</v>
      </c>
      <c r="K1573" t="n">
        <v>0</v>
      </c>
      <c r="L1573" t="n">
        <v>1</v>
      </c>
      <c r="M1573" t="n">
        <v>0</v>
      </c>
    </row>
    <row r="1574" spans="1:13">
      <c r="A1574" s="1">
        <f>HYPERLINK("http://www.twitter.com/NathanBLawrence/status/993944627597271045", "993944627597271045")</f>
        <v/>
      </c>
      <c r="B1574" s="2" t="n">
        <v>43228.83611111111</v>
      </c>
      <c r="C1574" t="n">
        <v>0</v>
      </c>
      <c r="D1574" t="n">
        <v>5</v>
      </c>
      <c r="E1574" t="s">
        <v>1565</v>
      </c>
      <c r="F1574" t="s"/>
      <c r="G1574" t="s"/>
      <c r="H1574" t="s"/>
      <c r="I1574" t="s"/>
      <c r="J1574" t="n">
        <v>-0.4329</v>
      </c>
      <c r="K1574" t="n">
        <v>0.172</v>
      </c>
      <c r="L1574" t="n">
        <v>0.75</v>
      </c>
      <c r="M1574" t="n">
        <v>0.078</v>
      </c>
    </row>
    <row r="1575" spans="1:13">
      <c r="A1575" s="1">
        <f>HYPERLINK("http://www.twitter.com/NathanBLawrence/status/993944581485072384", "993944581485072384")</f>
        <v/>
      </c>
      <c r="B1575" s="2" t="n">
        <v>43228.8359837963</v>
      </c>
      <c r="C1575" t="n">
        <v>0</v>
      </c>
      <c r="D1575" t="n">
        <v>3</v>
      </c>
      <c r="E1575" t="s">
        <v>1566</v>
      </c>
      <c r="F1575" t="s"/>
      <c r="G1575" t="s"/>
      <c r="H1575" t="s"/>
      <c r="I1575" t="s"/>
      <c r="J1575" t="n">
        <v>0</v>
      </c>
      <c r="K1575" t="n">
        <v>0</v>
      </c>
      <c r="L1575" t="n">
        <v>1</v>
      </c>
      <c r="M1575" t="n">
        <v>0</v>
      </c>
    </row>
    <row r="1576" spans="1:13">
      <c r="A1576" s="1">
        <f>HYPERLINK("http://www.twitter.com/NathanBLawrence/status/993944546831683587", "993944546831683587")</f>
        <v/>
      </c>
      <c r="B1576" s="2" t="n">
        <v>43228.8358912037</v>
      </c>
      <c r="C1576" t="n">
        <v>0</v>
      </c>
      <c r="D1576" t="n">
        <v>9</v>
      </c>
      <c r="E1576" t="s">
        <v>1567</v>
      </c>
      <c r="F1576">
        <f>HYPERLINK("http://pbs.twimg.com/media/Dcsw6OxW0AAHrK4.jpg", "http://pbs.twimg.com/media/Dcsw6OxW0AAHrK4.jpg")</f>
        <v/>
      </c>
      <c r="G1576" t="s"/>
      <c r="H1576" t="s"/>
      <c r="I1576" t="s"/>
      <c r="J1576" t="n">
        <v>0</v>
      </c>
      <c r="K1576" t="n">
        <v>0</v>
      </c>
      <c r="L1576" t="n">
        <v>1</v>
      </c>
      <c r="M1576" t="n">
        <v>0</v>
      </c>
    </row>
    <row r="1577" spans="1:13">
      <c r="A1577" s="1">
        <f>HYPERLINK("http://www.twitter.com/NathanBLawrence/status/993944446889877504", "993944446889877504")</f>
        <v/>
      </c>
      <c r="B1577" s="2" t="n">
        <v>43228.83561342592</v>
      </c>
      <c r="C1577" t="n">
        <v>0</v>
      </c>
      <c r="D1577" t="n">
        <v>5</v>
      </c>
      <c r="E1577" t="s">
        <v>1568</v>
      </c>
      <c r="F1577">
        <f>HYPERLINK("http://pbs.twimg.com/media/DcszLiJX0AMGEN8.jpg", "http://pbs.twimg.com/media/DcszLiJX0AMGEN8.jpg")</f>
        <v/>
      </c>
      <c r="G1577" t="s"/>
      <c r="H1577" t="s"/>
      <c r="I1577" t="s"/>
      <c r="J1577" t="n">
        <v>0.6408</v>
      </c>
      <c r="K1577" t="n">
        <v>0.131</v>
      </c>
      <c r="L1577" t="n">
        <v>0.576</v>
      </c>
      <c r="M1577" t="n">
        <v>0.293</v>
      </c>
    </row>
    <row r="1578" spans="1:13">
      <c r="A1578" s="1">
        <f>HYPERLINK("http://www.twitter.com/NathanBLawrence/status/993944425888911360", "993944425888911360")</f>
        <v/>
      </c>
      <c r="B1578" s="2" t="n">
        <v>43228.83555555555</v>
      </c>
      <c r="C1578" t="n">
        <v>9</v>
      </c>
      <c r="D1578" t="n">
        <v>5</v>
      </c>
      <c r="E1578" t="s">
        <v>1569</v>
      </c>
      <c r="F1578">
        <f>HYPERLINK("http://pbs.twimg.com/media/DcszLiJX0AMGEN8.jpg", "http://pbs.twimg.com/media/DcszLiJX0AMGEN8.jpg")</f>
        <v/>
      </c>
      <c r="G1578" t="s"/>
      <c r="H1578" t="s"/>
      <c r="I1578" t="s"/>
      <c r="J1578" t="n">
        <v>0.6408</v>
      </c>
      <c r="K1578" t="n">
        <v>0.103</v>
      </c>
      <c r="L1578" t="n">
        <v>0.666</v>
      </c>
      <c r="M1578" t="n">
        <v>0.231</v>
      </c>
    </row>
    <row r="1579" spans="1:13">
      <c r="A1579" s="1">
        <f>HYPERLINK("http://www.twitter.com/NathanBLawrence/status/993943765671915520", "993943765671915520")</f>
        <v/>
      </c>
      <c r="B1579" s="2" t="n">
        <v>43228.83372685185</v>
      </c>
      <c r="C1579" t="n">
        <v>0</v>
      </c>
      <c r="D1579" t="n">
        <v>6</v>
      </c>
      <c r="E1579" t="s">
        <v>1570</v>
      </c>
      <c r="F1579" t="s"/>
      <c r="G1579" t="s"/>
      <c r="H1579" t="s"/>
      <c r="I1579" t="s"/>
      <c r="J1579" t="n">
        <v>0.6402</v>
      </c>
      <c r="K1579" t="n">
        <v>0</v>
      </c>
      <c r="L1579" t="n">
        <v>0.791</v>
      </c>
      <c r="M1579" t="n">
        <v>0.209</v>
      </c>
    </row>
    <row r="1580" spans="1:13">
      <c r="A1580" s="1">
        <f>HYPERLINK("http://www.twitter.com/NathanBLawrence/status/993943649846210565", "993943649846210565")</f>
        <v/>
      </c>
      <c r="B1580" s="2" t="n">
        <v>43228.83341435185</v>
      </c>
      <c r="C1580" t="n">
        <v>0</v>
      </c>
      <c r="D1580" t="n">
        <v>6</v>
      </c>
      <c r="E1580" t="s">
        <v>1571</v>
      </c>
      <c r="F1580" t="s"/>
      <c r="G1580" t="s"/>
      <c r="H1580" t="s"/>
      <c r="I1580" t="s"/>
      <c r="J1580" t="n">
        <v>-0.3612</v>
      </c>
      <c r="K1580" t="n">
        <v>0.091</v>
      </c>
      <c r="L1580" t="n">
        <v>0.909</v>
      </c>
      <c r="M1580" t="n">
        <v>0</v>
      </c>
    </row>
    <row r="1581" spans="1:13">
      <c r="A1581" s="1">
        <f>HYPERLINK("http://www.twitter.com/NathanBLawrence/status/993937050213736448", "993937050213736448")</f>
        <v/>
      </c>
      <c r="B1581" s="2" t="n">
        <v>43228.81519675926</v>
      </c>
      <c r="C1581" t="n">
        <v>0</v>
      </c>
      <c r="D1581" t="n">
        <v>1</v>
      </c>
      <c r="E1581" t="s">
        <v>1572</v>
      </c>
      <c r="F1581" t="s"/>
      <c r="G1581" t="s"/>
      <c r="H1581" t="s"/>
      <c r="I1581" t="s"/>
      <c r="J1581" t="n">
        <v>0</v>
      </c>
      <c r="K1581" t="n">
        <v>0</v>
      </c>
      <c r="L1581" t="n">
        <v>1</v>
      </c>
      <c r="M1581" t="n">
        <v>0</v>
      </c>
    </row>
    <row r="1582" spans="1:13">
      <c r="A1582" s="1">
        <f>HYPERLINK("http://www.twitter.com/NathanBLawrence/status/993937004823023623", "993937004823023623")</f>
        <v/>
      </c>
      <c r="B1582" s="2" t="n">
        <v>43228.81508101852</v>
      </c>
      <c r="C1582" t="n">
        <v>0</v>
      </c>
      <c r="D1582" t="n">
        <v>2</v>
      </c>
      <c r="E1582" t="s">
        <v>1573</v>
      </c>
      <c r="F1582" t="s"/>
      <c r="G1582" t="s"/>
      <c r="H1582" t="s"/>
      <c r="I1582" t="s"/>
      <c r="J1582" t="n">
        <v>0.4404</v>
      </c>
      <c r="K1582" t="n">
        <v>0</v>
      </c>
      <c r="L1582" t="n">
        <v>0.884</v>
      </c>
      <c r="M1582" t="n">
        <v>0.116</v>
      </c>
    </row>
    <row r="1583" spans="1:13">
      <c r="A1583" s="1">
        <f>HYPERLINK("http://www.twitter.com/NathanBLawrence/status/993936938372657154", "993936938372657154")</f>
        <v/>
      </c>
      <c r="B1583" s="2" t="n">
        <v>43228.81489583333</v>
      </c>
      <c r="C1583" t="n">
        <v>0</v>
      </c>
      <c r="D1583" t="n">
        <v>4</v>
      </c>
      <c r="E1583" t="s">
        <v>1574</v>
      </c>
      <c r="F1583" t="s"/>
      <c r="G1583" t="s"/>
      <c r="H1583" t="s"/>
      <c r="I1583" t="s"/>
      <c r="J1583" t="n">
        <v>0.6371</v>
      </c>
      <c r="K1583" t="n">
        <v>0.092</v>
      </c>
      <c r="L1583" t="n">
        <v>0.669</v>
      </c>
      <c r="M1583" t="n">
        <v>0.239</v>
      </c>
    </row>
    <row r="1584" spans="1:13">
      <c r="A1584" s="1">
        <f>HYPERLINK("http://www.twitter.com/NathanBLawrence/status/993934715206987781", "993934715206987781")</f>
        <v/>
      </c>
      <c r="B1584" s="2" t="n">
        <v>43228.80876157407</v>
      </c>
      <c r="C1584" t="n">
        <v>0</v>
      </c>
      <c r="D1584" t="n">
        <v>3</v>
      </c>
      <c r="E1584" t="s">
        <v>1575</v>
      </c>
      <c r="F1584" t="s"/>
      <c r="G1584" t="s"/>
      <c r="H1584" t="s"/>
      <c r="I1584" t="s"/>
      <c r="J1584" t="n">
        <v>0</v>
      </c>
      <c r="K1584" t="n">
        <v>0</v>
      </c>
      <c r="L1584" t="n">
        <v>1</v>
      </c>
      <c r="M1584" t="n">
        <v>0</v>
      </c>
    </row>
    <row r="1585" spans="1:13">
      <c r="A1585" s="1">
        <f>HYPERLINK("http://www.twitter.com/NathanBLawrence/status/993934681086349313", "993934681086349313")</f>
        <v/>
      </c>
      <c r="B1585" s="2" t="n">
        <v>43228.80866898148</v>
      </c>
      <c r="C1585" t="n">
        <v>0</v>
      </c>
      <c r="D1585" t="n">
        <v>3</v>
      </c>
      <c r="E1585" t="s">
        <v>1576</v>
      </c>
      <c r="F1585" t="s"/>
      <c r="G1585" t="s"/>
      <c r="H1585" t="s"/>
      <c r="I1585" t="s"/>
      <c r="J1585" t="n">
        <v>-0.4528</v>
      </c>
      <c r="K1585" t="n">
        <v>0.213</v>
      </c>
      <c r="L1585" t="n">
        <v>0.696</v>
      </c>
      <c r="M1585" t="n">
        <v>0.091</v>
      </c>
    </row>
    <row r="1586" spans="1:13">
      <c r="A1586" s="1">
        <f>HYPERLINK("http://www.twitter.com/NathanBLawrence/status/993929050350551042", "993929050350551042")</f>
        <v/>
      </c>
      <c r="B1586" s="2" t="n">
        <v>43228.793125</v>
      </c>
      <c r="C1586" t="n">
        <v>0</v>
      </c>
      <c r="D1586" t="n">
        <v>15</v>
      </c>
      <c r="E1586" t="s">
        <v>1577</v>
      </c>
      <c r="F1586">
        <f>HYPERLINK("http://pbs.twimg.com/media/DcpOpEaU0AA7Y94.jpg", "http://pbs.twimg.com/media/DcpOpEaU0AA7Y94.jpg")</f>
        <v/>
      </c>
      <c r="G1586" t="s"/>
      <c r="H1586" t="s"/>
      <c r="I1586" t="s"/>
      <c r="J1586" t="n">
        <v>-0.6369</v>
      </c>
      <c r="K1586" t="n">
        <v>0.206</v>
      </c>
      <c r="L1586" t="n">
        <v>0.794</v>
      </c>
      <c r="M1586" t="n">
        <v>0</v>
      </c>
    </row>
    <row r="1587" spans="1:13">
      <c r="A1587" s="1">
        <f>HYPERLINK("http://www.twitter.com/NathanBLawrence/status/993928939549741056", "993928939549741056")</f>
        <v/>
      </c>
      <c r="B1587" s="2" t="n">
        <v>43228.79282407407</v>
      </c>
      <c r="C1587" t="n">
        <v>0</v>
      </c>
      <c r="D1587" t="n">
        <v>2</v>
      </c>
      <c r="E1587" t="s">
        <v>1578</v>
      </c>
      <c r="F1587" t="s"/>
      <c r="G1587" t="s"/>
      <c r="H1587" t="s"/>
      <c r="I1587" t="s"/>
      <c r="J1587" t="n">
        <v>0</v>
      </c>
      <c r="K1587" t="n">
        <v>0</v>
      </c>
      <c r="L1587" t="n">
        <v>1</v>
      </c>
      <c r="M1587" t="n">
        <v>0</v>
      </c>
    </row>
    <row r="1588" spans="1:13">
      <c r="A1588" s="1">
        <f>HYPERLINK("http://www.twitter.com/NathanBLawrence/status/993928598317944832", "993928598317944832")</f>
        <v/>
      </c>
      <c r="B1588" s="2" t="n">
        <v>43228.791875</v>
      </c>
      <c r="C1588" t="n">
        <v>0</v>
      </c>
      <c r="D1588" t="n">
        <v>6</v>
      </c>
      <c r="E1588" t="s">
        <v>1579</v>
      </c>
      <c r="F1588" t="s"/>
      <c r="G1588" t="s"/>
      <c r="H1588" t="s"/>
      <c r="I1588" t="s"/>
      <c r="J1588" t="n">
        <v>-0.8481</v>
      </c>
      <c r="K1588" t="n">
        <v>0.365</v>
      </c>
      <c r="L1588" t="n">
        <v>0.635</v>
      </c>
      <c r="M1588" t="n">
        <v>0</v>
      </c>
    </row>
    <row r="1589" spans="1:13">
      <c r="A1589" s="1">
        <f>HYPERLINK("http://www.twitter.com/NathanBLawrence/status/993927246246301696", "993927246246301696")</f>
        <v/>
      </c>
      <c r="B1589" s="2" t="n">
        <v>43228.78814814815</v>
      </c>
      <c r="C1589" t="n">
        <v>1</v>
      </c>
      <c r="D1589" t="n">
        <v>0</v>
      </c>
      <c r="E1589" t="s">
        <v>1580</v>
      </c>
      <c r="F1589" t="s"/>
      <c r="G1589" t="s"/>
      <c r="H1589" t="s"/>
      <c r="I1589" t="s"/>
      <c r="J1589" t="n">
        <v>0</v>
      </c>
      <c r="K1589" t="n">
        <v>0</v>
      </c>
      <c r="L1589" t="n">
        <v>1</v>
      </c>
      <c r="M1589" t="n">
        <v>0</v>
      </c>
    </row>
    <row r="1590" spans="1:13">
      <c r="A1590" s="1">
        <f>HYPERLINK("http://www.twitter.com/NathanBLawrence/status/993915715995557888", "993915715995557888")</f>
        <v/>
      </c>
      <c r="B1590" s="2" t="n">
        <v>43228.75633101852</v>
      </c>
      <c r="C1590" t="n">
        <v>0</v>
      </c>
      <c r="D1590" t="n">
        <v>10</v>
      </c>
      <c r="E1590" t="s">
        <v>1581</v>
      </c>
      <c r="F1590">
        <f>HYPERLINK("http://pbs.twimg.com/media/Dcnt56NVAAABA8g.jpg", "http://pbs.twimg.com/media/Dcnt56NVAAABA8g.jpg")</f>
        <v/>
      </c>
      <c r="G1590" t="s"/>
      <c r="H1590" t="s"/>
      <c r="I1590" t="s"/>
      <c r="J1590" t="n">
        <v>0.5052</v>
      </c>
      <c r="K1590" t="n">
        <v>0.108</v>
      </c>
      <c r="L1590" t="n">
        <v>0.627</v>
      </c>
      <c r="M1590" t="n">
        <v>0.265</v>
      </c>
    </row>
    <row r="1591" spans="1:13">
      <c r="A1591" s="1">
        <f>HYPERLINK("http://www.twitter.com/NathanBLawrence/status/993915577604476931", "993915577604476931")</f>
        <v/>
      </c>
      <c r="B1591" s="2" t="n">
        <v>43228.75594907408</v>
      </c>
      <c r="C1591" t="n">
        <v>0</v>
      </c>
      <c r="D1591" t="n">
        <v>10</v>
      </c>
      <c r="E1591" t="s">
        <v>1582</v>
      </c>
      <c r="F1591">
        <f>HYPERLINK("http://pbs.twimg.com/media/Dcns-1xVAAACqzL.jpg", "http://pbs.twimg.com/media/Dcns-1xVAAACqzL.jpg")</f>
        <v/>
      </c>
      <c r="G1591" t="s"/>
      <c r="H1591" t="s"/>
      <c r="I1591" t="s"/>
      <c r="J1591" t="n">
        <v>-0.4278</v>
      </c>
      <c r="K1591" t="n">
        <v>0.196</v>
      </c>
      <c r="L1591" t="n">
        <v>0.702</v>
      </c>
      <c r="M1591" t="n">
        <v>0.101</v>
      </c>
    </row>
    <row r="1592" spans="1:13">
      <c r="A1592" s="1">
        <f>HYPERLINK("http://www.twitter.com/NathanBLawrence/status/993914993736372224", "993914993736372224")</f>
        <v/>
      </c>
      <c r="B1592" s="2" t="n">
        <v>43228.75434027778</v>
      </c>
      <c r="C1592" t="n">
        <v>0</v>
      </c>
      <c r="D1592" t="n">
        <v>16985</v>
      </c>
      <c r="E1592" t="s">
        <v>1583</v>
      </c>
      <c r="F1592" t="s"/>
      <c r="G1592" t="s"/>
      <c r="H1592" t="s"/>
      <c r="I1592" t="s"/>
      <c r="J1592" t="n">
        <v>0.4939</v>
      </c>
      <c r="K1592" t="n">
        <v>0</v>
      </c>
      <c r="L1592" t="n">
        <v>0.873</v>
      </c>
      <c r="M1592" t="n">
        <v>0.127</v>
      </c>
    </row>
    <row r="1593" spans="1:13">
      <c r="A1593" s="1">
        <f>HYPERLINK("http://www.twitter.com/NathanBLawrence/status/993906561763422209", "993906561763422209")</f>
        <v/>
      </c>
      <c r="B1593" s="2" t="n">
        <v>43228.73106481481</v>
      </c>
      <c r="C1593" t="n">
        <v>0</v>
      </c>
      <c r="D1593" t="n">
        <v>17</v>
      </c>
      <c r="E1593" t="s">
        <v>1584</v>
      </c>
      <c r="F1593" t="s"/>
      <c r="G1593" t="s"/>
      <c r="H1593" t="s"/>
      <c r="I1593" t="s"/>
      <c r="J1593" t="n">
        <v>0.3348</v>
      </c>
      <c r="K1593" t="n">
        <v>0.125</v>
      </c>
      <c r="L1593" t="n">
        <v>0.678</v>
      </c>
      <c r="M1593" t="n">
        <v>0.197</v>
      </c>
    </row>
    <row r="1594" spans="1:13">
      <c r="A1594" s="1">
        <f>HYPERLINK("http://www.twitter.com/NathanBLawrence/status/993906543702704128", "993906543702704128")</f>
        <v/>
      </c>
      <c r="B1594" s="2" t="n">
        <v>43228.73101851852</v>
      </c>
      <c r="C1594" t="n">
        <v>17</v>
      </c>
      <c r="D1594" t="n">
        <v>17</v>
      </c>
      <c r="E1594" t="s">
        <v>1585</v>
      </c>
      <c r="F1594" t="s"/>
      <c r="G1594" t="s"/>
      <c r="H1594" t="s"/>
      <c r="I1594" t="s"/>
      <c r="J1594" t="n">
        <v>0.3348</v>
      </c>
      <c r="K1594" t="n">
        <v>0.08799999999999999</v>
      </c>
      <c r="L1594" t="n">
        <v>0.773</v>
      </c>
      <c r="M1594" t="n">
        <v>0.139</v>
      </c>
    </row>
    <row r="1595" spans="1:13">
      <c r="A1595" s="1">
        <f>HYPERLINK("http://www.twitter.com/NathanBLawrence/status/993905614148591616", "993905614148591616")</f>
        <v/>
      </c>
      <c r="B1595" s="2" t="n">
        <v>43228.72844907407</v>
      </c>
      <c r="C1595" t="n">
        <v>0</v>
      </c>
      <c r="D1595" t="n">
        <v>10</v>
      </c>
      <c r="E1595" t="s">
        <v>1586</v>
      </c>
      <c r="F1595" t="s"/>
      <c r="G1595" t="s"/>
      <c r="H1595" t="s"/>
      <c r="I1595" t="s"/>
      <c r="J1595" t="n">
        <v>-0.34</v>
      </c>
      <c r="K1595" t="n">
        <v>0.15</v>
      </c>
      <c r="L1595" t="n">
        <v>0.752</v>
      </c>
      <c r="M1595" t="n">
        <v>0.098</v>
      </c>
    </row>
    <row r="1596" spans="1:13">
      <c r="A1596" s="1">
        <f>HYPERLINK("http://www.twitter.com/NathanBLawrence/status/993905481637867521", "993905481637867521")</f>
        <v/>
      </c>
      <c r="B1596" s="2" t="n">
        <v>43228.72809027778</v>
      </c>
      <c r="C1596" t="n">
        <v>0</v>
      </c>
      <c r="D1596" t="n">
        <v>2</v>
      </c>
      <c r="E1596" t="s">
        <v>1587</v>
      </c>
      <c r="F1596" t="s"/>
      <c r="G1596" t="s"/>
      <c r="H1596" t="s"/>
      <c r="I1596" t="s"/>
      <c r="J1596" t="n">
        <v>0</v>
      </c>
      <c r="K1596" t="n">
        <v>0</v>
      </c>
      <c r="L1596" t="n">
        <v>1</v>
      </c>
      <c r="M1596" t="n">
        <v>0</v>
      </c>
    </row>
    <row r="1597" spans="1:13">
      <c r="A1597" s="1">
        <f>HYPERLINK("http://www.twitter.com/NathanBLawrence/status/993905211658948608", "993905211658948608")</f>
        <v/>
      </c>
      <c r="B1597" s="2" t="n">
        <v>43228.72733796296</v>
      </c>
      <c r="C1597" t="n">
        <v>4</v>
      </c>
      <c r="D1597" t="n">
        <v>0</v>
      </c>
      <c r="E1597" t="s">
        <v>1588</v>
      </c>
      <c r="F1597" t="s"/>
      <c r="G1597" t="s"/>
      <c r="H1597" t="s"/>
      <c r="I1597" t="s"/>
      <c r="J1597" t="n">
        <v>0</v>
      </c>
      <c r="K1597" t="n">
        <v>0</v>
      </c>
      <c r="L1597" t="n">
        <v>1</v>
      </c>
      <c r="M1597" t="n">
        <v>0</v>
      </c>
    </row>
    <row r="1598" spans="1:13">
      <c r="A1598" s="1">
        <f>HYPERLINK("http://www.twitter.com/NathanBLawrence/status/993904994566004737", "993904994566004737")</f>
        <v/>
      </c>
      <c r="B1598" s="2" t="n">
        <v>43228.72674768518</v>
      </c>
      <c r="C1598" t="n">
        <v>0</v>
      </c>
      <c r="D1598" t="n">
        <v>0</v>
      </c>
      <c r="E1598" t="s">
        <v>311</v>
      </c>
      <c r="F1598" t="s"/>
      <c r="G1598" t="s"/>
      <c r="H1598" t="s"/>
      <c r="I1598" t="s"/>
      <c r="J1598" t="n">
        <v>0</v>
      </c>
      <c r="K1598" t="n">
        <v>0</v>
      </c>
      <c r="L1598" t="n">
        <v>1</v>
      </c>
      <c r="M1598" t="n">
        <v>0</v>
      </c>
    </row>
    <row r="1599" spans="1:13">
      <c r="A1599" s="1">
        <f>HYPERLINK("http://www.twitter.com/NathanBLawrence/status/993901395660148737", "993901395660148737")</f>
        <v/>
      </c>
      <c r="B1599" s="2" t="n">
        <v>43228.71681712963</v>
      </c>
      <c r="C1599" t="n">
        <v>0</v>
      </c>
      <c r="D1599" t="n">
        <v>19</v>
      </c>
      <c r="E1599" t="s">
        <v>1589</v>
      </c>
      <c r="F1599">
        <f>HYPERLINK("http://pbs.twimg.com/media/DcsMBBGX4AEcOgk.jpg", "http://pbs.twimg.com/media/DcsMBBGX4AEcOgk.jpg")</f>
        <v/>
      </c>
      <c r="G1599" t="s"/>
      <c r="H1599" t="s"/>
      <c r="I1599" t="s"/>
      <c r="J1599" t="n">
        <v>0.6597</v>
      </c>
      <c r="K1599" t="n">
        <v>0</v>
      </c>
      <c r="L1599" t="n">
        <v>0.759</v>
      </c>
      <c r="M1599" t="n">
        <v>0.241</v>
      </c>
    </row>
    <row r="1600" spans="1:13">
      <c r="A1600" s="1">
        <f>HYPERLINK("http://www.twitter.com/NathanBLawrence/status/993901362202206208", "993901362202206208")</f>
        <v/>
      </c>
      <c r="B1600" s="2" t="n">
        <v>43228.71672453704</v>
      </c>
      <c r="C1600" t="n">
        <v>22</v>
      </c>
      <c r="D1600" t="n">
        <v>19</v>
      </c>
      <c r="E1600" t="s">
        <v>1590</v>
      </c>
      <c r="F1600">
        <f>HYPERLINK("http://pbs.twimg.com/media/DcsMBBGX4AEcOgk.jpg", "http://pbs.twimg.com/media/DcsMBBGX4AEcOgk.jpg")</f>
        <v/>
      </c>
      <c r="G1600" t="s"/>
      <c r="H1600" t="s"/>
      <c r="I1600" t="s"/>
      <c r="J1600" t="n">
        <v>0.8825</v>
      </c>
      <c r="K1600" t="n">
        <v>0</v>
      </c>
      <c r="L1600" t="n">
        <v>0.784</v>
      </c>
      <c r="M1600" t="n">
        <v>0.216</v>
      </c>
    </row>
    <row r="1601" spans="1:13">
      <c r="A1601" s="1">
        <f>HYPERLINK("http://www.twitter.com/NathanBLawrence/status/993886314494943243", "993886314494943243")</f>
        <v/>
      </c>
      <c r="B1601" s="2" t="n">
        <v>43228.67519675926</v>
      </c>
      <c r="C1601" t="n">
        <v>0</v>
      </c>
      <c r="D1601" t="n">
        <v>16</v>
      </c>
      <c r="E1601" t="s">
        <v>1591</v>
      </c>
      <c r="F1601" t="s"/>
      <c r="G1601" t="s"/>
      <c r="H1601" t="s"/>
      <c r="I1601" t="s"/>
      <c r="J1601" t="n">
        <v>0.6553</v>
      </c>
      <c r="K1601" t="n">
        <v>0</v>
      </c>
      <c r="L1601" t="n">
        <v>0.789</v>
      </c>
      <c r="M1601" t="n">
        <v>0.211</v>
      </c>
    </row>
    <row r="1602" spans="1:13">
      <c r="A1602" s="1">
        <f>HYPERLINK("http://www.twitter.com/NathanBLawrence/status/993886299194044416", "993886299194044416")</f>
        <v/>
      </c>
      <c r="B1602" s="2" t="n">
        <v>43228.67515046296</v>
      </c>
      <c r="C1602" t="n">
        <v>0</v>
      </c>
      <c r="D1602" t="n">
        <v>9</v>
      </c>
      <c r="E1602" t="s">
        <v>1592</v>
      </c>
      <c r="F1602" t="s"/>
      <c r="G1602" t="s"/>
      <c r="H1602" t="s"/>
      <c r="I1602" t="s"/>
      <c r="J1602" t="n">
        <v>-0.7959000000000001</v>
      </c>
      <c r="K1602" t="n">
        <v>0.272</v>
      </c>
      <c r="L1602" t="n">
        <v>0.728</v>
      </c>
      <c r="M1602" t="n">
        <v>0</v>
      </c>
    </row>
    <row r="1603" spans="1:13">
      <c r="A1603" s="1">
        <f>HYPERLINK("http://www.twitter.com/NathanBLawrence/status/993868763568238594", "993868763568238594")</f>
        <v/>
      </c>
      <c r="B1603" s="2" t="n">
        <v>43228.62677083333</v>
      </c>
      <c r="C1603" t="n">
        <v>0</v>
      </c>
      <c r="D1603" t="n">
        <v>13</v>
      </c>
      <c r="E1603" t="s">
        <v>1593</v>
      </c>
      <c r="F1603">
        <f>HYPERLINK("http://pbs.twimg.com/media/DcroDbPW4AEoFoK.jpg", "http://pbs.twimg.com/media/DcroDbPW4AEoFoK.jpg")</f>
        <v/>
      </c>
      <c r="G1603" t="s"/>
      <c r="H1603" t="s"/>
      <c r="I1603" t="s"/>
      <c r="J1603" t="n">
        <v>0</v>
      </c>
      <c r="K1603" t="n">
        <v>0</v>
      </c>
      <c r="L1603" t="n">
        <v>1</v>
      </c>
      <c r="M1603" t="n">
        <v>0</v>
      </c>
    </row>
    <row r="1604" spans="1:13">
      <c r="A1604" s="1">
        <f>HYPERLINK("http://www.twitter.com/NathanBLawrence/status/993868514250448897", "993868514250448897")</f>
        <v/>
      </c>
      <c r="B1604" s="2" t="n">
        <v>43228.62607638889</v>
      </c>
      <c r="C1604" t="n">
        <v>0</v>
      </c>
      <c r="D1604" t="n">
        <v>24</v>
      </c>
      <c r="E1604" t="s">
        <v>1524</v>
      </c>
      <c r="F1604">
        <f>HYPERLINK("http://pbs.twimg.com/media/DcruEZmWkAElq61.jpg", "http://pbs.twimg.com/media/DcruEZmWkAElq61.jpg")</f>
        <v/>
      </c>
      <c r="G1604" t="s"/>
      <c r="H1604" t="s"/>
      <c r="I1604" t="s"/>
      <c r="J1604" t="n">
        <v>0</v>
      </c>
      <c r="K1604" t="n">
        <v>0</v>
      </c>
      <c r="L1604" t="n">
        <v>1</v>
      </c>
      <c r="M1604" t="n">
        <v>0</v>
      </c>
    </row>
    <row r="1605" spans="1:13">
      <c r="A1605" s="1">
        <f>HYPERLINK("http://www.twitter.com/NathanBLawrence/status/993868433761677312", "993868433761677312")</f>
        <v/>
      </c>
      <c r="B1605" s="2" t="n">
        <v>43228.62585648148</v>
      </c>
      <c r="C1605" t="n">
        <v>31</v>
      </c>
      <c r="D1605" t="n">
        <v>24</v>
      </c>
      <c r="E1605" t="s">
        <v>1594</v>
      </c>
      <c r="F1605">
        <f>HYPERLINK("http://pbs.twimg.com/media/DcruEZmWkAElq61.jpg", "http://pbs.twimg.com/media/DcruEZmWkAElq61.jpg")</f>
        <v/>
      </c>
      <c r="G1605" t="s"/>
      <c r="H1605" t="s"/>
      <c r="I1605" t="s"/>
      <c r="J1605" t="n">
        <v>0.7483</v>
      </c>
      <c r="K1605" t="n">
        <v>0</v>
      </c>
      <c r="L1605" t="n">
        <v>0.887</v>
      </c>
      <c r="M1605" t="n">
        <v>0.113</v>
      </c>
    </row>
    <row r="1606" spans="1:13">
      <c r="A1606" s="1">
        <f>HYPERLINK("http://www.twitter.com/NathanBLawrence/status/993853724840914953", "993853724840914953")</f>
        <v/>
      </c>
      <c r="B1606" s="2" t="n">
        <v>43228.58526620371</v>
      </c>
      <c r="C1606" t="n">
        <v>0</v>
      </c>
      <c r="D1606" t="n">
        <v>11</v>
      </c>
      <c r="E1606" t="s">
        <v>1595</v>
      </c>
      <c r="F1606">
        <f>HYPERLINK("http://pbs.twimg.com/media/DcrMiLFU8AY3Ypa.jpg", "http://pbs.twimg.com/media/DcrMiLFU8AY3Ypa.jpg")</f>
        <v/>
      </c>
      <c r="G1606" t="s"/>
      <c r="H1606" t="s"/>
      <c r="I1606" t="s"/>
      <c r="J1606" t="n">
        <v>-0.1531</v>
      </c>
      <c r="K1606" t="n">
        <v>0.098</v>
      </c>
      <c r="L1606" t="n">
        <v>0.827</v>
      </c>
      <c r="M1606" t="n">
        <v>0.075</v>
      </c>
    </row>
    <row r="1607" spans="1:13">
      <c r="A1607" s="1">
        <f>HYPERLINK("http://www.twitter.com/NathanBLawrence/status/993853699972894720", "993853699972894720")</f>
        <v/>
      </c>
      <c r="B1607" s="2" t="n">
        <v>43228.58519675926</v>
      </c>
      <c r="C1607" t="n">
        <v>0</v>
      </c>
      <c r="D1607" t="n">
        <v>9</v>
      </c>
      <c r="E1607" t="s">
        <v>1596</v>
      </c>
      <c r="F1607">
        <f>HYPERLINK("http://pbs.twimg.com/media/DcrKh-xUQAI0EMo.jpg", "http://pbs.twimg.com/media/DcrKh-xUQAI0EMo.jpg")</f>
        <v/>
      </c>
      <c r="G1607" t="s"/>
      <c r="H1607" t="s"/>
      <c r="I1607" t="s"/>
      <c r="J1607" t="n">
        <v>-0.296</v>
      </c>
      <c r="K1607" t="n">
        <v>0.091</v>
      </c>
      <c r="L1607" t="n">
        <v>0.909</v>
      </c>
      <c r="M1607" t="n">
        <v>0</v>
      </c>
    </row>
    <row r="1608" spans="1:13">
      <c r="A1608" s="1">
        <f>HYPERLINK("http://www.twitter.com/NathanBLawrence/status/993853682381983745", "993853682381983745")</f>
        <v/>
      </c>
      <c r="B1608" s="2" t="n">
        <v>43228.58515046296</v>
      </c>
      <c r="C1608" t="n">
        <v>0</v>
      </c>
      <c r="D1608" t="n">
        <v>8</v>
      </c>
      <c r="E1608" t="s">
        <v>1597</v>
      </c>
      <c r="F1608">
        <f>HYPERLINK("http://pbs.twimg.com/media/DcrGVvNVAAESE2L.jpg", "http://pbs.twimg.com/media/DcrGVvNVAAESE2L.jpg")</f>
        <v/>
      </c>
      <c r="G1608" t="s"/>
      <c r="H1608" t="s"/>
      <c r="I1608" t="s"/>
      <c r="J1608" t="n">
        <v>-0.5266999999999999</v>
      </c>
      <c r="K1608" t="n">
        <v>0.18</v>
      </c>
      <c r="L1608" t="n">
        <v>0.82</v>
      </c>
      <c r="M1608" t="n">
        <v>0</v>
      </c>
    </row>
    <row r="1609" spans="1:13">
      <c r="A1609" s="1">
        <f>HYPERLINK("http://www.twitter.com/NathanBLawrence/status/993853663599882240", "993853663599882240")</f>
        <v/>
      </c>
      <c r="B1609" s="2" t="n">
        <v>43228.58509259259</v>
      </c>
      <c r="C1609" t="n">
        <v>0</v>
      </c>
      <c r="D1609" t="n">
        <v>8</v>
      </c>
      <c r="E1609" t="s">
        <v>1598</v>
      </c>
      <c r="F1609">
        <f>HYPERLINK("http://pbs.twimg.com/media/DcrEzpoV4AEo53F.jpg", "http://pbs.twimg.com/media/DcrEzpoV4AEo53F.jpg")</f>
        <v/>
      </c>
      <c r="G1609" t="s"/>
      <c r="H1609" t="s"/>
      <c r="I1609" t="s"/>
      <c r="J1609" t="n">
        <v>-0.9153</v>
      </c>
      <c r="K1609" t="n">
        <v>0.416</v>
      </c>
      <c r="L1609" t="n">
        <v>0.584</v>
      </c>
      <c r="M1609" t="n">
        <v>0</v>
      </c>
    </row>
    <row r="1610" spans="1:13">
      <c r="A1610" s="1">
        <f>HYPERLINK("http://www.twitter.com/NathanBLawrence/status/993853643593003008", "993853643593003008")</f>
        <v/>
      </c>
      <c r="B1610" s="2" t="n">
        <v>43228.5850462963</v>
      </c>
      <c r="C1610" t="n">
        <v>0</v>
      </c>
      <c r="D1610" t="n">
        <v>10</v>
      </c>
      <c r="E1610" t="s">
        <v>1599</v>
      </c>
      <c r="F1610">
        <f>HYPERLINK("http://pbs.twimg.com/media/DcrD0cfU0AAkF8O.jpg", "http://pbs.twimg.com/media/DcrD0cfU0AAkF8O.jpg")</f>
        <v/>
      </c>
      <c r="G1610" t="s"/>
      <c r="H1610" t="s"/>
      <c r="I1610" t="s"/>
      <c r="J1610" t="n">
        <v>0.296</v>
      </c>
      <c r="K1610" t="n">
        <v>0</v>
      </c>
      <c r="L1610" t="n">
        <v>0.916</v>
      </c>
      <c r="M1610" t="n">
        <v>0.08400000000000001</v>
      </c>
    </row>
    <row r="1611" spans="1:13">
      <c r="A1611" s="1">
        <f>HYPERLINK("http://www.twitter.com/NathanBLawrence/status/993853630481616896", "993853630481616896")</f>
        <v/>
      </c>
      <c r="B1611" s="2" t="n">
        <v>43228.58501157408</v>
      </c>
      <c r="C1611" t="n">
        <v>0</v>
      </c>
      <c r="D1611" t="n">
        <v>5</v>
      </c>
      <c r="E1611" t="s">
        <v>1600</v>
      </c>
      <c r="F1611">
        <f>HYPERLINK("http://pbs.twimg.com/media/DcrCblAU0AIwasY.jpg", "http://pbs.twimg.com/media/DcrCblAU0AIwasY.jpg")</f>
        <v/>
      </c>
      <c r="G1611" t="s"/>
      <c r="H1611" t="s"/>
      <c r="I1611" t="s"/>
      <c r="J1611" t="n">
        <v>0</v>
      </c>
      <c r="K1611" t="n">
        <v>0</v>
      </c>
      <c r="L1611" t="n">
        <v>1</v>
      </c>
      <c r="M1611" t="n">
        <v>0</v>
      </c>
    </row>
    <row r="1612" spans="1:13">
      <c r="A1612" s="1">
        <f>HYPERLINK("http://www.twitter.com/NathanBLawrence/status/993853618444005376", "993853618444005376")</f>
        <v/>
      </c>
      <c r="B1612" s="2" t="n">
        <v>43228.58497685185</v>
      </c>
      <c r="C1612" t="n">
        <v>0</v>
      </c>
      <c r="D1612" t="n">
        <v>8</v>
      </c>
      <c r="E1612" t="s">
        <v>1601</v>
      </c>
      <c r="F1612">
        <f>HYPERLINK("http://pbs.twimg.com/media/DcrB4GsV4AAgLhB.jpg", "http://pbs.twimg.com/media/DcrB4GsV4AAgLhB.jpg")</f>
        <v/>
      </c>
      <c r="G1612" t="s"/>
      <c r="H1612" t="s"/>
      <c r="I1612" t="s"/>
      <c r="J1612" t="n">
        <v>0.5266999999999999</v>
      </c>
      <c r="K1612" t="n">
        <v>0</v>
      </c>
      <c r="L1612" t="n">
        <v>0.833</v>
      </c>
      <c r="M1612" t="n">
        <v>0.167</v>
      </c>
    </row>
    <row r="1613" spans="1:13">
      <c r="A1613" s="1">
        <f>HYPERLINK("http://www.twitter.com/NathanBLawrence/status/993853604523073536", "993853604523073536")</f>
        <v/>
      </c>
      <c r="B1613" s="2" t="n">
        <v>43228.58493055555</v>
      </c>
      <c r="C1613" t="n">
        <v>0</v>
      </c>
      <c r="D1613" t="n">
        <v>12</v>
      </c>
      <c r="E1613" t="s">
        <v>1602</v>
      </c>
      <c r="F1613" t="s"/>
      <c r="G1613" t="s"/>
      <c r="H1613" t="s"/>
      <c r="I1613" t="s"/>
      <c r="J1613" t="n">
        <v>0</v>
      </c>
      <c r="K1613" t="n">
        <v>0</v>
      </c>
      <c r="L1613" t="n">
        <v>1</v>
      </c>
      <c r="M1613" t="n">
        <v>0</v>
      </c>
    </row>
    <row r="1614" spans="1:13">
      <c r="A1614" s="1">
        <f>HYPERLINK("http://www.twitter.com/NathanBLawrence/status/993853539846967296", "993853539846967296")</f>
        <v/>
      </c>
      <c r="B1614" s="2" t="n">
        <v>43228.58475694444</v>
      </c>
      <c r="C1614" t="n">
        <v>0</v>
      </c>
      <c r="D1614" t="n">
        <v>12</v>
      </c>
      <c r="E1614" t="s">
        <v>1603</v>
      </c>
      <c r="F1614">
        <f>HYPERLINK("http://pbs.twimg.com/media/DcpRwx5WsAAZudT.jpg", "http://pbs.twimg.com/media/DcpRwx5WsAAZudT.jpg")</f>
        <v/>
      </c>
      <c r="G1614" t="s"/>
      <c r="H1614" t="s"/>
      <c r="I1614" t="s"/>
      <c r="J1614" t="n">
        <v>-0.8764999999999999</v>
      </c>
      <c r="K1614" t="n">
        <v>0.335</v>
      </c>
      <c r="L1614" t="n">
        <v>0.665</v>
      </c>
      <c r="M1614" t="n">
        <v>0</v>
      </c>
    </row>
    <row r="1615" spans="1:13">
      <c r="A1615" s="1">
        <f>HYPERLINK("http://www.twitter.com/NathanBLawrence/status/993814716697972736", "993814716697972736")</f>
        <v/>
      </c>
      <c r="B1615" s="2" t="n">
        <v>43228.47762731482</v>
      </c>
      <c r="C1615" t="n">
        <v>0</v>
      </c>
      <c r="D1615" t="n">
        <v>146</v>
      </c>
      <c r="E1615" t="s">
        <v>1604</v>
      </c>
      <c r="F1615">
        <f>HYPERLINK("https://video.twimg.com/amplify_video/992581037107695617/vid/1280x720/1La5XcnVmnx6mw7-.mp4?tag=2", "https://video.twimg.com/amplify_video/992581037107695617/vid/1280x720/1La5XcnVmnx6mw7-.mp4?tag=2")</f>
        <v/>
      </c>
      <c r="G1615" t="s"/>
      <c r="H1615" t="s"/>
      <c r="I1615" t="s"/>
      <c r="J1615" t="n">
        <v>-0.128</v>
      </c>
      <c r="K1615" t="n">
        <v>0.07000000000000001</v>
      </c>
      <c r="L1615" t="n">
        <v>0.93</v>
      </c>
      <c r="M1615" t="n">
        <v>0</v>
      </c>
    </row>
    <row r="1616" spans="1:13">
      <c r="A1616" s="1">
        <f>HYPERLINK("http://www.twitter.com/NathanBLawrence/status/993814092682088448", "993814092682088448")</f>
        <v/>
      </c>
      <c r="B1616" s="2" t="n">
        <v>43228.47590277778</v>
      </c>
      <c r="C1616" t="n">
        <v>0</v>
      </c>
      <c r="D1616" t="n">
        <v>3546</v>
      </c>
      <c r="E1616" t="s">
        <v>1605</v>
      </c>
      <c r="F1616" t="s"/>
      <c r="G1616" t="s"/>
      <c r="H1616" t="s"/>
      <c r="I1616" t="s"/>
      <c r="J1616" t="n">
        <v>0</v>
      </c>
      <c r="K1616" t="n">
        <v>0</v>
      </c>
      <c r="L1616" t="n">
        <v>1</v>
      </c>
      <c r="M1616" t="n">
        <v>0</v>
      </c>
    </row>
    <row r="1617" spans="1:13">
      <c r="A1617" s="1">
        <f>HYPERLINK("http://www.twitter.com/NathanBLawrence/status/993705937067180033", "993705937067180033")</f>
        <v/>
      </c>
      <c r="B1617" s="2" t="n">
        <v>43228.17745370371</v>
      </c>
      <c r="C1617" t="n">
        <v>0</v>
      </c>
      <c r="D1617" t="n">
        <v>3</v>
      </c>
      <c r="E1617" t="s">
        <v>1606</v>
      </c>
      <c r="F1617" t="s"/>
      <c r="G1617" t="s"/>
      <c r="H1617" t="s"/>
      <c r="I1617" t="s"/>
      <c r="J1617" t="n">
        <v>-0.5411</v>
      </c>
      <c r="K1617" t="n">
        <v>0.206</v>
      </c>
      <c r="L1617" t="n">
        <v>0.6879999999999999</v>
      </c>
      <c r="M1617" t="n">
        <v>0.105</v>
      </c>
    </row>
    <row r="1618" spans="1:13">
      <c r="A1618" s="1">
        <f>HYPERLINK("http://www.twitter.com/NathanBLawrence/status/993705922399752192", "993705922399752192")</f>
        <v/>
      </c>
      <c r="B1618" s="2" t="n">
        <v>43228.17740740741</v>
      </c>
      <c r="C1618" t="n">
        <v>0</v>
      </c>
      <c r="D1618" t="n">
        <v>2410</v>
      </c>
      <c r="E1618" t="s">
        <v>1607</v>
      </c>
      <c r="F1618" t="s"/>
      <c r="G1618" t="s"/>
      <c r="H1618" t="s"/>
      <c r="I1618" t="s"/>
      <c r="J1618" t="n">
        <v>-0.1513</v>
      </c>
      <c r="K1618" t="n">
        <v>0.135</v>
      </c>
      <c r="L1618" t="n">
        <v>0.714</v>
      </c>
      <c r="M1618" t="n">
        <v>0.15</v>
      </c>
    </row>
    <row r="1619" spans="1:13">
      <c r="A1619" s="1">
        <f>HYPERLINK("http://www.twitter.com/NathanBLawrence/status/993703782235213824", "993703782235213824")</f>
        <v/>
      </c>
      <c r="B1619" s="2" t="n">
        <v>43228.17150462963</v>
      </c>
      <c r="C1619" t="n">
        <v>1</v>
      </c>
      <c r="D1619" t="n">
        <v>0</v>
      </c>
      <c r="E1619" t="s">
        <v>1608</v>
      </c>
      <c r="F1619">
        <f>HYPERLINK("http://pbs.twimg.com/media/DcpYUFvXcAAh5FD.jpg", "http://pbs.twimg.com/media/DcpYUFvXcAAh5FD.jpg")</f>
        <v/>
      </c>
      <c r="G1619" t="s"/>
      <c r="H1619" t="s"/>
      <c r="I1619" t="s"/>
      <c r="J1619" t="n">
        <v>0</v>
      </c>
      <c r="K1619" t="n">
        <v>0</v>
      </c>
      <c r="L1619" t="n">
        <v>1</v>
      </c>
      <c r="M1619" t="n">
        <v>0</v>
      </c>
    </row>
    <row r="1620" spans="1:13">
      <c r="A1620" s="1">
        <f>HYPERLINK("http://www.twitter.com/NathanBLawrence/status/993703625334587392", "993703625334587392")</f>
        <v/>
      </c>
      <c r="B1620" s="2" t="n">
        <v>43228.17107638889</v>
      </c>
      <c r="C1620" t="n">
        <v>1</v>
      </c>
      <c r="D1620" t="n">
        <v>0</v>
      </c>
      <c r="E1620" t="s">
        <v>1609</v>
      </c>
      <c r="F1620">
        <f>HYPERLINK("http://pbs.twimg.com/media/DcpYK2BXUAAjaem.jpg", "http://pbs.twimg.com/media/DcpYK2BXUAAjaem.jpg")</f>
        <v/>
      </c>
      <c r="G1620" t="s"/>
      <c r="H1620" t="s"/>
      <c r="I1620" t="s"/>
      <c r="J1620" t="n">
        <v>0</v>
      </c>
      <c r="K1620" t="n">
        <v>0</v>
      </c>
      <c r="L1620" t="n">
        <v>1</v>
      </c>
      <c r="M1620" t="n">
        <v>0</v>
      </c>
    </row>
    <row r="1621" spans="1:13">
      <c r="A1621" s="1">
        <f>HYPERLINK("http://www.twitter.com/NathanBLawrence/status/993698813838790656", "993698813838790656")</f>
        <v/>
      </c>
      <c r="B1621" s="2" t="n">
        <v>43228.15778935186</v>
      </c>
      <c r="C1621" t="n">
        <v>0</v>
      </c>
      <c r="D1621" t="n">
        <v>0</v>
      </c>
      <c r="E1621" t="s">
        <v>1610</v>
      </c>
      <c r="F1621" t="s"/>
      <c r="G1621" t="s"/>
      <c r="H1621" t="s"/>
      <c r="I1621" t="s"/>
      <c r="J1621" t="n">
        <v>0.4404</v>
      </c>
      <c r="K1621" t="n">
        <v>0</v>
      </c>
      <c r="L1621" t="n">
        <v>0.912</v>
      </c>
      <c r="M1621" t="n">
        <v>0.08799999999999999</v>
      </c>
    </row>
    <row r="1622" spans="1:13">
      <c r="A1622" s="1">
        <f>HYPERLINK("http://www.twitter.com/NathanBLawrence/status/993698471172562944", "993698471172562944")</f>
        <v/>
      </c>
      <c r="B1622" s="2" t="n">
        <v>43228.15685185185</v>
      </c>
      <c r="C1622" t="n">
        <v>2</v>
      </c>
      <c r="D1622" t="n">
        <v>0</v>
      </c>
      <c r="E1622" t="s">
        <v>1611</v>
      </c>
      <c r="F1622">
        <f>HYPERLINK("http://pbs.twimg.com/media/DcpTfCbXkAAQaKM.jpg", "http://pbs.twimg.com/media/DcpTfCbXkAAQaKM.jpg")</f>
        <v/>
      </c>
      <c r="G1622" t="s"/>
      <c r="H1622" t="s"/>
      <c r="I1622" t="s"/>
      <c r="J1622" t="n">
        <v>0</v>
      </c>
      <c r="K1622" t="n">
        <v>0</v>
      </c>
      <c r="L1622" t="n">
        <v>1</v>
      </c>
      <c r="M1622" t="n">
        <v>0</v>
      </c>
    </row>
    <row r="1623" spans="1:13">
      <c r="A1623" s="1">
        <f>HYPERLINK("http://www.twitter.com/NathanBLawrence/status/993697624808218626", "993697624808218626")</f>
        <v/>
      </c>
      <c r="B1623" s="2" t="n">
        <v>43228.15451388889</v>
      </c>
      <c r="C1623" t="n">
        <v>2</v>
      </c>
      <c r="D1623" t="n">
        <v>0</v>
      </c>
      <c r="E1623" t="s">
        <v>1612</v>
      </c>
      <c r="F1623">
        <f>HYPERLINK("http://pbs.twimg.com/media/DcpStLWXUAA6-m2.jpg", "http://pbs.twimg.com/media/DcpStLWXUAA6-m2.jpg")</f>
        <v/>
      </c>
      <c r="G1623" t="s"/>
      <c r="H1623" t="s"/>
      <c r="I1623" t="s"/>
      <c r="J1623" t="n">
        <v>0</v>
      </c>
      <c r="K1623" t="n">
        <v>0</v>
      </c>
      <c r="L1623" t="n">
        <v>1</v>
      </c>
      <c r="M1623" t="n">
        <v>0</v>
      </c>
    </row>
    <row r="1624" spans="1:13">
      <c r="A1624" s="1">
        <f>HYPERLINK("http://www.twitter.com/NathanBLawrence/status/993697040675860480", "993697040675860480")</f>
        <v/>
      </c>
      <c r="B1624" s="2" t="n">
        <v>43228.15290509259</v>
      </c>
      <c r="C1624" t="n">
        <v>1</v>
      </c>
      <c r="D1624" t="n">
        <v>0</v>
      </c>
      <c r="E1624" t="s">
        <v>1613</v>
      </c>
      <c r="F1624">
        <f>HYPERLINK("http://pbs.twimg.com/media/DcpSLlwX4AA8AUF.jpg", "http://pbs.twimg.com/media/DcpSLlwX4AA8AUF.jpg")</f>
        <v/>
      </c>
      <c r="G1624" t="s"/>
      <c r="H1624" t="s"/>
      <c r="I1624" t="s"/>
      <c r="J1624" t="n">
        <v>0</v>
      </c>
      <c r="K1624" t="n">
        <v>0</v>
      </c>
      <c r="L1624" t="n">
        <v>1</v>
      </c>
      <c r="M1624" t="n">
        <v>0</v>
      </c>
    </row>
    <row r="1625" spans="1:13">
      <c r="A1625" s="1">
        <f>HYPERLINK("http://www.twitter.com/NathanBLawrence/status/993696580174835712", "993696580174835712")</f>
        <v/>
      </c>
      <c r="B1625" s="2" t="n">
        <v>43228.15163194444</v>
      </c>
      <c r="C1625" t="n">
        <v>13</v>
      </c>
      <c r="D1625" t="n">
        <v>12</v>
      </c>
      <c r="E1625" t="s">
        <v>1614</v>
      </c>
      <c r="F1625">
        <f>HYPERLINK("http://pbs.twimg.com/media/DcpRwx5WsAAZudT.jpg", "http://pbs.twimg.com/media/DcpRwx5WsAAZudT.jpg")</f>
        <v/>
      </c>
      <c r="G1625" t="s"/>
      <c r="H1625" t="s"/>
      <c r="I1625" t="s"/>
      <c r="J1625" t="n">
        <v>-0.9676</v>
      </c>
      <c r="K1625" t="n">
        <v>0.337</v>
      </c>
      <c r="L1625" t="n">
        <v>0.663</v>
      </c>
      <c r="M1625" t="n">
        <v>0</v>
      </c>
    </row>
    <row r="1626" spans="1:13">
      <c r="A1626" s="1">
        <f>HYPERLINK("http://www.twitter.com/NathanBLawrence/status/993695573181157377", "993695573181157377")</f>
        <v/>
      </c>
      <c r="B1626" s="2" t="n">
        <v>43228.14885416667</v>
      </c>
      <c r="C1626" t="n">
        <v>0</v>
      </c>
      <c r="D1626" t="n">
        <v>3090</v>
      </c>
      <c r="E1626" t="s">
        <v>1615</v>
      </c>
      <c r="F1626">
        <f>HYPERLINK("https://video.twimg.com/ext_tw_video/993242430982967296/pu/vid/360x640/mYsPL4ZDWCgkR9Wk.mp4?tag=3", "https://video.twimg.com/ext_tw_video/993242430982967296/pu/vid/360x640/mYsPL4ZDWCgkR9Wk.mp4?tag=3")</f>
        <v/>
      </c>
      <c r="G1626" t="s"/>
      <c r="H1626" t="s"/>
      <c r="I1626" t="s"/>
      <c r="J1626" t="n">
        <v>0.34</v>
      </c>
      <c r="K1626" t="n">
        <v>0</v>
      </c>
      <c r="L1626" t="n">
        <v>0.888</v>
      </c>
      <c r="M1626" t="n">
        <v>0.112</v>
      </c>
    </row>
    <row r="1627" spans="1:13">
      <c r="A1627" s="1">
        <f>HYPERLINK("http://www.twitter.com/NathanBLawrence/status/993694700526886912", "993694700526886912")</f>
        <v/>
      </c>
      <c r="B1627" s="2" t="n">
        <v>43228.14644675926</v>
      </c>
      <c r="C1627" t="n">
        <v>1</v>
      </c>
      <c r="D1627" t="n">
        <v>0</v>
      </c>
      <c r="E1627" t="s">
        <v>1616</v>
      </c>
      <c r="F1627">
        <f>HYPERLINK("http://pbs.twimg.com/media/DcpQD3xWsAIhYsX.jpg", "http://pbs.twimg.com/media/DcpQD3xWsAIhYsX.jpg")</f>
        <v/>
      </c>
      <c r="G1627">
        <f>HYPERLINK("http://pbs.twimg.com/media/DcpQD33WsAAIv0q.jpg", "http://pbs.twimg.com/media/DcpQD33WsAAIv0q.jpg")</f>
        <v/>
      </c>
      <c r="H1627" t="s"/>
      <c r="I1627" t="s"/>
      <c r="J1627" t="n">
        <v>-0.8126</v>
      </c>
      <c r="K1627" t="n">
        <v>0.173</v>
      </c>
      <c r="L1627" t="n">
        <v>0.763</v>
      </c>
      <c r="M1627" t="n">
        <v>0.064</v>
      </c>
    </row>
    <row r="1628" spans="1:13">
      <c r="A1628" s="1">
        <f>HYPERLINK("http://www.twitter.com/NathanBLawrence/status/993694109792718853", "993694109792718853")</f>
        <v/>
      </c>
      <c r="B1628" s="2" t="n">
        <v>43228.14481481481</v>
      </c>
      <c r="C1628" t="n">
        <v>0</v>
      </c>
      <c r="D1628" t="n">
        <v>11</v>
      </c>
      <c r="E1628" t="s">
        <v>1617</v>
      </c>
      <c r="F1628">
        <f>HYPERLINK("http://pbs.twimg.com/media/DcpPgTUWAAAvSHw.jpg", "http://pbs.twimg.com/media/DcpPgTUWAAAvSHw.jpg")</f>
        <v/>
      </c>
      <c r="G1628" t="s"/>
      <c r="H1628" t="s"/>
      <c r="I1628" t="s"/>
      <c r="J1628" t="n">
        <v>0.6249</v>
      </c>
      <c r="K1628" t="n">
        <v>0</v>
      </c>
      <c r="L1628" t="n">
        <v>0.797</v>
      </c>
      <c r="M1628" t="n">
        <v>0.203</v>
      </c>
    </row>
    <row r="1629" spans="1:13">
      <c r="A1629" s="1">
        <f>HYPERLINK("http://www.twitter.com/NathanBLawrence/status/993694090280792066", "993694090280792066")</f>
        <v/>
      </c>
      <c r="B1629" s="2" t="n">
        <v>43228.14475694444</v>
      </c>
      <c r="C1629" t="n">
        <v>16</v>
      </c>
      <c r="D1629" t="n">
        <v>11</v>
      </c>
      <c r="E1629" t="s">
        <v>1618</v>
      </c>
      <c r="F1629">
        <f>HYPERLINK("http://pbs.twimg.com/media/DcpPgTUWAAAvSHw.jpg", "http://pbs.twimg.com/media/DcpPgTUWAAAvSHw.jpg")</f>
        <v/>
      </c>
      <c r="G1629" t="s"/>
      <c r="H1629" t="s"/>
      <c r="I1629" t="s"/>
      <c r="J1629" t="n">
        <v>0.7845</v>
      </c>
      <c r="K1629" t="n">
        <v>0</v>
      </c>
      <c r="L1629" t="n">
        <v>0.845</v>
      </c>
      <c r="M1629" t="n">
        <v>0.155</v>
      </c>
    </row>
    <row r="1630" spans="1:13">
      <c r="A1630" s="1">
        <f>HYPERLINK("http://www.twitter.com/NathanBLawrence/status/993681037883596803", "993681037883596803")</f>
        <v/>
      </c>
      <c r="B1630" s="2" t="n">
        <v>43228.10873842592</v>
      </c>
      <c r="C1630" t="n">
        <v>0</v>
      </c>
      <c r="D1630" t="n">
        <v>13</v>
      </c>
      <c r="E1630" t="s">
        <v>1619</v>
      </c>
      <c r="F1630" t="s"/>
      <c r="G1630" t="s"/>
      <c r="H1630" t="s"/>
      <c r="I1630" t="s"/>
      <c r="J1630" t="n">
        <v>-0.7059</v>
      </c>
      <c r="K1630" t="n">
        <v>0.246</v>
      </c>
      <c r="L1630" t="n">
        <v>0.754</v>
      </c>
      <c r="M1630" t="n">
        <v>0</v>
      </c>
    </row>
    <row r="1631" spans="1:13">
      <c r="A1631" s="1">
        <f>HYPERLINK("http://www.twitter.com/NathanBLawrence/status/993680948691718146", "993680948691718146")</f>
        <v/>
      </c>
      <c r="B1631" s="2" t="n">
        <v>43228.10849537037</v>
      </c>
      <c r="C1631" t="n">
        <v>0</v>
      </c>
      <c r="D1631" t="n">
        <v>5</v>
      </c>
      <c r="E1631" t="s">
        <v>1620</v>
      </c>
      <c r="F1631" t="s"/>
      <c r="G1631" t="s"/>
      <c r="H1631" t="s"/>
      <c r="I1631" t="s"/>
      <c r="J1631" t="n">
        <v>-0.6369</v>
      </c>
      <c r="K1631" t="n">
        <v>0.174</v>
      </c>
      <c r="L1631" t="n">
        <v>0.826</v>
      </c>
      <c r="M1631" t="n">
        <v>0</v>
      </c>
    </row>
    <row r="1632" spans="1:13">
      <c r="A1632" s="1">
        <f>HYPERLINK("http://www.twitter.com/NathanBLawrence/status/993680829736943616", "993680829736943616")</f>
        <v/>
      </c>
      <c r="B1632" s="2" t="n">
        <v>43228.1081712963</v>
      </c>
      <c r="C1632" t="n">
        <v>0</v>
      </c>
      <c r="D1632" t="n">
        <v>6</v>
      </c>
      <c r="E1632" t="s">
        <v>1621</v>
      </c>
      <c r="F1632" t="s"/>
      <c r="G1632" t="s"/>
      <c r="H1632" t="s"/>
      <c r="I1632" t="s"/>
      <c r="J1632" t="n">
        <v>-0.7845</v>
      </c>
      <c r="K1632" t="n">
        <v>0.301</v>
      </c>
      <c r="L1632" t="n">
        <v>0.699</v>
      </c>
      <c r="M1632" t="n">
        <v>0</v>
      </c>
    </row>
    <row r="1633" spans="1:13">
      <c r="A1633" s="1">
        <f>HYPERLINK("http://www.twitter.com/NathanBLawrence/status/993680817972006912", "993680817972006912")</f>
        <v/>
      </c>
      <c r="B1633" s="2" t="n">
        <v>43228.10813657408</v>
      </c>
      <c r="C1633" t="n">
        <v>0</v>
      </c>
      <c r="D1633" t="n">
        <v>9</v>
      </c>
      <c r="E1633" t="s">
        <v>1622</v>
      </c>
      <c r="F1633" t="s"/>
      <c r="G1633" t="s"/>
      <c r="H1633" t="s"/>
      <c r="I1633" t="s"/>
      <c r="J1633" t="n">
        <v>-0.1027</v>
      </c>
      <c r="K1633" t="n">
        <v>0.208</v>
      </c>
      <c r="L1633" t="n">
        <v>0.6</v>
      </c>
      <c r="M1633" t="n">
        <v>0.192</v>
      </c>
    </row>
    <row r="1634" spans="1:13">
      <c r="A1634" s="1">
        <f>HYPERLINK("http://www.twitter.com/NathanBLawrence/status/993680785956851713", "993680785956851713")</f>
        <v/>
      </c>
      <c r="B1634" s="2" t="n">
        <v>43228.10804398148</v>
      </c>
      <c r="C1634" t="n">
        <v>0</v>
      </c>
      <c r="D1634" t="n">
        <v>5</v>
      </c>
      <c r="E1634" t="s">
        <v>1623</v>
      </c>
      <c r="F1634" t="s"/>
      <c r="G1634" t="s"/>
      <c r="H1634" t="s"/>
      <c r="I1634" t="s"/>
      <c r="J1634" t="n">
        <v>0.5558</v>
      </c>
      <c r="K1634" t="n">
        <v>0.091</v>
      </c>
      <c r="L1634" t="n">
        <v>0.715</v>
      </c>
      <c r="M1634" t="n">
        <v>0.194</v>
      </c>
    </row>
    <row r="1635" spans="1:13">
      <c r="A1635" s="1">
        <f>HYPERLINK("http://www.twitter.com/NathanBLawrence/status/993680718478880773", "993680718478880773")</f>
        <v/>
      </c>
      <c r="B1635" s="2" t="n">
        <v>43228.1078587963</v>
      </c>
      <c r="C1635" t="n">
        <v>0</v>
      </c>
      <c r="D1635" t="n">
        <v>16</v>
      </c>
      <c r="E1635" t="s">
        <v>1624</v>
      </c>
      <c r="F1635">
        <f>HYPERLINK("http://pbs.twimg.com/media/DcpCFzdVMAAgSJn.jpg", "http://pbs.twimg.com/media/DcpCFzdVMAAgSJn.jpg")</f>
        <v/>
      </c>
      <c r="G1635" t="s"/>
      <c r="H1635" t="s"/>
      <c r="I1635" t="s"/>
      <c r="J1635" t="n">
        <v>-0.4767</v>
      </c>
      <c r="K1635" t="n">
        <v>0.193</v>
      </c>
      <c r="L1635" t="n">
        <v>0.8070000000000001</v>
      </c>
      <c r="M1635" t="n">
        <v>0</v>
      </c>
    </row>
    <row r="1636" spans="1:13">
      <c r="A1636" s="1">
        <f>HYPERLINK("http://www.twitter.com/NathanBLawrence/status/993680588719738881", "993680588719738881")</f>
        <v/>
      </c>
      <c r="B1636" s="2" t="n">
        <v>43228.1075</v>
      </c>
      <c r="C1636" t="n">
        <v>0</v>
      </c>
      <c r="D1636" t="n">
        <v>8</v>
      </c>
      <c r="E1636" t="s">
        <v>1625</v>
      </c>
      <c r="F1636" t="s"/>
      <c r="G1636" t="s"/>
      <c r="H1636" t="s"/>
      <c r="I1636" t="s"/>
      <c r="J1636" t="n">
        <v>0.0387</v>
      </c>
      <c r="K1636" t="n">
        <v>0</v>
      </c>
      <c r="L1636" t="n">
        <v>0.9399999999999999</v>
      </c>
      <c r="M1636" t="n">
        <v>0.06</v>
      </c>
    </row>
    <row r="1637" spans="1:13">
      <c r="A1637" s="1">
        <f>HYPERLINK("http://www.twitter.com/NathanBLawrence/status/993680537213702147", "993680537213702147")</f>
        <v/>
      </c>
      <c r="B1637" s="2" t="n">
        <v>43228.10736111111</v>
      </c>
      <c r="C1637" t="n">
        <v>16</v>
      </c>
      <c r="D1637" t="n">
        <v>13</v>
      </c>
      <c r="E1637" t="s">
        <v>1626</v>
      </c>
      <c r="F1637" t="s"/>
      <c r="G1637" t="s"/>
      <c r="H1637" t="s"/>
      <c r="I1637" t="s"/>
      <c r="J1637" t="n">
        <v>0.5185999999999999</v>
      </c>
      <c r="K1637" t="n">
        <v>0.114</v>
      </c>
      <c r="L1637" t="n">
        <v>0.724</v>
      </c>
      <c r="M1637" t="n">
        <v>0.162</v>
      </c>
    </row>
    <row r="1638" spans="1:13">
      <c r="A1638" s="1">
        <f>HYPERLINK("http://www.twitter.com/NathanBLawrence/status/993679680107679744", "993679680107679744")</f>
        <v/>
      </c>
      <c r="B1638" s="2" t="n">
        <v>43228.105</v>
      </c>
      <c r="C1638" t="n">
        <v>0</v>
      </c>
      <c r="D1638" t="n">
        <v>5</v>
      </c>
      <c r="E1638" t="s">
        <v>1627</v>
      </c>
      <c r="F1638">
        <f>HYPERLINK("http://pbs.twimg.com/media/Dcn0DdwVwAA8wp6.jpg", "http://pbs.twimg.com/media/Dcn0DdwVwAA8wp6.jpg")</f>
        <v/>
      </c>
      <c r="G1638" t="s"/>
      <c r="H1638" t="s"/>
      <c r="I1638" t="s"/>
      <c r="J1638" t="n">
        <v>-0.3382</v>
      </c>
      <c r="K1638" t="n">
        <v>0.1</v>
      </c>
      <c r="L1638" t="n">
        <v>0.852</v>
      </c>
      <c r="M1638" t="n">
        <v>0.048</v>
      </c>
    </row>
    <row r="1639" spans="1:13">
      <c r="A1639" s="1">
        <f>HYPERLINK("http://www.twitter.com/NathanBLawrence/status/993679613627916288", "993679613627916288")</f>
        <v/>
      </c>
      <c r="B1639" s="2" t="n">
        <v>43228.10481481482</v>
      </c>
      <c r="C1639" t="n">
        <v>0</v>
      </c>
      <c r="D1639" t="n">
        <v>4</v>
      </c>
      <c r="E1639" t="s">
        <v>1628</v>
      </c>
      <c r="F1639" t="s"/>
      <c r="G1639" t="s"/>
      <c r="H1639" t="s"/>
      <c r="I1639" t="s"/>
      <c r="J1639" t="n">
        <v>0.7262999999999999</v>
      </c>
      <c r="K1639" t="n">
        <v>0.09</v>
      </c>
      <c r="L1639" t="n">
        <v>0.612</v>
      </c>
      <c r="M1639" t="n">
        <v>0.298</v>
      </c>
    </row>
    <row r="1640" spans="1:13">
      <c r="A1640" s="1">
        <f>HYPERLINK("http://www.twitter.com/NathanBLawrence/status/993679600604590087", "993679600604590087")</f>
        <v/>
      </c>
      <c r="B1640" s="2" t="n">
        <v>43228.1047800926</v>
      </c>
      <c r="C1640" t="n">
        <v>6</v>
      </c>
      <c r="D1640" t="n">
        <v>5</v>
      </c>
      <c r="E1640" t="s">
        <v>1629</v>
      </c>
      <c r="F1640" t="s"/>
      <c r="G1640" t="s"/>
      <c r="H1640" t="s"/>
      <c r="I1640" t="s"/>
      <c r="J1640" t="n">
        <v>-0.6369</v>
      </c>
      <c r="K1640" t="n">
        <v>0.16</v>
      </c>
      <c r="L1640" t="n">
        <v>0.84</v>
      </c>
      <c r="M1640" t="n">
        <v>0</v>
      </c>
    </row>
    <row r="1641" spans="1:13">
      <c r="A1641" s="1">
        <f>HYPERLINK("http://www.twitter.com/NathanBLawrence/status/993679253110706177", "993679253110706177")</f>
        <v/>
      </c>
      <c r="B1641" s="2" t="n">
        <v>43228.10381944444</v>
      </c>
      <c r="C1641" t="n">
        <v>12</v>
      </c>
      <c r="D1641" t="n">
        <v>5</v>
      </c>
      <c r="E1641" t="s">
        <v>1630</v>
      </c>
      <c r="F1641" t="s"/>
      <c r="G1641" t="s"/>
      <c r="H1641" t="s"/>
      <c r="I1641" t="s"/>
      <c r="J1641" t="n">
        <v>0.2708</v>
      </c>
      <c r="K1641" t="n">
        <v>0.093</v>
      </c>
      <c r="L1641" t="n">
        <v>0.8129999999999999</v>
      </c>
      <c r="M1641" t="n">
        <v>0.095</v>
      </c>
    </row>
    <row r="1642" spans="1:13">
      <c r="A1642" s="1">
        <f>HYPERLINK("http://www.twitter.com/NathanBLawrence/status/993678074754535424", "993678074754535424")</f>
        <v/>
      </c>
      <c r="B1642" s="2" t="n">
        <v>43228.10056712963</v>
      </c>
      <c r="C1642" t="n">
        <v>14</v>
      </c>
      <c r="D1642" t="n">
        <v>9</v>
      </c>
      <c r="E1642" t="s">
        <v>1631</v>
      </c>
      <c r="F1642" t="s"/>
      <c r="G1642" t="s"/>
      <c r="H1642" t="s"/>
      <c r="I1642" t="s"/>
      <c r="J1642" t="n">
        <v>0.3818</v>
      </c>
      <c r="K1642" t="n">
        <v>0.121</v>
      </c>
      <c r="L1642" t="n">
        <v>0.698</v>
      </c>
      <c r="M1642" t="n">
        <v>0.181</v>
      </c>
    </row>
    <row r="1643" spans="1:13">
      <c r="A1643" s="1">
        <f>HYPERLINK("http://www.twitter.com/NathanBLawrence/status/993677550906900480", "993677550906900480")</f>
        <v/>
      </c>
      <c r="B1643" s="2" t="n">
        <v>43228.09912037037</v>
      </c>
      <c r="C1643" t="n">
        <v>0</v>
      </c>
      <c r="D1643" t="n">
        <v>8</v>
      </c>
      <c r="E1643" t="s">
        <v>1632</v>
      </c>
      <c r="F1643" t="s"/>
      <c r="G1643" t="s"/>
      <c r="H1643" t="s"/>
      <c r="I1643" t="s"/>
      <c r="J1643" t="n">
        <v>-0.3404</v>
      </c>
      <c r="K1643" t="n">
        <v>0.327</v>
      </c>
      <c r="L1643" t="n">
        <v>0.494</v>
      </c>
      <c r="M1643" t="n">
        <v>0.179</v>
      </c>
    </row>
    <row r="1644" spans="1:13">
      <c r="A1644" s="1">
        <f>HYPERLINK("http://www.twitter.com/NathanBLawrence/status/993673104907014144", "993673104907014144")</f>
        <v/>
      </c>
      <c r="B1644" s="2" t="n">
        <v>43228.08685185185</v>
      </c>
      <c r="C1644" t="n">
        <v>0</v>
      </c>
      <c r="D1644" t="n">
        <v>9</v>
      </c>
      <c r="E1644" t="s">
        <v>1633</v>
      </c>
      <c r="F1644" t="s"/>
      <c r="G1644" t="s"/>
      <c r="H1644" t="s"/>
      <c r="I1644" t="s"/>
      <c r="J1644" t="n">
        <v>0.1531</v>
      </c>
      <c r="K1644" t="n">
        <v>0.112</v>
      </c>
      <c r="L1644" t="n">
        <v>0.719</v>
      </c>
      <c r="M1644" t="n">
        <v>0.169</v>
      </c>
    </row>
    <row r="1645" spans="1:13">
      <c r="A1645" s="1">
        <f>HYPERLINK("http://www.twitter.com/NathanBLawrence/status/993673033477951489", "993673033477951489")</f>
        <v/>
      </c>
      <c r="B1645" s="2" t="n">
        <v>43228.08665509259</v>
      </c>
      <c r="C1645" t="n">
        <v>2</v>
      </c>
      <c r="D1645" t="n">
        <v>0</v>
      </c>
      <c r="E1645" t="s">
        <v>1634</v>
      </c>
      <c r="F1645" t="s"/>
      <c r="G1645" t="s"/>
      <c r="H1645" t="s"/>
      <c r="I1645" t="s"/>
      <c r="J1645" t="n">
        <v>-0.264</v>
      </c>
      <c r="K1645" t="n">
        <v>0.098</v>
      </c>
      <c r="L1645" t="n">
        <v>0.902</v>
      </c>
      <c r="M1645" t="n">
        <v>0</v>
      </c>
    </row>
    <row r="1646" spans="1:13">
      <c r="A1646" s="1">
        <f>HYPERLINK("http://www.twitter.com/NathanBLawrence/status/993660459118202882", "993660459118202882")</f>
        <v/>
      </c>
      <c r="B1646" s="2" t="n">
        <v>43228.05195601852</v>
      </c>
      <c r="C1646" t="n">
        <v>0</v>
      </c>
      <c r="D1646" t="n">
        <v>6</v>
      </c>
      <c r="E1646" t="s">
        <v>1635</v>
      </c>
      <c r="F1646" t="s"/>
      <c r="G1646" t="s"/>
      <c r="H1646" t="s"/>
      <c r="I1646" t="s"/>
      <c r="J1646" t="n">
        <v>0</v>
      </c>
      <c r="K1646" t="n">
        <v>0</v>
      </c>
      <c r="L1646" t="n">
        <v>1</v>
      </c>
      <c r="M1646" t="n">
        <v>0</v>
      </c>
    </row>
    <row r="1647" spans="1:13">
      <c r="A1647" s="1">
        <f>HYPERLINK("http://www.twitter.com/NathanBLawrence/status/993660446799486976", "993660446799486976")</f>
        <v/>
      </c>
      <c r="B1647" s="2" t="n">
        <v>43228.0519212963</v>
      </c>
      <c r="C1647" t="n">
        <v>0</v>
      </c>
      <c r="D1647" t="n">
        <v>8</v>
      </c>
      <c r="E1647" t="s">
        <v>1636</v>
      </c>
      <c r="F1647" t="s"/>
      <c r="G1647" t="s"/>
      <c r="H1647" t="s"/>
      <c r="I1647" t="s"/>
      <c r="J1647" t="n">
        <v>0.7644</v>
      </c>
      <c r="K1647" t="n">
        <v>0</v>
      </c>
      <c r="L1647" t="n">
        <v>0.678</v>
      </c>
      <c r="M1647" t="n">
        <v>0.322</v>
      </c>
    </row>
    <row r="1648" spans="1:13">
      <c r="A1648" s="1">
        <f>HYPERLINK("http://www.twitter.com/NathanBLawrence/status/993656764292829184", "993656764292829184")</f>
        <v/>
      </c>
      <c r="B1648" s="2" t="n">
        <v>43228.04175925926</v>
      </c>
      <c r="C1648" t="n">
        <v>0</v>
      </c>
      <c r="D1648" t="n">
        <v>1</v>
      </c>
      <c r="E1648" t="s">
        <v>1637</v>
      </c>
      <c r="F1648">
        <f>HYPERLINK("http://pbs.twimg.com/media/DcnTntBW0AIFt9w.jpg", "http://pbs.twimg.com/media/DcnTntBW0AIFt9w.jpg")</f>
        <v/>
      </c>
      <c r="G1648" t="s"/>
      <c r="H1648" t="s"/>
      <c r="I1648" t="s"/>
      <c r="J1648" t="n">
        <v>0</v>
      </c>
      <c r="K1648" t="n">
        <v>0</v>
      </c>
      <c r="L1648" t="n">
        <v>1</v>
      </c>
      <c r="M1648" t="n">
        <v>0</v>
      </c>
    </row>
    <row r="1649" spans="1:13">
      <c r="A1649" s="1">
        <f>HYPERLINK("http://www.twitter.com/NathanBLawrence/status/993656507261771778", "993656507261771778")</f>
        <v/>
      </c>
      <c r="B1649" s="2" t="n">
        <v>43228.04105324074</v>
      </c>
      <c r="C1649" t="n">
        <v>0</v>
      </c>
      <c r="D1649" t="n">
        <v>13</v>
      </c>
      <c r="E1649" t="s">
        <v>1638</v>
      </c>
      <c r="F1649" t="s"/>
      <c r="G1649" t="s"/>
      <c r="H1649" t="s"/>
      <c r="I1649" t="s"/>
      <c r="J1649" t="n">
        <v>0</v>
      </c>
      <c r="K1649" t="n">
        <v>0</v>
      </c>
      <c r="L1649" t="n">
        <v>1</v>
      </c>
      <c r="M1649" t="n">
        <v>0</v>
      </c>
    </row>
    <row r="1650" spans="1:13">
      <c r="A1650" s="1">
        <f>HYPERLINK("http://www.twitter.com/NathanBLawrence/status/993647558806384640", "993647558806384640")</f>
        <v/>
      </c>
      <c r="B1650" s="2" t="n">
        <v>43228.01635416667</v>
      </c>
      <c r="C1650" t="n">
        <v>0</v>
      </c>
      <c r="D1650" t="n">
        <v>18</v>
      </c>
      <c r="E1650" t="s">
        <v>1639</v>
      </c>
      <c r="F1650">
        <f>HYPERLINK("http://pbs.twimg.com/media/DcoFTvkVAAAuDiM.jpg", "http://pbs.twimg.com/media/DcoFTvkVAAAuDiM.jpg")</f>
        <v/>
      </c>
      <c r="G1650" t="s"/>
      <c r="H1650" t="s"/>
      <c r="I1650" t="s"/>
      <c r="J1650" t="n">
        <v>0</v>
      </c>
      <c r="K1650" t="n">
        <v>0</v>
      </c>
      <c r="L1650" t="n">
        <v>1</v>
      </c>
      <c r="M1650" t="n">
        <v>0</v>
      </c>
    </row>
    <row r="1651" spans="1:13">
      <c r="A1651" s="1">
        <f>HYPERLINK("http://www.twitter.com/NathanBLawrence/status/993647543757213696", "993647543757213696")</f>
        <v/>
      </c>
      <c r="B1651" s="2" t="n">
        <v>43228.01631944445</v>
      </c>
      <c r="C1651" t="n">
        <v>0</v>
      </c>
      <c r="D1651" t="n">
        <v>1</v>
      </c>
      <c r="E1651" t="s">
        <v>1640</v>
      </c>
      <c r="F1651" t="s"/>
      <c r="G1651" t="s"/>
      <c r="H1651" t="s"/>
      <c r="I1651" t="s"/>
      <c r="J1651" t="n">
        <v>0</v>
      </c>
      <c r="K1651" t="n">
        <v>0</v>
      </c>
      <c r="L1651" t="n">
        <v>1</v>
      </c>
      <c r="M1651" t="n">
        <v>0</v>
      </c>
    </row>
    <row r="1652" spans="1:13">
      <c r="A1652" s="1">
        <f>HYPERLINK("http://www.twitter.com/NathanBLawrence/status/993645899187474432", "993645899187474432")</f>
        <v/>
      </c>
      <c r="B1652" s="2" t="n">
        <v>43228.0117824074</v>
      </c>
      <c r="C1652" t="n">
        <v>0</v>
      </c>
      <c r="D1652" t="n">
        <v>0</v>
      </c>
      <c r="E1652" t="s">
        <v>1641</v>
      </c>
      <c r="F1652" t="s"/>
      <c r="G1652" t="s"/>
      <c r="H1652" t="s"/>
      <c r="I1652" t="s"/>
      <c r="J1652" t="n">
        <v>0</v>
      </c>
      <c r="K1652" t="n">
        <v>0</v>
      </c>
      <c r="L1652" t="n">
        <v>1</v>
      </c>
      <c r="M1652" t="n">
        <v>0</v>
      </c>
    </row>
    <row r="1653" spans="1:13">
      <c r="A1653" s="1">
        <f>HYPERLINK("http://www.twitter.com/NathanBLawrence/status/993638049375539200", "993638049375539200")</f>
        <v/>
      </c>
      <c r="B1653" s="2" t="n">
        <v>43227.99011574074</v>
      </c>
      <c r="C1653" t="n">
        <v>0</v>
      </c>
      <c r="D1653" t="n">
        <v>0</v>
      </c>
      <c r="E1653" t="s">
        <v>1642</v>
      </c>
      <c r="F1653" t="s"/>
      <c r="G1653" t="s"/>
      <c r="H1653" t="s"/>
      <c r="I1653" t="s"/>
      <c r="J1653" t="n">
        <v>0.2593</v>
      </c>
      <c r="K1653" t="n">
        <v>0.075</v>
      </c>
      <c r="L1653" t="n">
        <v>0.833</v>
      </c>
      <c r="M1653" t="n">
        <v>0.092</v>
      </c>
    </row>
    <row r="1654" spans="1:13">
      <c r="A1654" s="1">
        <f>HYPERLINK("http://www.twitter.com/NathanBLawrence/status/993637586244599809", "993637586244599809")</f>
        <v/>
      </c>
      <c r="B1654" s="2" t="n">
        <v>43227.98884259259</v>
      </c>
      <c r="C1654" t="n">
        <v>0</v>
      </c>
      <c r="D1654" t="n">
        <v>0</v>
      </c>
      <c r="E1654" t="s">
        <v>1643</v>
      </c>
      <c r="F1654" t="s"/>
      <c r="G1654" t="s"/>
      <c r="H1654" t="s"/>
      <c r="I1654" t="s"/>
      <c r="J1654" t="n">
        <v>0.5122</v>
      </c>
      <c r="K1654" t="n">
        <v>0</v>
      </c>
      <c r="L1654" t="n">
        <v>0.9379999999999999</v>
      </c>
      <c r="M1654" t="n">
        <v>0.062</v>
      </c>
    </row>
    <row r="1655" spans="1:13">
      <c r="A1655" s="1">
        <f>HYPERLINK("http://www.twitter.com/NathanBLawrence/status/993637054482407432", "993637054482407432")</f>
        <v/>
      </c>
      <c r="B1655" s="2" t="n">
        <v>43227.98737268519</v>
      </c>
      <c r="C1655" t="n">
        <v>1</v>
      </c>
      <c r="D1655" t="n">
        <v>0</v>
      </c>
      <c r="E1655" t="s">
        <v>1644</v>
      </c>
      <c r="F1655" t="s"/>
      <c r="G1655" t="s"/>
      <c r="H1655" t="s"/>
      <c r="I1655" t="s"/>
      <c r="J1655" t="n">
        <v>0</v>
      </c>
      <c r="K1655" t="n">
        <v>0</v>
      </c>
      <c r="L1655" t="n">
        <v>1</v>
      </c>
      <c r="M1655" t="n">
        <v>0</v>
      </c>
    </row>
    <row r="1656" spans="1:13">
      <c r="A1656" s="1">
        <f>HYPERLINK("http://www.twitter.com/NathanBLawrence/status/993635606864461824", "993635606864461824")</f>
        <v/>
      </c>
      <c r="B1656" s="2" t="n">
        <v>43227.98337962963</v>
      </c>
      <c r="C1656" t="n">
        <v>0</v>
      </c>
      <c r="D1656" t="n">
        <v>0</v>
      </c>
      <c r="E1656" t="s">
        <v>1645</v>
      </c>
      <c r="F1656" t="s"/>
      <c r="G1656" t="s"/>
      <c r="H1656" t="s"/>
      <c r="I1656" t="s"/>
      <c r="J1656" t="n">
        <v>-0.1779</v>
      </c>
      <c r="K1656" t="n">
        <v>0.078</v>
      </c>
      <c r="L1656" t="n">
        <v>0.863</v>
      </c>
      <c r="M1656" t="n">
        <v>0.059</v>
      </c>
    </row>
    <row r="1657" spans="1:13">
      <c r="A1657" s="1">
        <f>HYPERLINK("http://www.twitter.com/NathanBLawrence/status/993635305881243649", "993635305881243649")</f>
        <v/>
      </c>
      <c r="B1657" s="2" t="n">
        <v>43227.9825462963</v>
      </c>
      <c r="C1657" t="n">
        <v>2</v>
      </c>
      <c r="D1657" t="n">
        <v>0</v>
      </c>
      <c r="E1657" t="s">
        <v>1176</v>
      </c>
      <c r="F1657" t="s"/>
      <c r="G1657" t="s"/>
      <c r="H1657" t="s"/>
      <c r="I1657" t="s"/>
      <c r="J1657" t="n">
        <v>0</v>
      </c>
      <c r="K1657" t="n">
        <v>0</v>
      </c>
      <c r="L1657" t="n">
        <v>1</v>
      </c>
      <c r="M1657" t="n">
        <v>0</v>
      </c>
    </row>
    <row r="1658" spans="1:13">
      <c r="A1658" s="1">
        <f>HYPERLINK("http://www.twitter.com/NathanBLawrence/status/993634466915672067", "993634466915672067")</f>
        <v/>
      </c>
      <c r="B1658" s="2" t="n">
        <v>43227.98023148148</v>
      </c>
      <c r="C1658" t="n">
        <v>0</v>
      </c>
      <c r="D1658" t="n">
        <v>0</v>
      </c>
      <c r="E1658" t="s">
        <v>1646</v>
      </c>
      <c r="F1658" t="s"/>
      <c r="G1658" t="s"/>
      <c r="H1658" t="s"/>
      <c r="I1658" t="s"/>
      <c r="J1658" t="n">
        <v>0</v>
      </c>
      <c r="K1658" t="n">
        <v>0</v>
      </c>
      <c r="L1658" t="n">
        <v>1</v>
      </c>
      <c r="M1658" t="n">
        <v>0</v>
      </c>
    </row>
    <row r="1659" spans="1:13">
      <c r="A1659" s="1">
        <f>HYPERLINK("http://www.twitter.com/NathanBLawrence/status/993632693328990209", "993632693328990209")</f>
        <v/>
      </c>
      <c r="B1659" s="2" t="n">
        <v>43227.97533564815</v>
      </c>
      <c r="C1659" t="n">
        <v>4</v>
      </c>
      <c r="D1659" t="n">
        <v>3</v>
      </c>
      <c r="E1659" t="s">
        <v>1647</v>
      </c>
      <c r="F1659" t="s"/>
      <c r="G1659" t="s"/>
      <c r="H1659" t="s"/>
      <c r="I1659" t="s"/>
      <c r="J1659" t="n">
        <v>0.4404</v>
      </c>
      <c r="K1659" t="n">
        <v>0.031</v>
      </c>
      <c r="L1659" t="n">
        <v>0.872</v>
      </c>
      <c r="M1659" t="n">
        <v>0.096</v>
      </c>
    </row>
    <row r="1660" spans="1:13">
      <c r="A1660" s="1">
        <f>HYPERLINK("http://www.twitter.com/NathanBLawrence/status/993592150599315456", "993592150599315456")</f>
        <v/>
      </c>
      <c r="B1660" s="2" t="n">
        <v>43227.86346064815</v>
      </c>
      <c r="C1660" t="n">
        <v>0</v>
      </c>
      <c r="D1660" t="n">
        <v>12</v>
      </c>
      <c r="E1660" t="s">
        <v>1648</v>
      </c>
      <c r="F1660">
        <f>HYPERLINK("http://pbs.twimg.com/media/DcmbyNXVAAEh3zf.jpg", "http://pbs.twimg.com/media/DcmbyNXVAAEh3zf.jpg")</f>
        <v/>
      </c>
      <c r="G1660" t="s"/>
      <c r="H1660" t="s"/>
      <c r="I1660" t="s"/>
      <c r="J1660" t="n">
        <v>-0.5399</v>
      </c>
      <c r="K1660" t="n">
        <v>0.17</v>
      </c>
      <c r="L1660" t="n">
        <v>0.83</v>
      </c>
      <c r="M1660" t="n">
        <v>0</v>
      </c>
    </row>
    <row r="1661" spans="1:13">
      <c r="A1661" s="1">
        <f>HYPERLINK("http://www.twitter.com/NathanBLawrence/status/993592074892206080", "993592074892206080")</f>
        <v/>
      </c>
      <c r="B1661" s="2" t="n">
        <v>43227.86325231481</v>
      </c>
      <c r="C1661" t="n">
        <v>0</v>
      </c>
      <c r="D1661" t="n">
        <v>9</v>
      </c>
      <c r="E1661" t="s">
        <v>1649</v>
      </c>
      <c r="F1661" t="s"/>
      <c r="G1661" t="s"/>
      <c r="H1661" t="s"/>
      <c r="I1661" t="s"/>
      <c r="J1661" t="n">
        <v>-0.4003</v>
      </c>
      <c r="K1661" t="n">
        <v>0.147</v>
      </c>
      <c r="L1661" t="n">
        <v>0.784</v>
      </c>
      <c r="M1661" t="n">
        <v>0.06900000000000001</v>
      </c>
    </row>
    <row r="1662" spans="1:13">
      <c r="A1662" s="1">
        <f>HYPERLINK("http://www.twitter.com/NathanBLawrence/status/993591995577880576", "993591995577880576")</f>
        <v/>
      </c>
      <c r="B1662" s="2" t="n">
        <v>43227.8630324074</v>
      </c>
      <c r="C1662" t="n">
        <v>0</v>
      </c>
      <c r="D1662" t="n">
        <v>16</v>
      </c>
      <c r="E1662" t="s">
        <v>1650</v>
      </c>
      <c r="F1662">
        <f>HYPERLINK("http://pbs.twimg.com/media/DcjzO9QX0AAtJeY.jpg", "http://pbs.twimg.com/media/DcjzO9QX0AAtJeY.jpg")</f>
        <v/>
      </c>
      <c r="G1662" t="s"/>
      <c r="H1662" t="s"/>
      <c r="I1662" t="s"/>
      <c r="J1662" t="n">
        <v>0.1695</v>
      </c>
      <c r="K1662" t="n">
        <v>0</v>
      </c>
      <c r="L1662" t="n">
        <v>0.886</v>
      </c>
      <c r="M1662" t="n">
        <v>0.114</v>
      </c>
    </row>
    <row r="1663" spans="1:13">
      <c r="A1663" s="1">
        <f>HYPERLINK("http://www.twitter.com/NathanBLawrence/status/993591966876274691", "993591966876274691")</f>
        <v/>
      </c>
      <c r="B1663" s="2" t="n">
        <v>43227.86295138889</v>
      </c>
      <c r="C1663" t="n">
        <v>0</v>
      </c>
      <c r="D1663" t="n">
        <v>11</v>
      </c>
      <c r="E1663" t="s">
        <v>1651</v>
      </c>
      <c r="F1663" t="s"/>
      <c r="G1663" t="s"/>
      <c r="H1663" t="s"/>
      <c r="I1663" t="s"/>
      <c r="J1663" t="n">
        <v>-0.3804</v>
      </c>
      <c r="K1663" t="n">
        <v>0.11</v>
      </c>
      <c r="L1663" t="n">
        <v>0.89</v>
      </c>
      <c r="M1663" t="n">
        <v>0</v>
      </c>
    </row>
    <row r="1664" spans="1:13">
      <c r="A1664" s="1">
        <f>HYPERLINK("http://www.twitter.com/NathanBLawrence/status/993591836395663360", "993591836395663360")</f>
        <v/>
      </c>
      <c r="B1664" s="2" t="n">
        <v>43227.8625925926</v>
      </c>
      <c r="C1664" t="n">
        <v>0</v>
      </c>
      <c r="D1664" t="n">
        <v>57</v>
      </c>
      <c r="E1664" t="s">
        <v>1652</v>
      </c>
      <c r="F1664" t="s"/>
      <c r="G1664" t="s"/>
      <c r="H1664" t="s"/>
      <c r="I1664" t="s"/>
      <c r="J1664" t="n">
        <v>0</v>
      </c>
      <c r="K1664" t="n">
        <v>0</v>
      </c>
      <c r="L1664" t="n">
        <v>1</v>
      </c>
      <c r="M1664" t="n">
        <v>0</v>
      </c>
    </row>
    <row r="1665" spans="1:13">
      <c r="A1665" s="1">
        <f>HYPERLINK("http://www.twitter.com/NathanBLawrence/status/993591819916251137", "993591819916251137")</f>
        <v/>
      </c>
      <c r="B1665" s="2" t="n">
        <v>43227.8625462963</v>
      </c>
      <c r="C1665" t="n">
        <v>0</v>
      </c>
      <c r="D1665" t="n">
        <v>104</v>
      </c>
      <c r="E1665" t="s">
        <v>1653</v>
      </c>
      <c r="F1665" t="s"/>
      <c r="G1665" t="s"/>
      <c r="H1665" t="s"/>
      <c r="I1665" t="s"/>
      <c r="J1665" t="n">
        <v>-0.25</v>
      </c>
      <c r="K1665" t="n">
        <v>0.08699999999999999</v>
      </c>
      <c r="L1665" t="n">
        <v>0.913</v>
      </c>
      <c r="M1665" t="n">
        <v>0</v>
      </c>
    </row>
    <row r="1666" spans="1:13">
      <c r="A1666" s="1">
        <f>HYPERLINK("http://www.twitter.com/NathanBLawrence/status/993591782578577409", "993591782578577409")</f>
        <v/>
      </c>
      <c r="B1666" s="2" t="n">
        <v>43227.86244212963</v>
      </c>
      <c r="C1666" t="n">
        <v>0</v>
      </c>
      <c r="D1666" t="n">
        <v>13</v>
      </c>
      <c r="E1666" t="s">
        <v>1654</v>
      </c>
      <c r="F1666">
        <f>HYPERLINK("http://pbs.twimg.com/media/DcntJaIWAAAnbAr.jpg", "http://pbs.twimg.com/media/DcntJaIWAAAnbAr.jpg")</f>
        <v/>
      </c>
      <c r="G1666" t="s"/>
      <c r="H1666" t="s"/>
      <c r="I1666" t="s"/>
      <c r="J1666" t="n">
        <v>0</v>
      </c>
      <c r="K1666" t="n">
        <v>0</v>
      </c>
      <c r="L1666" t="n">
        <v>1</v>
      </c>
      <c r="M1666" t="n">
        <v>0</v>
      </c>
    </row>
    <row r="1667" spans="1:13">
      <c r="A1667" s="1">
        <f>HYPERLINK("http://www.twitter.com/NathanBLawrence/status/993586061925343232", "993586061925343232")</f>
        <v/>
      </c>
      <c r="B1667" s="2" t="n">
        <v>43227.8466550926</v>
      </c>
      <c r="C1667" t="n">
        <v>0</v>
      </c>
      <c r="D1667" t="n">
        <v>6</v>
      </c>
      <c r="E1667" t="s">
        <v>1655</v>
      </c>
      <c r="F1667">
        <f>HYPERLINK("http://pbs.twimg.com/media/DcnsUenW0AEMrtz.jpg", "http://pbs.twimg.com/media/DcnsUenW0AEMrtz.jpg")</f>
        <v/>
      </c>
      <c r="G1667" t="s"/>
      <c r="H1667" t="s"/>
      <c r="I1667" t="s"/>
      <c r="J1667" t="n">
        <v>0</v>
      </c>
      <c r="K1667" t="n">
        <v>0</v>
      </c>
      <c r="L1667" t="n">
        <v>1</v>
      </c>
      <c r="M1667" t="n">
        <v>0</v>
      </c>
    </row>
    <row r="1668" spans="1:13">
      <c r="A1668" s="1">
        <f>HYPERLINK("http://www.twitter.com/NathanBLawrence/status/993585968178483206", "993585968178483206")</f>
        <v/>
      </c>
      <c r="B1668" s="2" t="n">
        <v>43227.84640046296</v>
      </c>
      <c r="C1668" t="n">
        <v>15</v>
      </c>
      <c r="D1668" t="n">
        <v>13</v>
      </c>
      <c r="E1668" t="s">
        <v>1656</v>
      </c>
      <c r="F1668">
        <f>HYPERLINK("http://pbs.twimg.com/media/DcntJaIWAAAnbAr.jpg", "http://pbs.twimg.com/media/DcntJaIWAAAnbAr.jpg")</f>
        <v/>
      </c>
      <c r="G1668" t="s"/>
      <c r="H1668" t="s"/>
      <c r="I1668" t="s"/>
      <c r="J1668" t="n">
        <v>0</v>
      </c>
      <c r="K1668" t="n">
        <v>0</v>
      </c>
      <c r="L1668" t="n">
        <v>1</v>
      </c>
      <c r="M1668" t="n">
        <v>0</v>
      </c>
    </row>
    <row r="1669" spans="1:13">
      <c r="A1669" s="1">
        <f>HYPERLINK("http://www.twitter.com/NathanBLawrence/status/993585265422884865", "993585265422884865")</f>
        <v/>
      </c>
      <c r="B1669" s="2" t="n">
        <v>43227.84445601852</v>
      </c>
      <c r="C1669" t="n">
        <v>0</v>
      </c>
      <c r="D1669" t="n">
        <v>77</v>
      </c>
      <c r="E1669" t="s">
        <v>1657</v>
      </c>
      <c r="F1669" t="s"/>
      <c r="G1669" t="s"/>
      <c r="H1669" t="s"/>
      <c r="I1669" t="s"/>
      <c r="J1669" t="n">
        <v>0</v>
      </c>
      <c r="K1669" t="n">
        <v>0</v>
      </c>
      <c r="L1669" t="n">
        <v>1</v>
      </c>
      <c r="M1669" t="n">
        <v>0</v>
      </c>
    </row>
    <row r="1670" spans="1:13">
      <c r="A1670" s="1">
        <f>HYPERLINK("http://www.twitter.com/NathanBLawrence/status/993585048489283584", "993585048489283584")</f>
        <v/>
      </c>
      <c r="B1670" s="2" t="n">
        <v>43227.84386574074</v>
      </c>
      <c r="C1670" t="n">
        <v>9</v>
      </c>
      <c r="D1670" t="n">
        <v>6</v>
      </c>
      <c r="E1670" t="s">
        <v>1658</v>
      </c>
      <c r="F1670">
        <f>HYPERLINK("http://pbs.twimg.com/media/DcnsUenW0AEMrtz.jpg", "http://pbs.twimg.com/media/DcnsUenW0AEMrtz.jpg")</f>
        <v/>
      </c>
      <c r="G1670" t="s"/>
      <c r="H1670" t="s"/>
      <c r="I1670" t="s"/>
      <c r="J1670" t="n">
        <v>0.5106000000000001</v>
      </c>
      <c r="K1670" t="n">
        <v>0</v>
      </c>
      <c r="L1670" t="n">
        <v>0.858</v>
      </c>
      <c r="M1670" t="n">
        <v>0.142</v>
      </c>
    </row>
    <row r="1671" spans="1:13">
      <c r="A1671" s="1">
        <f>HYPERLINK("http://www.twitter.com/NathanBLawrence/status/993583532890050560", "993583532890050560")</f>
        <v/>
      </c>
      <c r="B1671" s="2" t="n">
        <v>43227.83967592593</v>
      </c>
      <c r="C1671" t="n">
        <v>0</v>
      </c>
      <c r="D1671" t="n">
        <v>18</v>
      </c>
      <c r="E1671" t="s">
        <v>1659</v>
      </c>
      <c r="F1671">
        <f>HYPERLINK("http://pbs.twimg.com/media/Dcnq525U0AAroQj.jpg", "http://pbs.twimg.com/media/Dcnq525U0AAroQj.jpg")</f>
        <v/>
      </c>
      <c r="G1671">
        <f>HYPERLINK("http://pbs.twimg.com/media/Dcnq6z9VAAAL5br.jpg", "http://pbs.twimg.com/media/Dcnq6z9VAAAL5br.jpg")</f>
        <v/>
      </c>
      <c r="H1671">
        <f>HYPERLINK("http://pbs.twimg.com/media/Dcnq7MsUwAAZadH.jpg", "http://pbs.twimg.com/media/Dcnq7MsUwAAZadH.jpg")</f>
        <v/>
      </c>
      <c r="I1671" t="s"/>
      <c r="J1671" t="n">
        <v>0.5204</v>
      </c>
      <c r="K1671" t="n">
        <v>0</v>
      </c>
      <c r="L1671" t="n">
        <v>0.856</v>
      </c>
      <c r="M1671" t="n">
        <v>0.144</v>
      </c>
    </row>
    <row r="1672" spans="1:13">
      <c r="A1672" s="1">
        <f>HYPERLINK("http://www.twitter.com/NathanBLawrence/status/993583502439395328", "993583502439395328")</f>
        <v/>
      </c>
      <c r="B1672" s="2" t="n">
        <v>43227.8395949074</v>
      </c>
      <c r="C1672" t="n">
        <v>20</v>
      </c>
      <c r="D1672" t="n">
        <v>18</v>
      </c>
      <c r="E1672" t="s">
        <v>1660</v>
      </c>
      <c r="F1672">
        <f>HYPERLINK("http://pbs.twimg.com/media/Dcnq525U0AAroQj.jpg", "http://pbs.twimg.com/media/Dcnq525U0AAroQj.jpg")</f>
        <v/>
      </c>
      <c r="G1672">
        <f>HYPERLINK("http://pbs.twimg.com/media/Dcnq6z9VAAAL5br.jpg", "http://pbs.twimg.com/media/Dcnq6z9VAAAL5br.jpg")</f>
        <v/>
      </c>
      <c r="H1672">
        <f>HYPERLINK("http://pbs.twimg.com/media/Dcnq7MsUwAAZadH.jpg", "http://pbs.twimg.com/media/Dcnq7MsUwAAZadH.jpg")</f>
        <v/>
      </c>
      <c r="I1672" t="s"/>
      <c r="J1672" t="n">
        <v>0.644</v>
      </c>
      <c r="K1672" t="n">
        <v>0</v>
      </c>
      <c r="L1672" t="n">
        <v>0.881</v>
      </c>
      <c r="M1672" t="n">
        <v>0.119</v>
      </c>
    </row>
    <row r="1673" spans="1:13">
      <c r="A1673" s="1">
        <f>HYPERLINK("http://www.twitter.com/NathanBLawrence/status/993580301145247744", "993580301145247744")</f>
        <v/>
      </c>
      <c r="B1673" s="2" t="n">
        <v>43227.83076388889</v>
      </c>
      <c r="C1673" t="n">
        <v>0</v>
      </c>
      <c r="D1673" t="n">
        <v>7</v>
      </c>
      <c r="E1673" t="s">
        <v>1661</v>
      </c>
      <c r="F1673">
        <f>HYPERLINK("http://pbs.twimg.com/media/Dcnn7iiXkAAqp2v.jpg", "http://pbs.twimg.com/media/Dcnn7iiXkAAqp2v.jpg")</f>
        <v/>
      </c>
      <c r="G1673">
        <f>HYPERLINK("http://pbs.twimg.com/media/Dcnn7ieXcAAQWAM.jpg", "http://pbs.twimg.com/media/Dcnn7ieXcAAQWAM.jpg")</f>
        <v/>
      </c>
      <c r="H1673">
        <f>HYPERLINK("http://pbs.twimg.com/media/Dcnn7iqW4AYCHAQ.jpg", "http://pbs.twimg.com/media/Dcnn7iqW4AYCHAQ.jpg")</f>
        <v/>
      </c>
      <c r="I1673">
        <f>HYPERLINK("http://pbs.twimg.com/media/Dcnn7i3WsAAe-pK.jpg", "http://pbs.twimg.com/media/Dcnn7i3WsAAe-pK.jpg")</f>
        <v/>
      </c>
      <c r="J1673" t="n">
        <v>0.08359999999999999</v>
      </c>
      <c r="K1673" t="n">
        <v>0.136</v>
      </c>
      <c r="L1673" t="n">
        <v>0.709</v>
      </c>
      <c r="M1673" t="n">
        <v>0.154</v>
      </c>
    </row>
    <row r="1674" spans="1:13">
      <c r="A1674" s="1">
        <f>HYPERLINK("http://www.twitter.com/NathanBLawrence/status/993580216852328450", "993580216852328450")</f>
        <v/>
      </c>
      <c r="B1674" s="2" t="n">
        <v>43227.83053240741</v>
      </c>
      <c r="C1674" t="n">
        <v>8</v>
      </c>
      <c r="D1674" t="n">
        <v>7</v>
      </c>
      <c r="E1674" t="s">
        <v>1662</v>
      </c>
      <c r="F1674">
        <f>HYPERLINK("http://pbs.twimg.com/media/Dcnn7iiXkAAqp2v.jpg", "http://pbs.twimg.com/media/Dcnn7iiXkAAqp2v.jpg")</f>
        <v/>
      </c>
      <c r="G1674">
        <f>HYPERLINK("http://pbs.twimg.com/media/Dcnn7ieXcAAQWAM.jpg", "http://pbs.twimg.com/media/Dcnn7ieXcAAQWAM.jpg")</f>
        <v/>
      </c>
      <c r="H1674">
        <f>HYPERLINK("http://pbs.twimg.com/media/Dcnn7iqW4AYCHAQ.jpg", "http://pbs.twimg.com/media/Dcnn7iqW4AYCHAQ.jpg")</f>
        <v/>
      </c>
      <c r="I1674">
        <f>HYPERLINK("http://pbs.twimg.com/media/Dcnn7i3WsAAe-pK.jpg", "http://pbs.twimg.com/media/Dcnn7i3WsAAe-pK.jpg")</f>
        <v/>
      </c>
      <c r="J1674" t="n">
        <v>0.08359999999999999</v>
      </c>
      <c r="K1674" t="n">
        <v>0.08799999999999999</v>
      </c>
      <c r="L1674" t="n">
        <v>0.8120000000000001</v>
      </c>
      <c r="M1674" t="n">
        <v>0.1</v>
      </c>
    </row>
    <row r="1675" spans="1:13">
      <c r="A1675" s="1">
        <f>HYPERLINK("http://www.twitter.com/NathanBLawrence/status/993578472088973312", "993578472088973312")</f>
        <v/>
      </c>
      <c r="B1675" s="2" t="n">
        <v>43227.82571759259</v>
      </c>
      <c r="C1675" t="n">
        <v>0</v>
      </c>
      <c r="D1675" t="n">
        <v>5</v>
      </c>
      <c r="E1675" t="s">
        <v>1663</v>
      </c>
      <c r="F1675" t="s"/>
      <c r="G1675" t="s"/>
      <c r="H1675" t="s"/>
      <c r="I1675" t="s"/>
      <c r="J1675" t="n">
        <v>0.4939</v>
      </c>
      <c r="K1675" t="n">
        <v>0.08599999999999999</v>
      </c>
      <c r="L1675" t="n">
        <v>0.703</v>
      </c>
      <c r="M1675" t="n">
        <v>0.211</v>
      </c>
    </row>
    <row r="1676" spans="1:13">
      <c r="A1676" s="1">
        <f>HYPERLINK("http://www.twitter.com/NathanBLawrence/status/993578446675759104", "993578446675759104")</f>
        <v/>
      </c>
      <c r="B1676" s="2" t="n">
        <v>43227.82564814815</v>
      </c>
      <c r="C1676" t="n">
        <v>0</v>
      </c>
      <c r="D1676" t="n">
        <v>7</v>
      </c>
      <c r="E1676" t="s">
        <v>1664</v>
      </c>
      <c r="F1676">
        <f>HYPERLINK("http://pbs.twimg.com/media/DcjRY5-XcAA9At-.jpg", "http://pbs.twimg.com/media/DcjRY5-XcAA9At-.jpg")</f>
        <v/>
      </c>
      <c r="G1676">
        <f>HYPERLINK("http://pbs.twimg.com/media/DcjRZDPWkAU8FrO.jpg", "http://pbs.twimg.com/media/DcjRZDPWkAU8FrO.jpg")</f>
        <v/>
      </c>
      <c r="H1676">
        <f>HYPERLINK("http://pbs.twimg.com/media/DcjRZLfWsAE-mvM.jpg", "http://pbs.twimg.com/media/DcjRZLfWsAE-mvM.jpg")</f>
        <v/>
      </c>
      <c r="I1676">
        <f>HYPERLINK("http://pbs.twimg.com/media/DcjRZUZW0AA9MOw.jpg", "http://pbs.twimg.com/media/DcjRZUZW0AA9MOw.jpg")</f>
        <v/>
      </c>
      <c r="J1676" t="n">
        <v>-0.8038</v>
      </c>
      <c r="K1676" t="n">
        <v>0.247</v>
      </c>
      <c r="L1676" t="n">
        <v>0.753</v>
      </c>
      <c r="M1676" t="n">
        <v>0</v>
      </c>
    </row>
    <row r="1677" spans="1:13">
      <c r="A1677" s="1">
        <f>HYPERLINK("http://www.twitter.com/NathanBLawrence/status/993578308322430976", "993578308322430976")</f>
        <v/>
      </c>
      <c r="B1677" s="2" t="n">
        <v>43227.8252662037</v>
      </c>
      <c r="C1677" t="n">
        <v>0</v>
      </c>
      <c r="D1677" t="n">
        <v>12</v>
      </c>
      <c r="E1677" t="s">
        <v>1665</v>
      </c>
      <c r="F1677" t="s"/>
      <c r="G1677" t="s"/>
      <c r="H1677" t="s"/>
      <c r="I1677" t="s"/>
      <c r="J1677" t="n">
        <v>0</v>
      </c>
      <c r="K1677" t="n">
        <v>0</v>
      </c>
      <c r="L1677" t="n">
        <v>1</v>
      </c>
      <c r="M1677" t="n">
        <v>0</v>
      </c>
    </row>
    <row r="1678" spans="1:13">
      <c r="A1678" s="1">
        <f>HYPERLINK("http://www.twitter.com/NathanBLawrence/status/993578266932994049", "993578266932994049")</f>
        <v/>
      </c>
      <c r="B1678" s="2" t="n">
        <v>43227.82515046297</v>
      </c>
      <c r="C1678" t="n">
        <v>0</v>
      </c>
      <c r="D1678" t="n">
        <v>0</v>
      </c>
      <c r="E1678" t="s">
        <v>1666</v>
      </c>
      <c r="F1678" t="s"/>
      <c r="G1678" t="s"/>
      <c r="H1678" t="s"/>
      <c r="I1678" t="s"/>
      <c r="J1678" t="n">
        <v>0</v>
      </c>
      <c r="K1678" t="n">
        <v>0</v>
      </c>
      <c r="L1678" t="n">
        <v>1</v>
      </c>
      <c r="M1678" t="n">
        <v>0</v>
      </c>
    </row>
    <row r="1679" spans="1:13">
      <c r="A1679" s="1">
        <f>HYPERLINK("http://www.twitter.com/NathanBLawrence/status/993574538284806149", "993574538284806149")</f>
        <v/>
      </c>
      <c r="B1679" s="2" t="n">
        <v>43227.81486111111</v>
      </c>
      <c r="C1679" t="n">
        <v>0</v>
      </c>
      <c r="D1679" t="n">
        <v>17</v>
      </c>
      <c r="E1679" t="s">
        <v>1667</v>
      </c>
      <c r="F1679">
        <f>HYPERLINK("http://pbs.twimg.com/media/Dcniv1-XcAIiCa-.jpg", "http://pbs.twimg.com/media/Dcniv1-XcAIiCa-.jpg")</f>
        <v/>
      </c>
      <c r="G1679" t="s"/>
      <c r="H1679" t="s"/>
      <c r="I1679" t="s"/>
      <c r="J1679" t="n">
        <v>0.6909</v>
      </c>
      <c r="K1679" t="n">
        <v>0</v>
      </c>
      <c r="L1679" t="n">
        <v>0.783</v>
      </c>
      <c r="M1679" t="n">
        <v>0.217</v>
      </c>
    </row>
    <row r="1680" spans="1:13">
      <c r="A1680" s="1">
        <f>HYPERLINK("http://www.twitter.com/NathanBLawrence/status/993574509843271685", "993574509843271685")</f>
        <v/>
      </c>
      <c r="B1680" s="2" t="n">
        <v>43227.81478009259</v>
      </c>
      <c r="C1680" t="n">
        <v>16</v>
      </c>
      <c r="D1680" t="n">
        <v>17</v>
      </c>
      <c r="E1680" t="s">
        <v>1668</v>
      </c>
      <c r="F1680">
        <f>HYPERLINK("http://pbs.twimg.com/media/Dcniv1-XcAIiCa-.jpg", "http://pbs.twimg.com/media/Dcniv1-XcAIiCa-.jpg")</f>
        <v/>
      </c>
      <c r="G1680" t="s"/>
      <c r="H1680" t="s"/>
      <c r="I1680" t="s"/>
      <c r="J1680" t="n">
        <v>0.9422</v>
      </c>
      <c r="K1680" t="n">
        <v>0</v>
      </c>
      <c r="L1680" t="n">
        <v>0.695</v>
      </c>
      <c r="M1680" t="n">
        <v>0.305</v>
      </c>
    </row>
    <row r="1681" spans="1:13">
      <c r="A1681" s="1">
        <f>HYPERLINK("http://www.twitter.com/NathanBLawrence/status/993570020570562563", "993570020570562563")</f>
        <v/>
      </c>
      <c r="B1681" s="2" t="n">
        <v>43227.80239583334</v>
      </c>
      <c r="C1681" t="n">
        <v>0</v>
      </c>
      <c r="D1681" t="n">
        <v>3</v>
      </c>
      <c r="E1681" t="s">
        <v>1669</v>
      </c>
      <c r="F1681">
        <f>HYPERLINK("http://pbs.twimg.com/media/DcnQU4CUwAM5XGk.jpg", "http://pbs.twimg.com/media/DcnQU4CUwAM5XGk.jpg")</f>
        <v/>
      </c>
      <c r="G1681" t="s"/>
      <c r="H1681" t="s"/>
      <c r="I1681" t="s"/>
      <c r="J1681" t="n">
        <v>0.3182</v>
      </c>
      <c r="K1681" t="n">
        <v>0</v>
      </c>
      <c r="L1681" t="n">
        <v>0.874</v>
      </c>
      <c r="M1681" t="n">
        <v>0.126</v>
      </c>
    </row>
    <row r="1682" spans="1:13">
      <c r="A1682" s="1">
        <f>HYPERLINK("http://www.twitter.com/NathanBLawrence/status/993570006616113152", "993570006616113152")</f>
        <v/>
      </c>
      <c r="B1682" s="2" t="n">
        <v>43227.80234953704</v>
      </c>
      <c r="C1682" t="n">
        <v>0</v>
      </c>
      <c r="D1682" t="n">
        <v>1</v>
      </c>
      <c r="E1682" t="s">
        <v>1670</v>
      </c>
      <c r="F1682" t="s"/>
      <c r="G1682" t="s"/>
      <c r="H1682" t="s"/>
      <c r="I1682" t="s"/>
      <c r="J1682" t="n">
        <v>-0.296</v>
      </c>
      <c r="K1682" t="n">
        <v>0.099</v>
      </c>
      <c r="L1682" t="n">
        <v>0.901</v>
      </c>
      <c r="M1682" t="n">
        <v>0</v>
      </c>
    </row>
    <row r="1683" spans="1:13">
      <c r="A1683" s="1">
        <f>HYPERLINK("http://www.twitter.com/NathanBLawrence/status/993563169162432515", "993563169162432515")</f>
        <v/>
      </c>
      <c r="B1683" s="2" t="n">
        <v>43227.78348379629</v>
      </c>
      <c r="C1683" t="n">
        <v>0</v>
      </c>
      <c r="D1683" t="n">
        <v>10</v>
      </c>
      <c r="E1683" t="s">
        <v>1671</v>
      </c>
      <c r="F1683" t="s"/>
      <c r="G1683" t="s"/>
      <c r="H1683" t="s"/>
      <c r="I1683" t="s"/>
      <c r="J1683" t="n">
        <v>-0.7783</v>
      </c>
      <c r="K1683" t="n">
        <v>0.317</v>
      </c>
      <c r="L1683" t="n">
        <v>0.6830000000000001</v>
      </c>
      <c r="M1683" t="n">
        <v>0</v>
      </c>
    </row>
    <row r="1684" spans="1:13">
      <c r="A1684" s="1">
        <f>HYPERLINK("http://www.twitter.com/NathanBLawrence/status/993563149336039424", "993563149336039424")</f>
        <v/>
      </c>
      <c r="B1684" s="2" t="n">
        <v>43227.78342592593</v>
      </c>
      <c r="C1684" t="n">
        <v>0</v>
      </c>
      <c r="D1684" t="n">
        <v>48</v>
      </c>
      <c r="E1684" t="s">
        <v>1672</v>
      </c>
      <c r="F1684" t="s"/>
      <c r="G1684" t="s"/>
      <c r="H1684" t="s"/>
      <c r="I1684" t="s"/>
      <c r="J1684" t="n">
        <v>0.6369</v>
      </c>
      <c r="K1684" t="n">
        <v>0.158</v>
      </c>
      <c r="L1684" t="n">
        <v>0.548</v>
      </c>
      <c r="M1684" t="n">
        <v>0.294</v>
      </c>
    </row>
    <row r="1685" spans="1:13">
      <c r="A1685" s="1">
        <f>HYPERLINK("http://www.twitter.com/NathanBLawrence/status/993563135754809344", "993563135754809344")</f>
        <v/>
      </c>
      <c r="B1685" s="2" t="n">
        <v>43227.7833912037</v>
      </c>
      <c r="C1685" t="n">
        <v>0</v>
      </c>
      <c r="D1685" t="n">
        <v>5</v>
      </c>
      <c r="E1685" t="s">
        <v>1673</v>
      </c>
      <c r="F1685" t="s"/>
      <c r="G1685" t="s"/>
      <c r="H1685" t="s"/>
      <c r="I1685" t="s"/>
      <c r="J1685" t="n">
        <v>-0.3304</v>
      </c>
      <c r="K1685" t="n">
        <v>0.14</v>
      </c>
      <c r="L1685" t="n">
        <v>0.778</v>
      </c>
      <c r="M1685" t="n">
        <v>0.082</v>
      </c>
    </row>
    <row r="1686" spans="1:13">
      <c r="A1686" s="1">
        <f>HYPERLINK("http://www.twitter.com/NathanBLawrence/status/993563112023515136", "993563112023515136")</f>
        <v/>
      </c>
      <c r="B1686" s="2" t="n">
        <v>43227.78333333333</v>
      </c>
      <c r="C1686" t="n">
        <v>0</v>
      </c>
      <c r="D1686" t="n">
        <v>28</v>
      </c>
      <c r="E1686" t="s">
        <v>1674</v>
      </c>
      <c r="F1686" t="s"/>
      <c r="G1686" t="s"/>
      <c r="H1686" t="s"/>
      <c r="I1686" t="s"/>
      <c r="J1686" t="n">
        <v>0.25</v>
      </c>
      <c r="K1686" t="n">
        <v>0.062</v>
      </c>
      <c r="L1686" t="n">
        <v>0.839</v>
      </c>
      <c r="M1686" t="n">
        <v>0.099</v>
      </c>
    </row>
    <row r="1687" spans="1:13">
      <c r="A1687" s="1">
        <f>HYPERLINK("http://www.twitter.com/NathanBLawrence/status/993563101126684672", "993563101126684672")</f>
        <v/>
      </c>
      <c r="B1687" s="2" t="n">
        <v>43227.78329861111</v>
      </c>
      <c r="C1687" t="n">
        <v>0</v>
      </c>
      <c r="D1687" t="n">
        <v>61</v>
      </c>
      <c r="E1687" t="s">
        <v>1675</v>
      </c>
      <c r="F1687" t="s"/>
      <c r="G1687" t="s"/>
      <c r="H1687" t="s"/>
      <c r="I1687" t="s"/>
      <c r="J1687" t="n">
        <v>-0.0516</v>
      </c>
      <c r="K1687" t="n">
        <v>0.12</v>
      </c>
      <c r="L1687" t="n">
        <v>0.769</v>
      </c>
      <c r="M1687" t="n">
        <v>0.111</v>
      </c>
    </row>
    <row r="1688" spans="1:13">
      <c r="A1688" s="1">
        <f>HYPERLINK("http://www.twitter.com/NathanBLawrence/status/993563071846248449", "993563071846248449")</f>
        <v/>
      </c>
      <c r="B1688" s="2" t="n">
        <v>43227.78321759259</v>
      </c>
      <c r="C1688" t="n">
        <v>0</v>
      </c>
      <c r="D1688" t="n">
        <v>76</v>
      </c>
      <c r="E1688" t="s">
        <v>1676</v>
      </c>
      <c r="F1688" t="s"/>
      <c r="G1688" t="s"/>
      <c r="H1688" t="s"/>
      <c r="I1688" t="s"/>
      <c r="J1688" t="n">
        <v>0</v>
      </c>
      <c r="K1688" t="n">
        <v>0</v>
      </c>
      <c r="L1688" t="n">
        <v>1</v>
      </c>
      <c r="M1688" t="n">
        <v>0</v>
      </c>
    </row>
    <row r="1689" spans="1:13">
      <c r="A1689" s="1">
        <f>HYPERLINK("http://www.twitter.com/NathanBLawrence/status/993563059556962308", "993563059556962308")</f>
        <v/>
      </c>
      <c r="B1689" s="2" t="n">
        <v>43227.78318287037</v>
      </c>
      <c r="C1689" t="n">
        <v>0</v>
      </c>
      <c r="D1689" t="n">
        <v>158</v>
      </c>
      <c r="E1689" t="s">
        <v>1677</v>
      </c>
      <c r="F1689" t="s"/>
      <c r="G1689" t="s"/>
      <c r="H1689" t="s"/>
      <c r="I1689" t="s"/>
      <c r="J1689" t="n">
        <v>-0.1779</v>
      </c>
      <c r="K1689" t="n">
        <v>0.147</v>
      </c>
      <c r="L1689" t="n">
        <v>0.736</v>
      </c>
      <c r="M1689" t="n">
        <v>0.117</v>
      </c>
    </row>
    <row r="1690" spans="1:13">
      <c r="A1690" s="1">
        <f>HYPERLINK("http://www.twitter.com/NathanBLawrence/status/993563045640228864", "993563045640228864")</f>
        <v/>
      </c>
      <c r="B1690" s="2" t="n">
        <v>43227.78314814815</v>
      </c>
      <c r="C1690" t="n">
        <v>0</v>
      </c>
      <c r="D1690" t="n">
        <v>83</v>
      </c>
      <c r="E1690" t="s">
        <v>1678</v>
      </c>
      <c r="F1690" t="s"/>
      <c r="G1690" t="s"/>
      <c r="H1690" t="s"/>
      <c r="I1690" t="s"/>
      <c r="J1690" t="n">
        <v>-0.5266999999999999</v>
      </c>
      <c r="K1690" t="n">
        <v>0.217</v>
      </c>
      <c r="L1690" t="n">
        <v>0.6879999999999999</v>
      </c>
      <c r="M1690" t="n">
        <v>0.094</v>
      </c>
    </row>
    <row r="1691" spans="1:13">
      <c r="A1691" s="1">
        <f>HYPERLINK("http://www.twitter.com/NathanBLawrence/status/993562975616339968", "993562975616339968")</f>
        <v/>
      </c>
      <c r="B1691" s="2" t="n">
        <v>43227.78295138889</v>
      </c>
      <c r="C1691" t="n">
        <v>0</v>
      </c>
      <c r="D1691" t="n">
        <v>40</v>
      </c>
      <c r="E1691" t="s">
        <v>1679</v>
      </c>
      <c r="F1691">
        <f>HYPERLINK("http://pbs.twimg.com/media/DckGcHnUQAUY_Sv.jpg", "http://pbs.twimg.com/media/DckGcHnUQAUY_Sv.jpg")</f>
        <v/>
      </c>
      <c r="G1691" t="s"/>
      <c r="H1691" t="s"/>
      <c r="I1691" t="s"/>
      <c r="J1691" t="n">
        <v>0</v>
      </c>
      <c r="K1691" t="n">
        <v>0</v>
      </c>
      <c r="L1691" t="n">
        <v>1</v>
      </c>
      <c r="M1691" t="n">
        <v>0</v>
      </c>
    </row>
    <row r="1692" spans="1:13">
      <c r="A1692" s="1">
        <f>HYPERLINK("http://www.twitter.com/NathanBLawrence/status/993554644113686529", "993554644113686529")</f>
        <v/>
      </c>
      <c r="B1692" s="2" t="n">
        <v>43227.75996527778</v>
      </c>
      <c r="C1692" t="n">
        <v>0</v>
      </c>
      <c r="D1692" t="n">
        <v>712</v>
      </c>
      <c r="E1692" t="s">
        <v>1680</v>
      </c>
      <c r="F1692">
        <f>HYPERLINK("https://video.twimg.com/amplify_video/993313047975428098/vid/1280x720/7zOaO3rwANeWxaJN.mp4?tag=2", "https://video.twimg.com/amplify_video/993313047975428098/vid/1280x720/7zOaO3rwANeWxaJN.mp4?tag=2")</f>
        <v/>
      </c>
      <c r="G1692" t="s"/>
      <c r="H1692" t="s"/>
      <c r="I1692" t="s"/>
      <c r="J1692" t="n">
        <v>-0.1007</v>
      </c>
      <c r="K1692" t="n">
        <v>0.167</v>
      </c>
      <c r="L1692" t="n">
        <v>0.679</v>
      </c>
      <c r="M1692" t="n">
        <v>0.154</v>
      </c>
    </row>
    <row r="1693" spans="1:13">
      <c r="A1693" s="1">
        <f>HYPERLINK("http://www.twitter.com/NathanBLawrence/status/993554551050563584", "993554551050563584")</f>
        <v/>
      </c>
      <c r="B1693" s="2" t="n">
        <v>43227.75969907407</v>
      </c>
      <c r="C1693" t="n">
        <v>0</v>
      </c>
      <c r="D1693" t="n">
        <v>716</v>
      </c>
      <c r="E1693" t="s">
        <v>1681</v>
      </c>
      <c r="F1693" t="s"/>
      <c r="G1693" t="s"/>
      <c r="H1693" t="s"/>
      <c r="I1693" t="s"/>
      <c r="J1693" t="n">
        <v>-0.3818</v>
      </c>
      <c r="K1693" t="n">
        <v>0.117</v>
      </c>
      <c r="L1693" t="n">
        <v>0.827</v>
      </c>
      <c r="M1693" t="n">
        <v>0.056</v>
      </c>
    </row>
    <row r="1694" spans="1:13">
      <c r="A1694" s="1">
        <f>HYPERLINK("http://www.twitter.com/NathanBLawrence/status/993553778581426177", "993553778581426177")</f>
        <v/>
      </c>
      <c r="B1694" s="2" t="n">
        <v>43227.75756944445</v>
      </c>
      <c r="C1694" t="n">
        <v>0</v>
      </c>
      <c r="D1694" t="n">
        <v>17480</v>
      </c>
      <c r="E1694" t="s">
        <v>1682</v>
      </c>
      <c r="F1694" t="s"/>
      <c r="G1694" t="s"/>
      <c r="H1694" t="s"/>
      <c r="I1694" t="s"/>
      <c r="J1694" t="n">
        <v>0</v>
      </c>
      <c r="K1694" t="n">
        <v>0</v>
      </c>
      <c r="L1694" t="n">
        <v>1</v>
      </c>
      <c r="M1694" t="n">
        <v>0</v>
      </c>
    </row>
    <row r="1695" spans="1:13">
      <c r="A1695" s="1">
        <f>HYPERLINK("http://www.twitter.com/NathanBLawrence/status/993492838808776704", "993492838808776704")</f>
        <v/>
      </c>
      <c r="B1695" s="2" t="n">
        <v>43227.58940972222</v>
      </c>
      <c r="C1695" t="n">
        <v>0</v>
      </c>
      <c r="D1695" t="n">
        <v>12</v>
      </c>
      <c r="E1695" t="s">
        <v>1683</v>
      </c>
      <c r="F1695">
        <f>HYPERLINK("http://pbs.twimg.com/media/DcmWMWYXcAEUvvx.jpg", "http://pbs.twimg.com/media/DcmWMWYXcAEUvvx.jpg")</f>
        <v/>
      </c>
      <c r="G1695" t="s"/>
      <c r="H1695" t="s"/>
      <c r="I1695" t="s"/>
      <c r="J1695" t="n">
        <v>-0.4098</v>
      </c>
      <c r="K1695" t="n">
        <v>0.154</v>
      </c>
      <c r="L1695" t="n">
        <v>0.846</v>
      </c>
      <c r="M1695" t="n">
        <v>0</v>
      </c>
    </row>
    <row r="1696" spans="1:13">
      <c r="A1696" s="1">
        <f>HYPERLINK("http://www.twitter.com/NathanBLawrence/status/993482450226548736", "993482450226548736")</f>
        <v/>
      </c>
      <c r="B1696" s="2" t="n">
        <v>43227.56074074074</v>
      </c>
      <c r="C1696" t="n">
        <v>0</v>
      </c>
      <c r="D1696" t="n">
        <v>7</v>
      </c>
      <c r="E1696" t="s">
        <v>1684</v>
      </c>
      <c r="F1696" t="s"/>
      <c r="G1696" t="s"/>
      <c r="H1696" t="s"/>
      <c r="I1696" t="s"/>
      <c r="J1696" t="n">
        <v>-0.296</v>
      </c>
      <c r="K1696" t="n">
        <v>0.115</v>
      </c>
      <c r="L1696" t="n">
        <v>0.885</v>
      </c>
      <c r="M1696" t="n">
        <v>0</v>
      </c>
    </row>
    <row r="1697" spans="1:13">
      <c r="A1697" s="1">
        <f>HYPERLINK("http://www.twitter.com/NathanBLawrence/status/993482430618234880", "993482430618234880")</f>
        <v/>
      </c>
      <c r="B1697" s="2" t="n">
        <v>43227.56069444444</v>
      </c>
      <c r="C1697" t="n">
        <v>0</v>
      </c>
      <c r="D1697" t="n">
        <v>12</v>
      </c>
      <c r="E1697" t="s">
        <v>1685</v>
      </c>
      <c r="F1697">
        <f>HYPERLINK("http://pbs.twimg.com/media/DcmBddFW4AAX3Ip.jpg", "http://pbs.twimg.com/media/DcmBddFW4AAX3Ip.jpg")</f>
        <v/>
      </c>
      <c r="G1697">
        <f>HYPERLINK("http://pbs.twimg.com/media/DcmBeqvWkAAT7XP.jpg", "http://pbs.twimg.com/media/DcmBeqvWkAAT7XP.jpg")</f>
        <v/>
      </c>
      <c r="H1697">
        <f>HYPERLINK("http://pbs.twimg.com/media/DcmBfoLX4AEBwMd.jpg", "http://pbs.twimg.com/media/DcmBfoLX4AEBwMd.jpg")</f>
        <v/>
      </c>
      <c r="I1697">
        <f>HYPERLINK("http://pbs.twimg.com/media/DcmBg5PXkAAeOsB.jpg", "http://pbs.twimg.com/media/DcmBg5PXkAAeOsB.jpg")</f>
        <v/>
      </c>
      <c r="J1697" t="n">
        <v>0</v>
      </c>
      <c r="K1697" t="n">
        <v>0</v>
      </c>
      <c r="L1697" t="n">
        <v>1</v>
      </c>
      <c r="M1697" t="n">
        <v>0</v>
      </c>
    </row>
    <row r="1698" spans="1:13">
      <c r="A1698" s="1">
        <f>HYPERLINK("http://www.twitter.com/NathanBLawrence/status/993482402461831169", "993482402461831169")</f>
        <v/>
      </c>
      <c r="B1698" s="2" t="n">
        <v>43227.56061342593</v>
      </c>
      <c r="C1698" t="n">
        <v>0</v>
      </c>
      <c r="D1698" t="n">
        <v>13</v>
      </c>
      <c r="E1698" t="s">
        <v>1686</v>
      </c>
      <c r="F1698">
        <f>HYPERLINK("http://pbs.twimg.com/media/DcmFJ-pV4AA8wNJ.jpg", "http://pbs.twimg.com/media/DcmFJ-pV4AA8wNJ.jpg")</f>
        <v/>
      </c>
      <c r="G1698" t="s"/>
      <c r="H1698" t="s"/>
      <c r="I1698" t="s"/>
      <c r="J1698" t="n">
        <v>-0.7783</v>
      </c>
      <c r="K1698" t="n">
        <v>0.317</v>
      </c>
      <c r="L1698" t="n">
        <v>0.6830000000000001</v>
      </c>
      <c r="M1698" t="n">
        <v>0</v>
      </c>
    </row>
    <row r="1699" spans="1:13">
      <c r="A1699" s="1">
        <f>HYPERLINK("http://www.twitter.com/NathanBLawrence/status/993479635714412545", "993479635714412545")</f>
        <v/>
      </c>
      <c r="B1699" s="2" t="n">
        <v>43227.55297453704</v>
      </c>
      <c r="C1699" t="n">
        <v>0</v>
      </c>
      <c r="D1699" t="n">
        <v>15</v>
      </c>
      <c r="E1699" t="s">
        <v>1687</v>
      </c>
      <c r="F1699">
        <f>HYPERLINK("http://pbs.twimg.com/media/DcmLm5LU8AIr2bi.jpg", "http://pbs.twimg.com/media/DcmLm5LU8AIr2bi.jpg")</f>
        <v/>
      </c>
      <c r="G1699" t="s"/>
      <c r="H1699" t="s"/>
      <c r="I1699" t="s"/>
      <c r="J1699" t="n">
        <v>0.4648</v>
      </c>
      <c r="K1699" t="n">
        <v>0</v>
      </c>
      <c r="L1699" t="n">
        <v>0.879</v>
      </c>
      <c r="M1699" t="n">
        <v>0.121</v>
      </c>
    </row>
    <row r="1700" spans="1:13">
      <c r="A1700" s="1">
        <f>HYPERLINK("http://www.twitter.com/NathanBLawrence/status/993479136579674113", "993479136579674113")</f>
        <v/>
      </c>
      <c r="B1700" s="2" t="n">
        <v>43227.55159722222</v>
      </c>
      <c r="C1700" t="n">
        <v>0</v>
      </c>
      <c r="D1700" t="n">
        <v>19</v>
      </c>
      <c r="E1700" t="s">
        <v>1688</v>
      </c>
      <c r="F1700">
        <f>HYPERLINK("http://pbs.twimg.com/media/DcmK_xuXUAIlMnd.jpg", "http://pbs.twimg.com/media/DcmK_xuXUAIlMnd.jpg")</f>
        <v/>
      </c>
      <c r="G1700" t="s"/>
      <c r="H1700" t="s"/>
      <c r="I1700" t="s"/>
      <c r="J1700" t="n">
        <v>0.5162</v>
      </c>
      <c r="K1700" t="n">
        <v>0.068</v>
      </c>
      <c r="L1700" t="n">
        <v>0.73</v>
      </c>
      <c r="M1700" t="n">
        <v>0.203</v>
      </c>
    </row>
    <row r="1701" spans="1:13">
      <c r="A1701" s="1">
        <f>HYPERLINK("http://www.twitter.com/NathanBLawrence/status/993478033322504193", "993478033322504193")</f>
        <v/>
      </c>
      <c r="B1701" s="2" t="n">
        <v>43227.54855324074</v>
      </c>
      <c r="C1701" t="n">
        <v>21</v>
      </c>
      <c r="D1701" t="n">
        <v>19</v>
      </c>
      <c r="E1701" t="s">
        <v>1689</v>
      </c>
      <c r="F1701">
        <f>HYPERLINK("http://pbs.twimg.com/media/DcmK_xuXUAIlMnd.jpg", "http://pbs.twimg.com/media/DcmK_xuXUAIlMnd.jpg")</f>
        <v/>
      </c>
      <c r="G1701" t="s"/>
      <c r="H1701" t="s"/>
      <c r="I1701" t="s"/>
      <c r="J1701" t="n">
        <v>0.4707</v>
      </c>
      <c r="K1701" t="n">
        <v>0.074</v>
      </c>
      <c r="L1701" t="n">
        <v>0.8100000000000001</v>
      </c>
      <c r="M1701" t="n">
        <v>0.115</v>
      </c>
    </row>
    <row r="1702" spans="1:13">
      <c r="A1702" s="1">
        <f>HYPERLINK("http://www.twitter.com/NathanBLawrence/status/993475958643613696", "993475958643613696")</f>
        <v/>
      </c>
      <c r="B1702" s="2" t="n">
        <v>43227.54283564815</v>
      </c>
      <c r="C1702" t="n">
        <v>0</v>
      </c>
      <c r="D1702" t="n">
        <v>3</v>
      </c>
      <c r="E1702" t="s">
        <v>1690</v>
      </c>
      <c r="F1702" t="s"/>
      <c r="G1702" t="s"/>
      <c r="H1702" t="s"/>
      <c r="I1702" t="s"/>
      <c r="J1702" t="n">
        <v>0</v>
      </c>
      <c r="K1702" t="n">
        <v>0</v>
      </c>
      <c r="L1702" t="n">
        <v>1</v>
      </c>
      <c r="M1702" t="n">
        <v>0</v>
      </c>
    </row>
    <row r="1703" spans="1:13">
      <c r="A1703" s="1">
        <f>HYPERLINK("http://www.twitter.com/NathanBLawrence/status/993470526923378688", "993470526923378688")</f>
        <v/>
      </c>
      <c r="B1703" s="2" t="n">
        <v>43227.52784722222</v>
      </c>
      <c r="C1703" t="n">
        <v>40</v>
      </c>
      <c r="D1703" t="n">
        <v>33</v>
      </c>
      <c r="E1703" t="s">
        <v>1691</v>
      </c>
      <c r="F1703">
        <f>HYPERLINK("http://pbs.twimg.com/media/DcmEK5wWsAUm-8m.jpg", "http://pbs.twimg.com/media/DcmEK5wWsAUm-8m.jpg")</f>
        <v/>
      </c>
      <c r="G1703" t="s"/>
      <c r="H1703" t="s"/>
      <c r="I1703" t="s"/>
      <c r="J1703" t="n">
        <v>-0.5423</v>
      </c>
      <c r="K1703" t="n">
        <v>0.075</v>
      </c>
      <c r="L1703" t="n">
        <v>0.925</v>
      </c>
      <c r="M1703" t="n">
        <v>0</v>
      </c>
    </row>
    <row r="1704" spans="1:13">
      <c r="A1704" s="1">
        <f>HYPERLINK("http://www.twitter.com/NathanBLawrence/status/993412469161906176", "993412469161906176")</f>
        <v/>
      </c>
      <c r="B1704" s="2" t="n">
        <v>43227.36763888889</v>
      </c>
      <c r="C1704" t="n">
        <v>0</v>
      </c>
      <c r="D1704" t="n">
        <v>6</v>
      </c>
      <c r="E1704" t="s">
        <v>1692</v>
      </c>
      <c r="F1704" t="s"/>
      <c r="G1704" t="s"/>
      <c r="H1704" t="s"/>
      <c r="I1704" t="s"/>
      <c r="J1704" t="n">
        <v>0</v>
      </c>
      <c r="K1704" t="n">
        <v>0</v>
      </c>
      <c r="L1704" t="n">
        <v>1</v>
      </c>
      <c r="M1704" t="n">
        <v>0</v>
      </c>
    </row>
    <row r="1705" spans="1:13">
      <c r="A1705" s="1">
        <f>HYPERLINK("http://www.twitter.com/NathanBLawrence/status/993412434412146688", "993412434412146688")</f>
        <v/>
      </c>
      <c r="B1705" s="2" t="n">
        <v>43227.36753472222</v>
      </c>
      <c r="C1705" t="n">
        <v>0</v>
      </c>
      <c r="D1705" t="n">
        <v>3</v>
      </c>
      <c r="E1705" t="s">
        <v>1693</v>
      </c>
      <c r="F1705" t="s"/>
      <c r="G1705" t="s"/>
      <c r="H1705" t="s"/>
      <c r="I1705" t="s"/>
      <c r="J1705" t="n">
        <v>0</v>
      </c>
      <c r="K1705" t="n">
        <v>0</v>
      </c>
      <c r="L1705" t="n">
        <v>1</v>
      </c>
      <c r="M1705" t="n">
        <v>0</v>
      </c>
    </row>
    <row r="1706" spans="1:13">
      <c r="A1706" s="1">
        <f>HYPERLINK("http://www.twitter.com/NathanBLawrence/status/993390000116043776", "993390000116043776")</f>
        <v/>
      </c>
      <c r="B1706" s="2" t="n">
        <v>43227.305625</v>
      </c>
      <c r="C1706" t="n">
        <v>0</v>
      </c>
      <c r="D1706" t="n">
        <v>1978</v>
      </c>
      <c r="E1706" t="s">
        <v>1694</v>
      </c>
      <c r="F1706" t="s"/>
      <c r="G1706" t="s"/>
      <c r="H1706" t="s"/>
      <c r="I1706" t="s"/>
      <c r="J1706" t="n">
        <v>-0.6486</v>
      </c>
      <c r="K1706" t="n">
        <v>0.266</v>
      </c>
      <c r="L1706" t="n">
        <v>0.6830000000000001</v>
      </c>
      <c r="M1706" t="n">
        <v>0.051</v>
      </c>
    </row>
    <row r="1707" spans="1:13">
      <c r="A1707" s="1">
        <f>HYPERLINK("http://www.twitter.com/NathanBLawrence/status/993385130562637824", "993385130562637824")</f>
        <v/>
      </c>
      <c r="B1707" s="2" t="n">
        <v>43227.2921875</v>
      </c>
      <c r="C1707" t="n">
        <v>0</v>
      </c>
      <c r="D1707" t="n">
        <v>13155</v>
      </c>
      <c r="E1707" t="s">
        <v>1695</v>
      </c>
      <c r="F1707" t="s"/>
      <c r="G1707" t="s"/>
      <c r="H1707" t="s"/>
      <c r="I1707" t="s"/>
      <c r="J1707" t="n">
        <v>-0.1531</v>
      </c>
      <c r="K1707" t="n">
        <v>0.141</v>
      </c>
      <c r="L1707" t="n">
        <v>0.703</v>
      </c>
      <c r="M1707" t="n">
        <v>0.156</v>
      </c>
    </row>
    <row r="1708" spans="1:13">
      <c r="A1708" s="1">
        <f>HYPERLINK("http://www.twitter.com/NathanBLawrence/status/993384821417181184", "993384821417181184")</f>
        <v/>
      </c>
      <c r="B1708" s="2" t="n">
        <v>43227.29134259259</v>
      </c>
      <c r="C1708" t="n">
        <v>0</v>
      </c>
      <c r="D1708" t="n">
        <v>139</v>
      </c>
      <c r="E1708" t="s">
        <v>1696</v>
      </c>
      <c r="F1708" t="s"/>
      <c r="G1708" t="s"/>
      <c r="H1708" t="s"/>
      <c r="I1708" t="s"/>
      <c r="J1708" t="n">
        <v>0</v>
      </c>
      <c r="K1708" t="n">
        <v>0</v>
      </c>
      <c r="L1708" t="n">
        <v>1</v>
      </c>
      <c r="M1708" t="n">
        <v>0</v>
      </c>
    </row>
    <row r="1709" spans="1:13">
      <c r="A1709" s="1">
        <f>HYPERLINK("http://www.twitter.com/NathanBLawrence/status/993384117000658945", "993384117000658945")</f>
        <v/>
      </c>
      <c r="B1709" s="2" t="n">
        <v>43227.28939814815</v>
      </c>
      <c r="C1709" t="n">
        <v>0</v>
      </c>
      <c r="D1709" t="n">
        <v>189</v>
      </c>
      <c r="E1709" t="s">
        <v>1697</v>
      </c>
      <c r="F1709">
        <f>HYPERLINK("https://video.twimg.com/ext_tw_video/975948263453990912/pu/vid/720x1280/2soMxfnfpIap80GT.mp4", "https://video.twimg.com/ext_tw_video/975948263453990912/pu/vid/720x1280/2soMxfnfpIap80GT.mp4")</f>
        <v/>
      </c>
      <c r="G1709" t="s"/>
      <c r="H1709" t="s"/>
      <c r="I1709" t="s"/>
      <c r="J1709" t="n">
        <v>0.8074</v>
      </c>
      <c r="K1709" t="n">
        <v>0</v>
      </c>
      <c r="L1709" t="n">
        <v>0.759</v>
      </c>
      <c r="M1709" t="n">
        <v>0.241</v>
      </c>
    </row>
    <row r="1710" spans="1:13">
      <c r="A1710" s="1">
        <f>HYPERLINK("http://www.twitter.com/NathanBLawrence/status/993384096217878528", "993384096217878528")</f>
        <v/>
      </c>
      <c r="B1710" s="2" t="n">
        <v>43227.28934027778</v>
      </c>
      <c r="C1710" t="n">
        <v>0</v>
      </c>
      <c r="D1710" t="n">
        <v>5</v>
      </c>
      <c r="E1710" t="s">
        <v>1698</v>
      </c>
      <c r="F1710" t="s"/>
      <c r="G1710" t="s"/>
      <c r="H1710" t="s"/>
      <c r="I1710" t="s"/>
      <c r="J1710" t="n">
        <v>0</v>
      </c>
      <c r="K1710" t="n">
        <v>0</v>
      </c>
      <c r="L1710" t="n">
        <v>1</v>
      </c>
      <c r="M1710" t="n">
        <v>0</v>
      </c>
    </row>
    <row r="1711" spans="1:13">
      <c r="A1711" s="1">
        <f>HYPERLINK("http://www.twitter.com/NathanBLawrence/status/993384027167117312", "993384027167117312")</f>
        <v/>
      </c>
      <c r="B1711" s="2" t="n">
        <v>43227.28914351852</v>
      </c>
      <c r="C1711" t="n">
        <v>0</v>
      </c>
      <c r="D1711" t="n">
        <v>60</v>
      </c>
      <c r="E1711" t="s">
        <v>1699</v>
      </c>
      <c r="F1711" t="s"/>
      <c r="G1711" t="s"/>
      <c r="H1711" t="s"/>
      <c r="I1711" t="s"/>
      <c r="J1711" t="n">
        <v>-0.4767</v>
      </c>
      <c r="K1711" t="n">
        <v>0.22</v>
      </c>
      <c r="L1711" t="n">
        <v>0.78</v>
      </c>
      <c r="M1711" t="n">
        <v>0</v>
      </c>
    </row>
    <row r="1712" spans="1:13">
      <c r="A1712" s="1">
        <f>HYPERLINK("http://www.twitter.com/NathanBLawrence/status/993377471159513088", "993377471159513088")</f>
        <v/>
      </c>
      <c r="B1712" s="2" t="n">
        <v>43227.27105324074</v>
      </c>
      <c r="C1712" t="n">
        <v>0</v>
      </c>
      <c r="D1712" t="n">
        <v>21237</v>
      </c>
      <c r="E1712" t="s">
        <v>1700</v>
      </c>
      <c r="F1712" t="s"/>
      <c r="G1712" t="s"/>
      <c r="H1712" t="s"/>
      <c r="I1712" t="s"/>
      <c r="J1712" t="n">
        <v>-0.6124000000000001</v>
      </c>
      <c r="K1712" t="n">
        <v>0.154</v>
      </c>
      <c r="L1712" t="n">
        <v>0.846</v>
      </c>
      <c r="M1712" t="n">
        <v>0</v>
      </c>
    </row>
    <row r="1713" spans="1:13">
      <c r="A1713" s="1">
        <f>HYPERLINK("http://www.twitter.com/NathanBLawrence/status/993377195966988288", "993377195966988288")</f>
        <v/>
      </c>
      <c r="B1713" s="2" t="n">
        <v>43227.27030092593</v>
      </c>
      <c r="C1713" t="n">
        <v>0</v>
      </c>
      <c r="D1713" t="n">
        <v>164</v>
      </c>
      <c r="E1713" t="s">
        <v>1701</v>
      </c>
      <c r="F1713" t="s"/>
      <c r="G1713" t="s"/>
      <c r="H1713" t="s"/>
      <c r="I1713" t="s"/>
      <c r="J1713" t="n">
        <v>-0.7978</v>
      </c>
      <c r="K1713" t="n">
        <v>0.245</v>
      </c>
      <c r="L1713" t="n">
        <v>0.755</v>
      </c>
      <c r="M1713" t="n">
        <v>0</v>
      </c>
    </row>
    <row r="1714" spans="1:13">
      <c r="A1714" s="1">
        <f>HYPERLINK("http://www.twitter.com/NathanBLawrence/status/993365720418439168", "993365720418439168")</f>
        <v/>
      </c>
      <c r="B1714" s="2" t="n">
        <v>43227.23863425926</v>
      </c>
      <c r="C1714" t="n">
        <v>2</v>
      </c>
      <c r="D1714" t="n">
        <v>0</v>
      </c>
      <c r="E1714" t="s">
        <v>1702</v>
      </c>
      <c r="F1714" t="s"/>
      <c r="G1714" t="s"/>
      <c r="H1714" t="s"/>
      <c r="I1714" t="s"/>
      <c r="J1714" t="n">
        <v>0.8591</v>
      </c>
      <c r="K1714" t="n">
        <v>0.113</v>
      </c>
      <c r="L1714" t="n">
        <v>0.598</v>
      </c>
      <c r="M1714" t="n">
        <v>0.289</v>
      </c>
    </row>
    <row r="1715" spans="1:13">
      <c r="A1715" s="1">
        <f>HYPERLINK("http://www.twitter.com/NathanBLawrence/status/993365355551690753", "993365355551690753")</f>
        <v/>
      </c>
      <c r="B1715" s="2" t="n">
        <v>43227.23762731482</v>
      </c>
      <c r="C1715" t="n">
        <v>2</v>
      </c>
      <c r="D1715" t="n">
        <v>0</v>
      </c>
      <c r="E1715" t="s">
        <v>1703</v>
      </c>
      <c r="F1715" t="s"/>
      <c r="G1715" t="s"/>
      <c r="H1715" t="s"/>
      <c r="I1715" t="s"/>
      <c r="J1715" t="n">
        <v>0.6369</v>
      </c>
      <c r="K1715" t="n">
        <v>0</v>
      </c>
      <c r="L1715" t="n">
        <v>0.756</v>
      </c>
      <c r="M1715" t="n">
        <v>0.244</v>
      </c>
    </row>
    <row r="1716" spans="1:13">
      <c r="A1716" s="1">
        <f>HYPERLINK("http://www.twitter.com/NathanBLawrence/status/993361903463424001", "993361903463424001")</f>
        <v/>
      </c>
      <c r="B1716" s="2" t="n">
        <v>43227.22810185186</v>
      </c>
      <c r="C1716" t="n">
        <v>2</v>
      </c>
      <c r="D1716" t="n">
        <v>0</v>
      </c>
      <c r="E1716" t="s">
        <v>1704</v>
      </c>
      <c r="F1716" t="s"/>
      <c r="G1716" t="s"/>
      <c r="H1716" t="s"/>
      <c r="I1716" t="s"/>
      <c r="J1716" t="n">
        <v>0.6249</v>
      </c>
      <c r="K1716" t="n">
        <v>0.134</v>
      </c>
      <c r="L1716" t="n">
        <v>0.662</v>
      </c>
      <c r="M1716" t="n">
        <v>0.204</v>
      </c>
    </row>
    <row r="1717" spans="1:13">
      <c r="A1717" s="1">
        <f>HYPERLINK("http://www.twitter.com/NathanBLawrence/status/993360198860492800", "993360198860492800")</f>
        <v/>
      </c>
      <c r="B1717" s="2" t="n">
        <v>43227.2233912037</v>
      </c>
      <c r="C1717" t="n">
        <v>1</v>
      </c>
      <c r="D1717" t="n">
        <v>0</v>
      </c>
      <c r="E1717" t="s">
        <v>1705</v>
      </c>
      <c r="F1717" t="s"/>
      <c r="G1717" t="s"/>
      <c r="H1717" t="s"/>
      <c r="I1717" t="s"/>
      <c r="J1717" t="n">
        <v>-0.5461</v>
      </c>
      <c r="K1717" t="n">
        <v>0.117</v>
      </c>
      <c r="L1717" t="n">
        <v>0.883</v>
      </c>
      <c r="M1717" t="n">
        <v>0</v>
      </c>
    </row>
    <row r="1718" spans="1:13">
      <c r="A1718" s="1">
        <f>HYPERLINK("http://www.twitter.com/NathanBLawrence/status/993359966013620224", "993359966013620224")</f>
        <v/>
      </c>
      <c r="B1718" s="2" t="n">
        <v>43227.22275462963</v>
      </c>
      <c r="C1718" t="n">
        <v>1</v>
      </c>
      <c r="D1718" t="n">
        <v>0</v>
      </c>
      <c r="E1718" t="s">
        <v>1706</v>
      </c>
      <c r="F1718" t="s"/>
      <c r="G1718" t="s"/>
      <c r="H1718" t="s"/>
      <c r="I1718" t="s"/>
      <c r="J1718" t="n">
        <v>0.8462</v>
      </c>
      <c r="K1718" t="n">
        <v>0</v>
      </c>
      <c r="L1718" t="n">
        <v>0.865</v>
      </c>
      <c r="M1718" t="n">
        <v>0.135</v>
      </c>
    </row>
    <row r="1719" spans="1:13">
      <c r="A1719" s="1">
        <f>HYPERLINK("http://www.twitter.com/NathanBLawrence/status/993359629655662592", "993359629655662592")</f>
        <v/>
      </c>
      <c r="B1719" s="2" t="n">
        <v>43227.2218287037</v>
      </c>
      <c r="C1719" t="n">
        <v>2</v>
      </c>
      <c r="D1719" t="n">
        <v>0</v>
      </c>
      <c r="E1719" t="s">
        <v>1707</v>
      </c>
      <c r="F1719" t="s"/>
      <c r="G1719" t="s"/>
      <c r="H1719" t="s"/>
      <c r="I1719" t="s"/>
      <c r="J1719" t="n">
        <v>-0.4939</v>
      </c>
      <c r="K1719" t="n">
        <v>0.133</v>
      </c>
      <c r="L1719" t="n">
        <v>0.8139999999999999</v>
      </c>
      <c r="M1719" t="n">
        <v>0.053</v>
      </c>
    </row>
    <row r="1720" spans="1:13">
      <c r="A1720" s="1">
        <f>HYPERLINK("http://www.twitter.com/NathanBLawrence/status/993344818452619265", "993344818452619265")</f>
        <v/>
      </c>
      <c r="B1720" s="2" t="n">
        <v>43227.18094907407</v>
      </c>
      <c r="C1720" t="n">
        <v>2</v>
      </c>
      <c r="D1720" t="n">
        <v>0</v>
      </c>
      <c r="E1720" t="s">
        <v>1708</v>
      </c>
      <c r="F1720" t="s"/>
      <c r="G1720" t="s"/>
      <c r="H1720" t="s"/>
      <c r="I1720" t="s"/>
      <c r="J1720" t="n">
        <v>0.6898</v>
      </c>
      <c r="K1720" t="n">
        <v>0.095</v>
      </c>
      <c r="L1720" t="n">
        <v>0.71</v>
      </c>
      <c r="M1720" t="n">
        <v>0.196</v>
      </c>
    </row>
    <row r="1721" spans="1:13">
      <c r="A1721" s="1">
        <f>HYPERLINK("http://www.twitter.com/NathanBLawrence/status/993344485567401984", "993344485567401984")</f>
        <v/>
      </c>
      <c r="B1721" s="2" t="n">
        <v>43227.18003472222</v>
      </c>
      <c r="C1721" t="n">
        <v>2</v>
      </c>
      <c r="D1721" t="n">
        <v>0</v>
      </c>
      <c r="E1721" t="s">
        <v>1709</v>
      </c>
      <c r="F1721" t="s"/>
      <c r="G1721" t="s"/>
      <c r="H1721" t="s"/>
      <c r="I1721" t="s"/>
      <c r="J1721" t="n">
        <v>0.9127</v>
      </c>
      <c r="K1721" t="n">
        <v>0.052</v>
      </c>
      <c r="L1721" t="n">
        <v>0.726</v>
      </c>
      <c r="M1721" t="n">
        <v>0.222</v>
      </c>
    </row>
    <row r="1722" spans="1:13">
      <c r="A1722" s="1">
        <f>HYPERLINK("http://www.twitter.com/NathanBLawrence/status/993340903636062208", "993340903636062208")</f>
        <v/>
      </c>
      <c r="B1722" s="2" t="n">
        <v>43227.17015046296</v>
      </c>
      <c r="C1722" t="n">
        <v>3</v>
      </c>
      <c r="D1722" t="n">
        <v>0</v>
      </c>
      <c r="E1722" t="s">
        <v>1710</v>
      </c>
      <c r="F1722" t="s"/>
      <c r="G1722" t="s"/>
      <c r="H1722" t="s"/>
      <c r="I1722" t="s"/>
      <c r="J1722" t="n">
        <v>0.8026</v>
      </c>
      <c r="K1722" t="n">
        <v>0</v>
      </c>
      <c r="L1722" t="n">
        <v>0.866</v>
      </c>
      <c r="M1722" t="n">
        <v>0.134</v>
      </c>
    </row>
    <row r="1723" spans="1:13">
      <c r="A1723" s="1">
        <f>HYPERLINK("http://www.twitter.com/NathanBLawrence/status/993340053081460737", "993340053081460737")</f>
        <v/>
      </c>
      <c r="B1723" s="2" t="n">
        <v>43227.16780092593</v>
      </c>
      <c r="C1723" t="n">
        <v>1</v>
      </c>
      <c r="D1723" t="n">
        <v>0</v>
      </c>
      <c r="E1723" t="s">
        <v>1711</v>
      </c>
      <c r="F1723" t="s"/>
      <c r="G1723" t="s"/>
      <c r="H1723" t="s"/>
      <c r="I1723" t="s"/>
      <c r="J1723" t="n">
        <v>-0.3071</v>
      </c>
      <c r="K1723" t="n">
        <v>0.083</v>
      </c>
      <c r="L1723" t="n">
        <v>0.917</v>
      </c>
      <c r="M1723" t="n">
        <v>0</v>
      </c>
    </row>
    <row r="1724" spans="1:13">
      <c r="A1724" s="1">
        <f>HYPERLINK("http://www.twitter.com/NathanBLawrence/status/993336975624110080", "993336975624110080")</f>
        <v/>
      </c>
      <c r="B1724" s="2" t="n">
        <v>43227.15930555556</v>
      </c>
      <c r="C1724" t="n">
        <v>3</v>
      </c>
      <c r="D1724" t="n">
        <v>0</v>
      </c>
      <c r="E1724" t="s">
        <v>1712</v>
      </c>
      <c r="F1724" t="s"/>
      <c r="G1724" t="s"/>
      <c r="H1724" t="s"/>
      <c r="I1724" t="s"/>
      <c r="J1724" t="n">
        <v>-0.6549</v>
      </c>
      <c r="K1724" t="n">
        <v>0.136</v>
      </c>
      <c r="L1724" t="n">
        <v>0.864</v>
      </c>
      <c r="M1724" t="n">
        <v>0</v>
      </c>
    </row>
    <row r="1725" spans="1:13">
      <c r="A1725" s="1">
        <f>HYPERLINK("http://www.twitter.com/NathanBLawrence/status/993332063104323584", "993332063104323584")</f>
        <v/>
      </c>
      <c r="B1725" s="2" t="n">
        <v>43227.14575231481</v>
      </c>
      <c r="C1725" t="n">
        <v>0</v>
      </c>
      <c r="D1725" t="n">
        <v>6</v>
      </c>
      <c r="E1725" t="s">
        <v>1713</v>
      </c>
      <c r="F1725" t="s"/>
      <c r="G1725" t="s"/>
      <c r="H1725" t="s"/>
      <c r="I1725" t="s"/>
      <c r="J1725" t="n">
        <v>-0.7845</v>
      </c>
      <c r="K1725" t="n">
        <v>0.351</v>
      </c>
      <c r="L1725" t="n">
        <v>0.59</v>
      </c>
      <c r="M1725" t="n">
        <v>0.059</v>
      </c>
    </row>
    <row r="1726" spans="1:13">
      <c r="A1726" s="1">
        <f>HYPERLINK("http://www.twitter.com/NathanBLawrence/status/993332048139112448", "993332048139112448")</f>
        <v/>
      </c>
      <c r="B1726" s="2" t="n">
        <v>43227.14571759259</v>
      </c>
      <c r="C1726" t="n">
        <v>0</v>
      </c>
      <c r="D1726" t="n">
        <v>7</v>
      </c>
      <c r="E1726" t="s">
        <v>1714</v>
      </c>
      <c r="F1726" t="s"/>
      <c r="G1726" t="s"/>
      <c r="H1726" t="s"/>
      <c r="I1726" t="s"/>
      <c r="J1726" t="n">
        <v>0</v>
      </c>
      <c r="K1726" t="n">
        <v>0.093</v>
      </c>
      <c r="L1726" t="n">
        <v>0.8139999999999999</v>
      </c>
      <c r="M1726" t="n">
        <v>0.093</v>
      </c>
    </row>
    <row r="1727" spans="1:13">
      <c r="A1727" s="1">
        <f>HYPERLINK("http://www.twitter.com/NathanBLawrence/status/993331584622264320", "993331584622264320")</f>
        <v/>
      </c>
      <c r="B1727" s="2" t="n">
        <v>43227.14443287037</v>
      </c>
      <c r="C1727" t="n">
        <v>0</v>
      </c>
      <c r="D1727" t="n">
        <v>9</v>
      </c>
      <c r="E1727" t="s">
        <v>1715</v>
      </c>
      <c r="F1727" t="s"/>
      <c r="G1727" t="s"/>
      <c r="H1727" t="s"/>
      <c r="I1727" t="s"/>
      <c r="J1727" t="n">
        <v>-0.25</v>
      </c>
      <c r="K1727" t="n">
        <v>0.167</v>
      </c>
      <c r="L1727" t="n">
        <v>0.833</v>
      </c>
      <c r="M1727" t="n">
        <v>0</v>
      </c>
    </row>
    <row r="1728" spans="1:13">
      <c r="A1728" s="1">
        <f>HYPERLINK("http://www.twitter.com/NathanBLawrence/status/993329412828516352", "993329412828516352")</f>
        <v/>
      </c>
      <c r="B1728" s="2" t="n">
        <v>43227.1384375</v>
      </c>
      <c r="C1728" t="n">
        <v>0</v>
      </c>
      <c r="D1728" t="n">
        <v>186</v>
      </c>
      <c r="E1728" t="s">
        <v>1716</v>
      </c>
      <c r="F1728">
        <f>HYPERLINK("http://pbs.twimg.com/media/DchDLZ-UQAAvH_f.jpg", "http://pbs.twimg.com/media/DchDLZ-UQAAvH_f.jpg")</f>
        <v/>
      </c>
      <c r="G1728" t="s"/>
      <c r="H1728" t="s"/>
      <c r="I1728" t="s"/>
      <c r="J1728" t="n">
        <v>-0.5719</v>
      </c>
      <c r="K1728" t="n">
        <v>0.252</v>
      </c>
      <c r="L1728" t="n">
        <v>0.748</v>
      </c>
      <c r="M1728" t="n">
        <v>0</v>
      </c>
    </row>
    <row r="1729" spans="1:13">
      <c r="A1729" s="1">
        <f>HYPERLINK("http://www.twitter.com/NathanBLawrence/status/993329167155519488", "993329167155519488")</f>
        <v/>
      </c>
      <c r="B1729" s="2" t="n">
        <v>43227.1377662037</v>
      </c>
      <c r="C1729" t="n">
        <v>0</v>
      </c>
      <c r="D1729" t="n">
        <v>3</v>
      </c>
      <c r="E1729" t="s">
        <v>1717</v>
      </c>
      <c r="F1729" t="s"/>
      <c r="G1729" t="s"/>
      <c r="H1729" t="s"/>
      <c r="I1729" t="s"/>
      <c r="J1729" t="n">
        <v>0</v>
      </c>
      <c r="K1729" t="n">
        <v>0</v>
      </c>
      <c r="L1729" t="n">
        <v>1</v>
      </c>
      <c r="M1729" t="n">
        <v>0</v>
      </c>
    </row>
    <row r="1730" spans="1:13">
      <c r="A1730" s="1">
        <f>HYPERLINK("http://www.twitter.com/NathanBLawrence/status/993319847097487367", "993319847097487367")</f>
        <v/>
      </c>
      <c r="B1730" s="2" t="n">
        <v>43227.11204861111</v>
      </c>
      <c r="C1730" t="n">
        <v>0</v>
      </c>
      <c r="D1730" t="n">
        <v>4181</v>
      </c>
      <c r="E1730" t="s">
        <v>1718</v>
      </c>
      <c r="F1730" t="s"/>
      <c r="G1730" t="s"/>
      <c r="H1730" t="s"/>
      <c r="I1730" t="s"/>
      <c r="J1730" t="n">
        <v>0</v>
      </c>
      <c r="K1730" t="n">
        <v>0</v>
      </c>
      <c r="L1730" t="n">
        <v>1</v>
      </c>
      <c r="M1730" t="n">
        <v>0</v>
      </c>
    </row>
    <row r="1731" spans="1:13">
      <c r="A1731" s="1">
        <f>HYPERLINK("http://www.twitter.com/NathanBLawrence/status/993319829904986112", "993319829904986112")</f>
        <v/>
      </c>
      <c r="B1731" s="2" t="n">
        <v>43227.11200231482</v>
      </c>
      <c r="C1731" t="n">
        <v>0</v>
      </c>
      <c r="D1731" t="n">
        <v>125</v>
      </c>
      <c r="E1731" t="s">
        <v>1719</v>
      </c>
      <c r="F1731">
        <f>HYPERLINK("http://pbs.twimg.com/media/DWQWbPzVMAA79_Y.jpg", "http://pbs.twimg.com/media/DWQWbPzVMAA79_Y.jpg")</f>
        <v/>
      </c>
      <c r="G1731" t="s"/>
      <c r="H1731" t="s"/>
      <c r="I1731" t="s"/>
      <c r="J1731" t="n">
        <v>0</v>
      </c>
      <c r="K1731" t="n">
        <v>0</v>
      </c>
      <c r="L1731" t="n">
        <v>1</v>
      </c>
      <c r="M1731" t="n">
        <v>0</v>
      </c>
    </row>
    <row r="1732" spans="1:13">
      <c r="A1732" s="1">
        <f>HYPERLINK("http://www.twitter.com/NathanBLawrence/status/993319817238196224", "993319817238196224")</f>
        <v/>
      </c>
      <c r="B1732" s="2" t="n">
        <v>43227.11196759259</v>
      </c>
      <c r="C1732" t="n">
        <v>0</v>
      </c>
      <c r="D1732" t="n">
        <v>31</v>
      </c>
      <c r="E1732" t="s">
        <v>1720</v>
      </c>
      <c r="F1732" t="s"/>
      <c r="G1732" t="s"/>
      <c r="H1732" t="s"/>
      <c r="I1732" t="s"/>
      <c r="J1732" t="n">
        <v>0</v>
      </c>
      <c r="K1732" t="n">
        <v>0</v>
      </c>
      <c r="L1732" t="n">
        <v>1</v>
      </c>
      <c r="M1732" t="n">
        <v>0</v>
      </c>
    </row>
    <row r="1733" spans="1:13">
      <c r="A1733" s="1">
        <f>HYPERLINK("http://www.twitter.com/NathanBLawrence/status/993317049299501056", "993317049299501056")</f>
        <v/>
      </c>
      <c r="B1733" s="2" t="n">
        <v>43227.1043287037</v>
      </c>
      <c r="C1733" t="n">
        <v>0</v>
      </c>
      <c r="D1733" t="n">
        <v>7</v>
      </c>
      <c r="E1733" t="s">
        <v>1721</v>
      </c>
      <c r="F1733" t="s"/>
      <c r="G1733" t="s"/>
      <c r="H1733" t="s"/>
      <c r="I1733" t="s"/>
      <c r="J1733" t="n">
        <v>0</v>
      </c>
      <c r="K1733" t="n">
        <v>0</v>
      </c>
      <c r="L1733" t="n">
        <v>1</v>
      </c>
      <c r="M1733" t="n">
        <v>0</v>
      </c>
    </row>
    <row r="1734" spans="1:13">
      <c r="A1734" s="1">
        <f>HYPERLINK("http://www.twitter.com/NathanBLawrence/status/993317039208108032", "993317039208108032")</f>
        <v/>
      </c>
      <c r="B1734" s="2" t="n">
        <v>43227.10429398148</v>
      </c>
      <c r="C1734" t="n">
        <v>0</v>
      </c>
      <c r="D1734" t="n">
        <v>5</v>
      </c>
      <c r="E1734" t="s">
        <v>1722</v>
      </c>
      <c r="F1734" t="s"/>
      <c r="G1734" t="s"/>
      <c r="H1734" t="s"/>
      <c r="I1734" t="s"/>
      <c r="J1734" t="n">
        <v>0</v>
      </c>
      <c r="K1734" t="n">
        <v>0.099</v>
      </c>
      <c r="L1734" t="n">
        <v>0.803</v>
      </c>
      <c r="M1734" t="n">
        <v>0.099</v>
      </c>
    </row>
    <row r="1735" spans="1:13">
      <c r="A1735" s="1">
        <f>HYPERLINK("http://www.twitter.com/NathanBLawrence/status/993316895616110592", "993316895616110592")</f>
        <v/>
      </c>
      <c r="B1735" s="2" t="n">
        <v>43227.10390046296</v>
      </c>
      <c r="C1735" t="n">
        <v>1</v>
      </c>
      <c r="D1735" t="n">
        <v>0</v>
      </c>
      <c r="E1735" t="s">
        <v>1723</v>
      </c>
      <c r="F1735" t="s"/>
      <c r="G1735" t="s"/>
      <c r="H1735" t="s"/>
      <c r="I1735" t="s"/>
      <c r="J1735" t="n">
        <v>0</v>
      </c>
      <c r="K1735" t="n">
        <v>0</v>
      </c>
      <c r="L1735" t="n">
        <v>1</v>
      </c>
      <c r="M1735" t="n">
        <v>0</v>
      </c>
    </row>
    <row r="1736" spans="1:13">
      <c r="A1736" s="1">
        <f>HYPERLINK("http://www.twitter.com/NathanBLawrence/status/993316815077027840", "993316815077027840")</f>
        <v/>
      </c>
      <c r="B1736" s="2" t="n">
        <v>43227.10368055556</v>
      </c>
      <c r="C1736" t="n">
        <v>0</v>
      </c>
      <c r="D1736" t="n">
        <v>59</v>
      </c>
      <c r="E1736" t="s">
        <v>1724</v>
      </c>
      <c r="F1736">
        <f>HYPERLINK("http://pbs.twimg.com/media/Dcj2o5BUwAAgcGH.jpg", "http://pbs.twimg.com/media/Dcj2o5BUwAAgcGH.jpg")</f>
        <v/>
      </c>
      <c r="G1736" t="s"/>
      <c r="H1736" t="s"/>
      <c r="I1736" t="s"/>
      <c r="J1736" t="n">
        <v>-0.296</v>
      </c>
      <c r="K1736" t="n">
        <v>0.155</v>
      </c>
      <c r="L1736" t="n">
        <v>0.845</v>
      </c>
      <c r="M1736" t="n">
        <v>0</v>
      </c>
    </row>
    <row r="1737" spans="1:13">
      <c r="A1737" s="1">
        <f>HYPERLINK("http://www.twitter.com/NathanBLawrence/status/993316724987572224", "993316724987572224")</f>
        <v/>
      </c>
      <c r="B1737" s="2" t="n">
        <v>43227.10342592592</v>
      </c>
      <c r="C1737" t="n">
        <v>0</v>
      </c>
      <c r="D1737" t="n">
        <v>8</v>
      </c>
      <c r="E1737" t="s">
        <v>1725</v>
      </c>
      <c r="F1737" t="s"/>
      <c r="G1737" t="s"/>
      <c r="H1737" t="s"/>
      <c r="I1737" t="s"/>
      <c r="J1737" t="n">
        <v>-0.802</v>
      </c>
      <c r="K1737" t="n">
        <v>0.345</v>
      </c>
      <c r="L1737" t="n">
        <v>0.57</v>
      </c>
      <c r="M1737" t="n">
        <v>0.08500000000000001</v>
      </c>
    </row>
    <row r="1738" spans="1:13">
      <c r="A1738" s="1">
        <f>HYPERLINK("http://www.twitter.com/NathanBLawrence/status/993316646449221634", "993316646449221634")</f>
        <v/>
      </c>
      <c r="B1738" s="2" t="n">
        <v>43227.10321759259</v>
      </c>
      <c r="C1738" t="n">
        <v>0</v>
      </c>
      <c r="D1738" t="n">
        <v>12</v>
      </c>
      <c r="E1738" t="s">
        <v>1726</v>
      </c>
      <c r="F1738" t="s"/>
      <c r="G1738" t="s"/>
      <c r="H1738" t="s"/>
      <c r="I1738" t="s"/>
      <c r="J1738" t="n">
        <v>0</v>
      </c>
      <c r="K1738" t="n">
        <v>0.101</v>
      </c>
      <c r="L1738" t="n">
        <v>0.798</v>
      </c>
      <c r="M1738" t="n">
        <v>0.101</v>
      </c>
    </row>
    <row r="1739" spans="1:13">
      <c r="A1739" s="1">
        <f>HYPERLINK("http://www.twitter.com/NathanBLawrence/status/993316558360498176", "993316558360498176")</f>
        <v/>
      </c>
      <c r="B1739" s="2" t="n">
        <v>43227.10297453704</v>
      </c>
      <c r="C1739" t="n">
        <v>0</v>
      </c>
      <c r="D1739" t="n">
        <v>23</v>
      </c>
      <c r="E1739" t="s">
        <v>1727</v>
      </c>
      <c r="F1739">
        <f>HYPERLINK("http://pbs.twimg.com/media/Dcjv9DmXkAIYevh.jpg", "http://pbs.twimg.com/media/Dcjv9DmXkAIYevh.jpg")</f>
        <v/>
      </c>
      <c r="G1739" t="s"/>
      <c r="H1739" t="s"/>
      <c r="I1739" t="s"/>
      <c r="J1739" t="n">
        <v>0.7177</v>
      </c>
      <c r="K1739" t="n">
        <v>0</v>
      </c>
      <c r="L1739" t="n">
        <v>0.7</v>
      </c>
      <c r="M1739" t="n">
        <v>0.3</v>
      </c>
    </row>
    <row r="1740" spans="1:13">
      <c r="A1740" s="1">
        <f>HYPERLINK("http://www.twitter.com/NathanBLawrence/status/993291388866396160", "993291388866396160")</f>
        <v/>
      </c>
      <c r="B1740" s="2" t="n">
        <v>43227.03351851852</v>
      </c>
      <c r="C1740" t="n">
        <v>0</v>
      </c>
      <c r="D1740" t="n">
        <v>808</v>
      </c>
      <c r="E1740" t="s">
        <v>1728</v>
      </c>
      <c r="F1740" t="s"/>
      <c r="G1740" t="s"/>
      <c r="H1740" t="s"/>
      <c r="I1740" t="s"/>
      <c r="J1740" t="n">
        <v>-0.3612</v>
      </c>
      <c r="K1740" t="n">
        <v>0.196</v>
      </c>
      <c r="L1740" t="n">
        <v>0.706</v>
      </c>
      <c r="M1740" t="n">
        <v>0.098</v>
      </c>
    </row>
    <row r="1741" spans="1:13">
      <c r="A1741" s="1">
        <f>HYPERLINK("http://www.twitter.com/NathanBLawrence/status/993291344041906176", "993291344041906176")</f>
        <v/>
      </c>
      <c r="B1741" s="2" t="n">
        <v>43227.0333912037</v>
      </c>
      <c r="C1741" t="n">
        <v>0</v>
      </c>
      <c r="D1741" t="n">
        <v>7</v>
      </c>
      <c r="E1741" t="s">
        <v>1729</v>
      </c>
      <c r="F1741" t="s"/>
      <c r="G1741" t="s"/>
      <c r="H1741" t="s"/>
      <c r="I1741" t="s"/>
      <c r="J1741" t="n">
        <v>-0.0072</v>
      </c>
      <c r="K1741" t="n">
        <v>0.093</v>
      </c>
      <c r="L1741" t="n">
        <v>0.8149999999999999</v>
      </c>
      <c r="M1741" t="n">
        <v>0.092</v>
      </c>
    </row>
    <row r="1742" spans="1:13">
      <c r="A1742" s="1">
        <f>HYPERLINK("http://www.twitter.com/NathanBLawrence/status/993291295425728513", "993291295425728513")</f>
        <v/>
      </c>
      <c r="B1742" s="2" t="n">
        <v>43227.03325231482</v>
      </c>
      <c r="C1742" t="n">
        <v>0</v>
      </c>
      <c r="D1742" t="n">
        <v>1590</v>
      </c>
      <c r="E1742" t="s">
        <v>1730</v>
      </c>
      <c r="F1742">
        <f>HYPERLINK("https://video.twimg.com/amplify_video/992937225015963648/vid/1280x720/1rcDd9AaXbltaR0T.mp4?tag=2", "https://video.twimg.com/amplify_video/992937225015963648/vid/1280x720/1rcDd9AaXbltaR0T.mp4?tag=2")</f>
        <v/>
      </c>
      <c r="G1742" t="s"/>
      <c r="H1742" t="s"/>
      <c r="I1742" t="s"/>
      <c r="J1742" t="n">
        <v>0</v>
      </c>
      <c r="K1742" t="n">
        <v>0.164</v>
      </c>
      <c r="L1742" t="n">
        <v>0.709</v>
      </c>
      <c r="M1742" t="n">
        <v>0.127</v>
      </c>
    </row>
    <row r="1743" spans="1:13">
      <c r="A1743" s="1">
        <f>HYPERLINK("http://www.twitter.com/NathanBLawrence/status/993286913816776705", "993286913816776705")</f>
        <v/>
      </c>
      <c r="B1743" s="2" t="n">
        <v>43227.02116898148</v>
      </c>
      <c r="C1743" t="n">
        <v>0</v>
      </c>
      <c r="D1743" t="n">
        <v>8</v>
      </c>
      <c r="E1743" t="s">
        <v>1731</v>
      </c>
      <c r="F1743" t="s"/>
      <c r="G1743" t="s"/>
      <c r="H1743" t="s"/>
      <c r="I1743" t="s"/>
      <c r="J1743" t="n">
        <v>0.4215</v>
      </c>
      <c r="K1743" t="n">
        <v>0</v>
      </c>
      <c r="L1743" t="n">
        <v>0.877</v>
      </c>
      <c r="M1743" t="n">
        <v>0.123</v>
      </c>
    </row>
    <row r="1744" spans="1:13">
      <c r="A1744" s="1">
        <f>HYPERLINK("http://www.twitter.com/NathanBLawrence/status/993286680986701824", "993286680986701824")</f>
        <v/>
      </c>
      <c r="B1744" s="2" t="n">
        <v>43227.02052083334</v>
      </c>
      <c r="C1744" t="n">
        <v>0</v>
      </c>
      <c r="D1744" t="n">
        <v>4</v>
      </c>
      <c r="E1744" t="s">
        <v>1732</v>
      </c>
      <c r="F1744" t="s"/>
      <c r="G1744" t="s"/>
      <c r="H1744" t="s"/>
      <c r="I1744" t="s"/>
      <c r="J1744" t="n">
        <v>0</v>
      </c>
      <c r="K1744" t="n">
        <v>0</v>
      </c>
      <c r="L1744" t="n">
        <v>1</v>
      </c>
      <c r="M1744" t="n">
        <v>0</v>
      </c>
    </row>
    <row r="1745" spans="1:13">
      <c r="A1745" s="1">
        <f>HYPERLINK("http://www.twitter.com/NathanBLawrence/status/993286277368827904", "993286277368827904")</f>
        <v/>
      </c>
      <c r="B1745" s="2" t="n">
        <v>43227.01940972222</v>
      </c>
      <c r="C1745" t="n">
        <v>0</v>
      </c>
      <c r="D1745" t="n">
        <v>9</v>
      </c>
      <c r="E1745" t="s">
        <v>1733</v>
      </c>
      <c r="F1745" t="s"/>
      <c r="G1745" t="s"/>
      <c r="H1745" t="s"/>
      <c r="I1745" t="s"/>
      <c r="J1745" t="n">
        <v>-0.2732</v>
      </c>
      <c r="K1745" t="n">
        <v>0.08400000000000001</v>
      </c>
      <c r="L1745" t="n">
        <v>0.916</v>
      </c>
      <c r="M1745" t="n">
        <v>0</v>
      </c>
    </row>
    <row r="1746" spans="1:13">
      <c r="A1746" s="1">
        <f>HYPERLINK("http://www.twitter.com/NathanBLawrence/status/993285819581550592", "993285819581550592")</f>
        <v/>
      </c>
      <c r="B1746" s="2" t="n">
        <v>43227.01814814815</v>
      </c>
      <c r="C1746" t="n">
        <v>0</v>
      </c>
      <c r="D1746" t="n">
        <v>16</v>
      </c>
      <c r="E1746" t="s">
        <v>1734</v>
      </c>
      <c r="F1746">
        <f>HYPERLINK("http://pbs.twimg.com/media/Dci_O6dUwAAUi3a.jpg", "http://pbs.twimg.com/media/Dci_O6dUwAAUi3a.jpg")</f>
        <v/>
      </c>
      <c r="G1746" t="s"/>
      <c r="H1746" t="s"/>
      <c r="I1746" t="s"/>
      <c r="J1746" t="n">
        <v>0</v>
      </c>
      <c r="K1746" t="n">
        <v>0</v>
      </c>
      <c r="L1746" t="n">
        <v>1</v>
      </c>
      <c r="M1746" t="n">
        <v>0</v>
      </c>
    </row>
    <row r="1747" spans="1:13">
      <c r="A1747" s="1">
        <f>HYPERLINK("http://www.twitter.com/NathanBLawrence/status/993284908876554240", "993284908876554240")</f>
        <v/>
      </c>
      <c r="B1747" s="2" t="n">
        <v>43227.01563657408</v>
      </c>
      <c r="C1747" t="n">
        <v>1</v>
      </c>
      <c r="D1747" t="n">
        <v>0</v>
      </c>
      <c r="E1747" t="s">
        <v>1735</v>
      </c>
      <c r="F1747" t="s"/>
      <c r="G1747" t="s"/>
      <c r="H1747" t="s"/>
      <c r="I1747" t="s"/>
      <c r="J1747" t="n">
        <v>-0.25</v>
      </c>
      <c r="K1747" t="n">
        <v>0.298</v>
      </c>
      <c r="L1747" t="n">
        <v>0.484</v>
      </c>
      <c r="M1747" t="n">
        <v>0.218</v>
      </c>
    </row>
    <row r="1748" spans="1:13">
      <c r="A1748" s="1">
        <f>HYPERLINK("http://www.twitter.com/NathanBLawrence/status/993261339899461632", "993261339899461632")</f>
        <v/>
      </c>
      <c r="B1748" s="2" t="n">
        <v>43226.95059027777</v>
      </c>
      <c r="C1748" t="n">
        <v>3</v>
      </c>
      <c r="D1748" t="n">
        <v>0</v>
      </c>
      <c r="E1748" t="s">
        <v>309</v>
      </c>
      <c r="F1748" t="s"/>
      <c r="G1748" t="s"/>
      <c r="H1748" t="s"/>
      <c r="I1748" t="s"/>
      <c r="J1748" t="n">
        <v>0</v>
      </c>
      <c r="K1748" t="n">
        <v>0</v>
      </c>
      <c r="L1748" t="n">
        <v>1</v>
      </c>
      <c r="M1748" t="n">
        <v>0</v>
      </c>
    </row>
    <row r="1749" spans="1:13">
      <c r="A1749" s="1">
        <f>HYPERLINK("http://www.twitter.com/NathanBLawrence/status/993261192322932738", "993261192322932738")</f>
        <v/>
      </c>
      <c r="B1749" s="2" t="n">
        <v>43226.95018518518</v>
      </c>
      <c r="C1749" t="n">
        <v>3</v>
      </c>
      <c r="D1749" t="n">
        <v>1</v>
      </c>
      <c r="E1749" t="s">
        <v>310</v>
      </c>
      <c r="F1749" t="s"/>
      <c r="G1749" t="s"/>
      <c r="H1749" t="s"/>
      <c r="I1749" t="s"/>
      <c r="J1749" t="n">
        <v>0</v>
      </c>
      <c r="K1749" t="n">
        <v>0</v>
      </c>
      <c r="L1749" t="n">
        <v>1</v>
      </c>
      <c r="M1749" t="n">
        <v>0</v>
      </c>
    </row>
    <row r="1750" spans="1:13">
      <c r="A1750" s="1">
        <f>HYPERLINK("http://www.twitter.com/NathanBLawrence/status/993261030703804416", "993261030703804416")</f>
        <v/>
      </c>
      <c r="B1750" s="2" t="n">
        <v>43226.94974537037</v>
      </c>
      <c r="C1750" t="n">
        <v>1</v>
      </c>
      <c r="D1750" t="n">
        <v>0</v>
      </c>
      <c r="E1750" t="s">
        <v>311</v>
      </c>
      <c r="F1750" t="s"/>
      <c r="G1750" t="s"/>
      <c r="H1750" t="s"/>
      <c r="I1750" t="s"/>
      <c r="J1750" t="n">
        <v>0</v>
      </c>
      <c r="K1750" t="n">
        <v>0</v>
      </c>
      <c r="L1750" t="n">
        <v>1</v>
      </c>
      <c r="M1750" t="n">
        <v>0</v>
      </c>
    </row>
    <row r="1751" spans="1:13">
      <c r="A1751" s="1">
        <f>HYPERLINK("http://www.twitter.com/NathanBLawrence/status/993258867701280768", "993258867701280768")</f>
        <v/>
      </c>
      <c r="B1751" s="2" t="n">
        <v>43226.94377314814</v>
      </c>
      <c r="C1751" t="n">
        <v>0</v>
      </c>
      <c r="D1751" t="n">
        <v>20</v>
      </c>
      <c r="E1751" t="s">
        <v>1736</v>
      </c>
      <c r="F1751" t="s"/>
      <c r="G1751" t="s"/>
      <c r="H1751" t="s"/>
      <c r="I1751" t="s"/>
      <c r="J1751" t="n">
        <v>-0.3127</v>
      </c>
      <c r="K1751" t="n">
        <v>0.198</v>
      </c>
      <c r="L1751" t="n">
        <v>0.6899999999999999</v>
      </c>
      <c r="M1751" t="n">
        <v>0.111</v>
      </c>
    </row>
    <row r="1752" spans="1:13">
      <c r="A1752" s="1">
        <f>HYPERLINK("http://www.twitter.com/NathanBLawrence/status/993258844255027201", "993258844255027201")</f>
        <v/>
      </c>
      <c r="B1752" s="2" t="n">
        <v>43226.94370370371</v>
      </c>
      <c r="C1752" t="n">
        <v>15</v>
      </c>
      <c r="D1752" t="n">
        <v>20</v>
      </c>
      <c r="E1752" t="s">
        <v>1737</v>
      </c>
      <c r="F1752" t="s"/>
      <c r="G1752" t="s"/>
      <c r="H1752" t="s"/>
      <c r="I1752" t="s"/>
      <c r="J1752" t="n">
        <v>-0.4166</v>
      </c>
      <c r="K1752" t="n">
        <v>0.157</v>
      </c>
      <c r="L1752" t="n">
        <v>0.739</v>
      </c>
      <c r="M1752" t="n">
        <v>0.104</v>
      </c>
    </row>
    <row r="1753" spans="1:13">
      <c r="A1753" s="1">
        <f>HYPERLINK("http://www.twitter.com/NathanBLawrence/status/993244430508445697", "993244430508445697")</f>
        <v/>
      </c>
      <c r="B1753" s="2" t="n">
        <v>43226.90393518518</v>
      </c>
      <c r="C1753" t="n">
        <v>0</v>
      </c>
      <c r="D1753" t="n">
        <v>21</v>
      </c>
      <c r="E1753" t="s">
        <v>1738</v>
      </c>
      <c r="F1753">
        <f>HYPERLINK("http://pbs.twimg.com/media/Dci2Y-3WAAEIP2w.jpg", "http://pbs.twimg.com/media/Dci2Y-3WAAEIP2w.jpg")</f>
        <v/>
      </c>
      <c r="G1753" t="s"/>
      <c r="H1753" t="s"/>
      <c r="I1753" t="s"/>
      <c r="J1753" t="n">
        <v>0.3182</v>
      </c>
      <c r="K1753" t="n">
        <v>0.079</v>
      </c>
      <c r="L1753" t="n">
        <v>0.758</v>
      </c>
      <c r="M1753" t="n">
        <v>0.162</v>
      </c>
    </row>
    <row r="1754" spans="1:13">
      <c r="A1754" s="1">
        <f>HYPERLINK("http://www.twitter.com/NathanBLawrence/status/993244282885738497", "993244282885738497")</f>
        <v/>
      </c>
      <c r="B1754" s="2" t="n">
        <v>43226.90353009259</v>
      </c>
      <c r="C1754" t="n">
        <v>26</v>
      </c>
      <c r="D1754" t="n">
        <v>21</v>
      </c>
      <c r="E1754" t="s">
        <v>1739</v>
      </c>
      <c r="F1754">
        <f>HYPERLINK("http://pbs.twimg.com/media/Dci2Y-3WAAEIP2w.jpg", "http://pbs.twimg.com/media/Dci2Y-3WAAEIP2w.jpg")</f>
        <v/>
      </c>
      <c r="G1754" t="s"/>
      <c r="H1754" t="s"/>
      <c r="I1754" t="s"/>
      <c r="J1754" t="n">
        <v>0.8708</v>
      </c>
      <c r="K1754" t="n">
        <v>0.037</v>
      </c>
      <c r="L1754" t="n">
        <v>0.763</v>
      </c>
      <c r="M1754" t="n">
        <v>0.2</v>
      </c>
    </row>
    <row r="1755" spans="1:13">
      <c r="A1755" s="1">
        <f>HYPERLINK("http://www.twitter.com/NathanBLawrence/status/993218775641219072", "993218775641219072")</f>
        <v/>
      </c>
      <c r="B1755" s="2" t="n">
        <v>43226.83313657407</v>
      </c>
      <c r="C1755" t="n">
        <v>2</v>
      </c>
      <c r="D1755" t="n">
        <v>0</v>
      </c>
      <c r="E1755" t="s">
        <v>1740</v>
      </c>
      <c r="F1755" t="s"/>
      <c r="G1755" t="s"/>
      <c r="H1755" t="s"/>
      <c r="I1755" t="s"/>
      <c r="J1755" t="n">
        <v>0.6705</v>
      </c>
      <c r="K1755" t="n">
        <v>0</v>
      </c>
      <c r="L1755" t="n">
        <v>0.825</v>
      </c>
      <c r="M1755" t="n">
        <v>0.175</v>
      </c>
    </row>
    <row r="1756" spans="1:13">
      <c r="A1756" s="1">
        <f>HYPERLINK("http://www.twitter.com/NathanBLawrence/status/993211379023785984", "993211379023785984")</f>
        <v/>
      </c>
      <c r="B1756" s="2" t="n">
        <v>43226.81273148148</v>
      </c>
      <c r="C1756" t="n">
        <v>0</v>
      </c>
      <c r="D1756" t="n">
        <v>11128</v>
      </c>
      <c r="E1756" t="s">
        <v>1741</v>
      </c>
      <c r="F1756" t="s"/>
      <c r="G1756" t="s"/>
      <c r="H1756" t="s"/>
      <c r="I1756" t="s"/>
      <c r="J1756" t="n">
        <v>-0.5859</v>
      </c>
      <c r="K1756" t="n">
        <v>0.167</v>
      </c>
      <c r="L1756" t="n">
        <v>0.833</v>
      </c>
      <c r="M1756" t="n">
        <v>0</v>
      </c>
    </row>
    <row r="1757" spans="1:13">
      <c r="A1757" s="1">
        <f>HYPERLINK("http://www.twitter.com/NathanBLawrence/status/993211348526993410", "993211348526993410")</f>
        <v/>
      </c>
      <c r="B1757" s="2" t="n">
        <v>43226.81265046296</v>
      </c>
      <c r="C1757" t="n">
        <v>0</v>
      </c>
      <c r="D1757" t="n">
        <v>19513</v>
      </c>
      <c r="E1757" t="s">
        <v>1742</v>
      </c>
      <c r="F1757" t="s"/>
      <c r="G1757" t="s"/>
      <c r="H1757" t="s"/>
      <c r="I1757" t="s"/>
      <c r="J1757" t="n">
        <v>-0.5266999999999999</v>
      </c>
      <c r="K1757" t="n">
        <v>0.18</v>
      </c>
      <c r="L1757" t="n">
        <v>0.82</v>
      </c>
      <c r="M1757" t="n">
        <v>0</v>
      </c>
    </row>
    <row r="1758" spans="1:13">
      <c r="A1758" s="1">
        <f>HYPERLINK("http://www.twitter.com/NathanBLawrence/status/993211317627564033", "993211317627564033")</f>
        <v/>
      </c>
      <c r="B1758" s="2" t="n">
        <v>43226.81255787037</v>
      </c>
      <c r="C1758" t="n">
        <v>0</v>
      </c>
      <c r="D1758" t="n">
        <v>4</v>
      </c>
      <c r="E1758" t="s">
        <v>1743</v>
      </c>
      <c r="F1758" t="s"/>
      <c r="G1758" t="s"/>
      <c r="H1758" t="s"/>
      <c r="I1758" t="s"/>
      <c r="J1758" t="n">
        <v>0.1511</v>
      </c>
      <c r="K1758" t="n">
        <v>0.128</v>
      </c>
      <c r="L1758" t="n">
        <v>0.6909999999999999</v>
      </c>
      <c r="M1758" t="n">
        <v>0.181</v>
      </c>
    </row>
    <row r="1759" spans="1:13">
      <c r="A1759" s="1">
        <f>HYPERLINK("http://www.twitter.com/NathanBLawrence/status/993211278884769793", "993211278884769793")</f>
        <v/>
      </c>
      <c r="B1759" s="2" t="n">
        <v>43226.8124537037</v>
      </c>
      <c r="C1759" t="n">
        <v>0</v>
      </c>
      <c r="D1759" t="n">
        <v>5207</v>
      </c>
      <c r="E1759" t="s">
        <v>1744</v>
      </c>
      <c r="F1759" t="s"/>
      <c r="G1759" t="s"/>
      <c r="H1759" t="s"/>
      <c r="I1759" t="s"/>
      <c r="J1759" t="n">
        <v>0.5106000000000001</v>
      </c>
      <c r="K1759" t="n">
        <v>0</v>
      </c>
      <c r="L1759" t="n">
        <v>0.864</v>
      </c>
      <c r="M1759" t="n">
        <v>0.136</v>
      </c>
    </row>
    <row r="1760" spans="1:13">
      <c r="A1760" s="1">
        <f>HYPERLINK("http://www.twitter.com/NathanBLawrence/status/993191918292094981", "993191918292094981")</f>
        <v/>
      </c>
      <c r="B1760" s="2" t="n">
        <v>43226.75902777778</v>
      </c>
      <c r="C1760" t="n">
        <v>0</v>
      </c>
      <c r="D1760" t="n">
        <v>15</v>
      </c>
      <c r="E1760" t="s">
        <v>1745</v>
      </c>
      <c r="F1760">
        <f>HYPERLINK("http://pbs.twimg.com/media/Dcc5D3PVMAApE-A.jpg", "http://pbs.twimg.com/media/Dcc5D3PVMAApE-A.jpg")</f>
        <v/>
      </c>
      <c r="G1760" t="s"/>
      <c r="H1760" t="s"/>
      <c r="I1760" t="s"/>
      <c r="J1760" t="n">
        <v>0.4588</v>
      </c>
      <c r="K1760" t="n">
        <v>0.058</v>
      </c>
      <c r="L1760" t="n">
        <v>0.796</v>
      </c>
      <c r="M1760" t="n">
        <v>0.146</v>
      </c>
    </row>
    <row r="1761" spans="1:13">
      <c r="A1761" s="1">
        <f>HYPERLINK("http://www.twitter.com/NathanBLawrence/status/993191642013282305", "993191642013282305")</f>
        <v/>
      </c>
      <c r="B1761" s="2" t="n">
        <v>43226.75826388889</v>
      </c>
      <c r="C1761" t="n">
        <v>0</v>
      </c>
      <c r="D1761" t="n">
        <v>9</v>
      </c>
      <c r="E1761" t="s">
        <v>1746</v>
      </c>
      <c r="F1761" t="s"/>
      <c r="G1761" t="s"/>
      <c r="H1761" t="s"/>
      <c r="I1761" t="s"/>
      <c r="J1761" t="n">
        <v>-0.1306</v>
      </c>
      <c r="K1761" t="n">
        <v>0.097</v>
      </c>
      <c r="L1761" t="n">
        <v>0.829</v>
      </c>
      <c r="M1761" t="n">
        <v>0.074</v>
      </c>
    </row>
    <row r="1762" spans="1:13">
      <c r="A1762" s="1">
        <f>HYPERLINK("http://www.twitter.com/NathanBLawrence/status/993191615266205697", "993191615266205697")</f>
        <v/>
      </c>
      <c r="B1762" s="2" t="n">
        <v>43226.75819444445</v>
      </c>
      <c r="C1762" t="n">
        <v>0</v>
      </c>
      <c r="D1762" t="n">
        <v>26</v>
      </c>
      <c r="E1762" t="s">
        <v>1747</v>
      </c>
      <c r="F1762" t="s"/>
      <c r="G1762" t="s"/>
      <c r="H1762" t="s"/>
      <c r="I1762" t="s"/>
      <c r="J1762" t="n">
        <v>0.5106000000000001</v>
      </c>
      <c r="K1762" t="n">
        <v>0.082</v>
      </c>
      <c r="L1762" t="n">
        <v>0.637</v>
      </c>
      <c r="M1762" t="n">
        <v>0.281</v>
      </c>
    </row>
    <row r="1763" spans="1:13">
      <c r="A1763" s="1">
        <f>HYPERLINK("http://www.twitter.com/NathanBLawrence/status/993191439478743041", "993191439478743041")</f>
        <v/>
      </c>
      <c r="B1763" s="2" t="n">
        <v>43226.75770833333</v>
      </c>
      <c r="C1763" t="n">
        <v>0</v>
      </c>
      <c r="D1763" t="n">
        <v>0</v>
      </c>
      <c r="E1763" t="s">
        <v>1748</v>
      </c>
      <c r="F1763" t="s"/>
      <c r="G1763" t="s"/>
      <c r="H1763" t="s"/>
      <c r="I1763" t="s"/>
      <c r="J1763" t="n">
        <v>0</v>
      </c>
      <c r="K1763" t="n">
        <v>0</v>
      </c>
      <c r="L1763" t="n">
        <v>1</v>
      </c>
      <c r="M1763" t="n">
        <v>0</v>
      </c>
    </row>
    <row r="1764" spans="1:13">
      <c r="A1764" s="1">
        <f>HYPERLINK("http://www.twitter.com/NathanBLawrence/status/993181707997208577", "993181707997208577")</f>
        <v/>
      </c>
      <c r="B1764" s="2" t="n">
        <v>43226.73085648148</v>
      </c>
      <c r="C1764" t="n">
        <v>0</v>
      </c>
      <c r="D1764" t="n">
        <v>4</v>
      </c>
      <c r="E1764" t="s">
        <v>1749</v>
      </c>
      <c r="F1764" t="s"/>
      <c r="G1764" t="s"/>
      <c r="H1764" t="s"/>
      <c r="I1764" t="s"/>
      <c r="J1764" t="n">
        <v>0.5719</v>
      </c>
      <c r="K1764" t="n">
        <v>0</v>
      </c>
      <c r="L1764" t="n">
        <v>0.791</v>
      </c>
      <c r="M1764" t="n">
        <v>0.209</v>
      </c>
    </row>
    <row r="1765" spans="1:13">
      <c r="A1765" s="1">
        <f>HYPERLINK("http://www.twitter.com/NathanBLawrence/status/993181635821604865", "993181635821604865")</f>
        <v/>
      </c>
      <c r="B1765" s="2" t="n">
        <v>43226.73065972222</v>
      </c>
      <c r="C1765" t="n">
        <v>0</v>
      </c>
      <c r="D1765" t="n">
        <v>29</v>
      </c>
      <c r="E1765" t="s">
        <v>1750</v>
      </c>
      <c r="F1765" t="s"/>
      <c r="G1765" t="s"/>
      <c r="H1765" t="s"/>
      <c r="I1765" t="s"/>
      <c r="J1765" t="n">
        <v>0.2023</v>
      </c>
      <c r="K1765" t="n">
        <v>0.08400000000000001</v>
      </c>
      <c r="L1765" t="n">
        <v>0.796</v>
      </c>
      <c r="M1765" t="n">
        <v>0.119</v>
      </c>
    </row>
    <row r="1766" spans="1:13">
      <c r="A1766" s="1">
        <f>HYPERLINK("http://www.twitter.com/NathanBLawrence/status/993181469324529666", "993181469324529666")</f>
        <v/>
      </c>
      <c r="B1766" s="2" t="n">
        <v>43226.73019675926</v>
      </c>
      <c r="C1766" t="n">
        <v>2</v>
      </c>
      <c r="D1766" t="n">
        <v>0</v>
      </c>
      <c r="E1766" t="s">
        <v>1751</v>
      </c>
      <c r="F1766" t="s"/>
      <c r="G1766" t="s"/>
      <c r="H1766" t="s"/>
      <c r="I1766" t="s"/>
      <c r="J1766" t="n">
        <v>-0.4215</v>
      </c>
      <c r="K1766" t="n">
        <v>0.359</v>
      </c>
      <c r="L1766" t="n">
        <v>0.641</v>
      </c>
      <c r="M1766" t="n">
        <v>0</v>
      </c>
    </row>
    <row r="1767" spans="1:13">
      <c r="A1767" s="1">
        <f>HYPERLINK("http://www.twitter.com/NathanBLawrence/status/992950880994516997", "992950880994516997")</f>
        <v/>
      </c>
      <c r="B1767" s="2" t="n">
        <v>43226.09388888889</v>
      </c>
      <c r="C1767" t="n">
        <v>0</v>
      </c>
      <c r="D1767" t="n">
        <v>14</v>
      </c>
      <c r="E1767" t="s">
        <v>1752</v>
      </c>
      <c r="F1767" t="s"/>
      <c r="G1767" t="s"/>
      <c r="H1767" t="s"/>
      <c r="I1767" t="s"/>
      <c r="J1767" t="n">
        <v>0</v>
      </c>
      <c r="K1767" t="n">
        <v>0</v>
      </c>
      <c r="L1767" t="n">
        <v>1</v>
      </c>
      <c r="M1767" t="n">
        <v>0</v>
      </c>
    </row>
    <row r="1768" spans="1:13">
      <c r="A1768" s="1">
        <f>HYPERLINK("http://www.twitter.com/NathanBLawrence/status/992950869124665344", "992950869124665344")</f>
        <v/>
      </c>
      <c r="B1768" s="2" t="n">
        <v>43226.09385416667</v>
      </c>
      <c r="C1768" t="n">
        <v>0</v>
      </c>
      <c r="D1768" t="n">
        <v>25</v>
      </c>
      <c r="E1768" t="s">
        <v>1750</v>
      </c>
      <c r="F1768" t="s"/>
      <c r="G1768" t="s"/>
      <c r="H1768" t="s"/>
      <c r="I1768" t="s"/>
      <c r="J1768" t="n">
        <v>0.2023</v>
      </c>
      <c r="K1768" t="n">
        <v>0.08400000000000001</v>
      </c>
      <c r="L1768" t="n">
        <v>0.796</v>
      </c>
      <c r="M1768" t="n">
        <v>0.119</v>
      </c>
    </row>
    <row r="1769" spans="1:13">
      <c r="A1769" s="1">
        <f>HYPERLINK("http://www.twitter.com/NathanBLawrence/status/992920605027700736", "992920605027700736")</f>
        <v/>
      </c>
      <c r="B1769" s="2" t="n">
        <v>43226.01034722223</v>
      </c>
      <c r="C1769" t="n">
        <v>2</v>
      </c>
      <c r="D1769" t="n">
        <v>1</v>
      </c>
      <c r="E1769" t="s">
        <v>1753</v>
      </c>
      <c r="F1769" t="s"/>
      <c r="G1769" t="s"/>
      <c r="H1769" t="s"/>
      <c r="I1769" t="s"/>
      <c r="J1769" t="n">
        <v>-0.6249</v>
      </c>
      <c r="K1769" t="n">
        <v>0.07199999999999999</v>
      </c>
      <c r="L1769" t="n">
        <v>0.928</v>
      </c>
      <c r="M1769" t="n">
        <v>0</v>
      </c>
    </row>
    <row r="1770" spans="1:13">
      <c r="A1770" s="1">
        <f>HYPERLINK("http://www.twitter.com/NathanBLawrence/status/992920250613149696", "992920250613149696")</f>
        <v/>
      </c>
      <c r="B1770" s="2" t="n">
        <v>43226.00936342592</v>
      </c>
      <c r="C1770" t="n">
        <v>0</v>
      </c>
      <c r="D1770" t="n">
        <v>21</v>
      </c>
      <c r="E1770" t="s">
        <v>1754</v>
      </c>
      <c r="F1770" t="s"/>
      <c r="G1770" t="s"/>
      <c r="H1770" t="s"/>
      <c r="I1770" t="s"/>
      <c r="J1770" t="n">
        <v>0</v>
      </c>
      <c r="K1770" t="n">
        <v>0</v>
      </c>
      <c r="L1770" t="n">
        <v>1</v>
      </c>
      <c r="M1770" t="n">
        <v>0</v>
      </c>
    </row>
    <row r="1771" spans="1:13">
      <c r="A1771" s="1">
        <f>HYPERLINK("http://www.twitter.com/NathanBLawrence/status/992873835241275393", "992873835241275393")</f>
        <v/>
      </c>
      <c r="B1771" s="2" t="n">
        <v>43225.88128472222</v>
      </c>
      <c r="C1771" t="n">
        <v>0</v>
      </c>
      <c r="D1771" t="n">
        <v>5</v>
      </c>
      <c r="E1771" t="s">
        <v>1755</v>
      </c>
      <c r="F1771" t="s"/>
      <c r="G1771" t="s"/>
      <c r="H1771" t="s"/>
      <c r="I1771" t="s"/>
      <c r="J1771" t="n">
        <v>0.2263</v>
      </c>
      <c r="K1771" t="n">
        <v>0.103</v>
      </c>
      <c r="L1771" t="n">
        <v>0.657</v>
      </c>
      <c r="M1771" t="n">
        <v>0.239</v>
      </c>
    </row>
    <row r="1772" spans="1:13">
      <c r="A1772" s="1">
        <f>HYPERLINK("http://www.twitter.com/NathanBLawrence/status/992872801295126529", "992872801295126529")</f>
        <v/>
      </c>
      <c r="B1772" s="2" t="n">
        <v>43225.8784375</v>
      </c>
      <c r="C1772" t="n">
        <v>0</v>
      </c>
      <c r="D1772" t="n">
        <v>63</v>
      </c>
      <c r="E1772" t="s">
        <v>1756</v>
      </c>
      <c r="F1772">
        <f>HYPERLINK("http://pbs.twimg.com/media/Dccr2dEW0AAVxej.jpg", "http://pbs.twimg.com/media/Dccr2dEW0AAVxej.jpg")</f>
        <v/>
      </c>
      <c r="G1772" t="s"/>
      <c r="H1772" t="s"/>
      <c r="I1772" t="s"/>
      <c r="J1772" t="n">
        <v>0.25</v>
      </c>
      <c r="K1772" t="n">
        <v>0</v>
      </c>
      <c r="L1772" t="n">
        <v>0.867</v>
      </c>
      <c r="M1772" t="n">
        <v>0.133</v>
      </c>
    </row>
    <row r="1773" spans="1:13">
      <c r="A1773" s="1">
        <f>HYPERLINK("http://www.twitter.com/NathanBLawrence/status/992872649859780611", "992872649859780611")</f>
        <v/>
      </c>
      <c r="B1773" s="2" t="n">
        <v>43225.87802083333</v>
      </c>
      <c r="C1773" t="n">
        <v>0</v>
      </c>
      <c r="D1773" t="n">
        <v>4</v>
      </c>
      <c r="E1773" t="s">
        <v>1757</v>
      </c>
      <c r="F1773">
        <f>HYPERLINK("http://pbs.twimg.com/media/Dccr4UtXcAEv3-P.jpg", "http://pbs.twimg.com/media/Dccr4UtXcAEv3-P.jpg")</f>
        <v/>
      </c>
      <c r="G1773" t="s"/>
      <c r="H1773" t="s"/>
      <c r="I1773" t="s"/>
      <c r="J1773" t="n">
        <v>0.0772</v>
      </c>
      <c r="K1773" t="n">
        <v>0.089</v>
      </c>
      <c r="L1773" t="n">
        <v>0.8100000000000001</v>
      </c>
      <c r="M1773" t="n">
        <v>0.101</v>
      </c>
    </row>
    <row r="1774" spans="1:13">
      <c r="A1774" s="1">
        <f>HYPERLINK("http://www.twitter.com/NathanBLawrence/status/992847027385102336", "992847027385102336")</f>
        <v/>
      </c>
      <c r="B1774" s="2" t="n">
        <v>43225.80731481482</v>
      </c>
      <c r="C1774" t="n">
        <v>0</v>
      </c>
      <c r="D1774" t="n">
        <v>17</v>
      </c>
      <c r="E1774" t="s">
        <v>1758</v>
      </c>
      <c r="F1774" t="s"/>
      <c r="G1774" t="s"/>
      <c r="H1774" t="s"/>
      <c r="I1774" t="s"/>
      <c r="J1774" t="n">
        <v>0</v>
      </c>
      <c r="K1774" t="n">
        <v>0</v>
      </c>
      <c r="L1774" t="n">
        <v>1</v>
      </c>
      <c r="M1774" t="n">
        <v>0</v>
      </c>
    </row>
    <row r="1775" spans="1:13">
      <c r="A1775" s="1">
        <f>HYPERLINK("http://www.twitter.com/NathanBLawrence/status/992847003410452486", "992847003410452486")</f>
        <v/>
      </c>
      <c r="B1775" s="2" t="n">
        <v>43225.80724537037</v>
      </c>
      <c r="C1775" t="n">
        <v>23</v>
      </c>
      <c r="D1775" t="n">
        <v>17</v>
      </c>
      <c r="E1775" t="s">
        <v>1759</v>
      </c>
      <c r="F1775" t="s"/>
      <c r="G1775" t="s"/>
      <c r="H1775" t="s"/>
      <c r="I1775" t="s"/>
      <c r="J1775" t="n">
        <v>0.1154</v>
      </c>
      <c r="K1775" t="n">
        <v>0</v>
      </c>
      <c r="L1775" t="n">
        <v>0.962</v>
      </c>
      <c r="M1775" t="n">
        <v>0.038</v>
      </c>
    </row>
    <row r="1776" spans="1:13">
      <c r="A1776" s="1">
        <f>HYPERLINK("http://www.twitter.com/NathanBLawrence/status/992823921329295361", "992823921329295361")</f>
        <v/>
      </c>
      <c r="B1776" s="2" t="n">
        <v>43225.74355324074</v>
      </c>
      <c r="C1776" t="n">
        <v>0</v>
      </c>
      <c r="D1776" t="n">
        <v>8</v>
      </c>
      <c r="E1776" t="s">
        <v>1760</v>
      </c>
      <c r="F1776">
        <f>HYPERLINK("http://pbs.twimg.com/media/Dcc0jb6U8AUXyGr.jpg", "http://pbs.twimg.com/media/Dcc0jb6U8AUXyGr.jpg")</f>
        <v/>
      </c>
      <c r="G1776" t="s"/>
      <c r="H1776" t="s"/>
      <c r="I1776" t="s"/>
      <c r="J1776" t="n">
        <v>-0.7906</v>
      </c>
      <c r="K1776" t="n">
        <v>0.259</v>
      </c>
      <c r="L1776" t="n">
        <v>0.741</v>
      </c>
      <c r="M1776" t="n">
        <v>0</v>
      </c>
    </row>
    <row r="1777" spans="1:13">
      <c r="A1777" s="1">
        <f>HYPERLINK("http://www.twitter.com/NathanBLawrence/status/992810279569326080", "992810279569326080")</f>
        <v/>
      </c>
      <c r="B1777" s="2" t="n">
        <v>43225.70590277778</v>
      </c>
      <c r="C1777" t="n">
        <v>0</v>
      </c>
      <c r="D1777" t="n">
        <v>68856</v>
      </c>
      <c r="E1777" t="s">
        <v>1761</v>
      </c>
      <c r="F1777" t="s"/>
      <c r="G1777" t="s"/>
      <c r="H1777" t="s"/>
      <c r="I1777" t="s"/>
      <c r="J1777" t="n">
        <v>0.3182</v>
      </c>
      <c r="K1777" t="n">
        <v>0</v>
      </c>
      <c r="L1777" t="n">
        <v>0.777</v>
      </c>
      <c r="M1777" t="n">
        <v>0.223</v>
      </c>
    </row>
    <row r="1778" spans="1:13">
      <c r="A1778" s="1">
        <f>HYPERLINK("http://www.twitter.com/NathanBLawrence/status/992809877243400192", "992809877243400192")</f>
        <v/>
      </c>
      <c r="B1778" s="2" t="n">
        <v>43225.70479166666</v>
      </c>
      <c r="C1778" t="n">
        <v>0</v>
      </c>
      <c r="D1778" t="n">
        <v>7</v>
      </c>
      <c r="E1778" t="s">
        <v>1762</v>
      </c>
      <c r="F1778" t="s"/>
      <c r="G1778" t="s"/>
      <c r="H1778" t="s"/>
      <c r="I1778" t="s"/>
      <c r="J1778" t="n">
        <v>-0.27</v>
      </c>
      <c r="K1778" t="n">
        <v>0.166</v>
      </c>
      <c r="L1778" t="n">
        <v>0.672</v>
      </c>
      <c r="M1778" t="n">
        <v>0.163</v>
      </c>
    </row>
    <row r="1779" spans="1:13">
      <c r="A1779" s="1">
        <f>HYPERLINK("http://www.twitter.com/NathanBLawrence/status/992809655402418176", "992809655402418176")</f>
        <v/>
      </c>
      <c r="B1779" s="2" t="n">
        <v>43225.70418981482</v>
      </c>
      <c r="C1779" t="n">
        <v>0</v>
      </c>
      <c r="D1779" t="n">
        <v>9443</v>
      </c>
      <c r="E1779" t="s">
        <v>1763</v>
      </c>
      <c r="F1779" t="s"/>
      <c r="G1779" t="s"/>
      <c r="H1779" t="s"/>
      <c r="I1779" t="s"/>
      <c r="J1779" t="n">
        <v>0.9169</v>
      </c>
      <c r="K1779" t="n">
        <v>0</v>
      </c>
      <c r="L1779" t="n">
        <v>0.608</v>
      </c>
      <c r="M1779" t="n">
        <v>0.392</v>
      </c>
    </row>
    <row r="1780" spans="1:13">
      <c r="A1780" s="1">
        <f>HYPERLINK("http://www.twitter.com/NathanBLawrence/status/992804288723406848", "992804288723406848")</f>
        <v/>
      </c>
      <c r="B1780" s="2" t="n">
        <v>43225.689375</v>
      </c>
      <c r="C1780" t="n">
        <v>0</v>
      </c>
      <c r="D1780" t="n">
        <v>11</v>
      </c>
      <c r="E1780" t="s">
        <v>1764</v>
      </c>
      <c r="F1780" t="s"/>
      <c r="G1780" t="s"/>
      <c r="H1780" t="s"/>
      <c r="I1780" t="s"/>
      <c r="J1780" t="n">
        <v>0.3256</v>
      </c>
      <c r="K1780" t="n">
        <v>0.145</v>
      </c>
      <c r="L1780" t="n">
        <v>0.628</v>
      </c>
      <c r="M1780" t="n">
        <v>0.227</v>
      </c>
    </row>
    <row r="1781" spans="1:13">
      <c r="A1781" s="1">
        <f>HYPERLINK("http://www.twitter.com/NathanBLawrence/status/992804262412513280", "992804262412513280")</f>
        <v/>
      </c>
      <c r="B1781" s="2" t="n">
        <v>43225.68930555556</v>
      </c>
      <c r="C1781" t="n">
        <v>0</v>
      </c>
      <c r="D1781" t="n">
        <v>4</v>
      </c>
      <c r="E1781" t="s">
        <v>1765</v>
      </c>
      <c r="F1781" t="s"/>
      <c r="G1781" t="s"/>
      <c r="H1781" t="s"/>
      <c r="I1781" t="s"/>
      <c r="J1781" t="n">
        <v>0</v>
      </c>
      <c r="K1781" t="n">
        <v>0</v>
      </c>
      <c r="L1781" t="n">
        <v>1</v>
      </c>
      <c r="M1781" t="n">
        <v>0</v>
      </c>
    </row>
    <row r="1782" spans="1:13">
      <c r="A1782" s="1">
        <f>HYPERLINK("http://www.twitter.com/NathanBLawrence/status/992804204334014464", "992804204334014464")</f>
        <v/>
      </c>
      <c r="B1782" s="2" t="n">
        <v>43225.68914351852</v>
      </c>
      <c r="C1782" t="n">
        <v>0</v>
      </c>
      <c r="D1782" t="n">
        <v>10</v>
      </c>
      <c r="E1782" t="s">
        <v>1766</v>
      </c>
      <c r="F1782">
        <f>HYPERLINK("http://pbs.twimg.com/media/DccUrJXV0AEIyFR.jpg", "http://pbs.twimg.com/media/DccUrJXV0AEIyFR.jpg")</f>
        <v/>
      </c>
      <c r="G1782" t="s"/>
      <c r="H1782" t="s"/>
      <c r="I1782" t="s"/>
      <c r="J1782" t="n">
        <v>0</v>
      </c>
      <c r="K1782" t="n">
        <v>0</v>
      </c>
      <c r="L1782" t="n">
        <v>1</v>
      </c>
      <c r="M1782" t="n">
        <v>0</v>
      </c>
    </row>
    <row r="1783" spans="1:13">
      <c r="A1783" s="1">
        <f>HYPERLINK("http://www.twitter.com/NathanBLawrence/status/992804190056599555", "992804190056599555")</f>
        <v/>
      </c>
      <c r="B1783" s="2" t="n">
        <v>43225.68909722222</v>
      </c>
      <c r="C1783" t="n">
        <v>7</v>
      </c>
      <c r="D1783" t="n">
        <v>6</v>
      </c>
      <c r="E1783" t="s">
        <v>1767</v>
      </c>
      <c r="F1783" t="s"/>
      <c r="G1783" t="s"/>
      <c r="H1783" t="s"/>
      <c r="I1783" t="s"/>
      <c r="J1783" t="n">
        <v>-0.5574</v>
      </c>
      <c r="K1783" t="n">
        <v>0.107</v>
      </c>
      <c r="L1783" t="n">
        <v>0.893</v>
      </c>
      <c r="M1783" t="n">
        <v>0</v>
      </c>
    </row>
    <row r="1784" spans="1:13">
      <c r="A1784" s="1">
        <f>HYPERLINK("http://www.twitter.com/NathanBLawrence/status/992803840419356672", "992803840419356672")</f>
        <v/>
      </c>
      <c r="B1784" s="2" t="n">
        <v>43225.68813657408</v>
      </c>
      <c r="C1784" t="n">
        <v>0</v>
      </c>
      <c r="D1784" t="n">
        <v>11</v>
      </c>
      <c r="E1784" t="s">
        <v>1768</v>
      </c>
      <c r="F1784" t="s"/>
      <c r="G1784" t="s"/>
      <c r="H1784" t="s"/>
      <c r="I1784" t="s"/>
      <c r="J1784" t="n">
        <v>0</v>
      </c>
      <c r="K1784" t="n">
        <v>0</v>
      </c>
      <c r="L1784" t="n">
        <v>1</v>
      </c>
      <c r="M1784" t="n">
        <v>0</v>
      </c>
    </row>
    <row r="1785" spans="1:13">
      <c r="A1785" s="1">
        <f>HYPERLINK("http://www.twitter.com/NathanBLawrence/status/992803363522826240", "992803363522826240")</f>
        <v/>
      </c>
      <c r="B1785" s="2" t="n">
        <v>43225.68681712963</v>
      </c>
      <c r="C1785" t="n">
        <v>0</v>
      </c>
      <c r="D1785" t="n">
        <v>12</v>
      </c>
      <c r="E1785" t="s">
        <v>1769</v>
      </c>
      <c r="F1785" t="s"/>
      <c r="G1785" t="s"/>
      <c r="H1785" t="s"/>
      <c r="I1785" t="s"/>
      <c r="J1785" t="n">
        <v>0.3182</v>
      </c>
      <c r="K1785" t="n">
        <v>0</v>
      </c>
      <c r="L1785" t="n">
        <v>0.85</v>
      </c>
      <c r="M1785" t="n">
        <v>0.15</v>
      </c>
    </row>
    <row r="1786" spans="1:13">
      <c r="A1786" s="1">
        <f>HYPERLINK("http://www.twitter.com/NathanBLawrence/status/992802679087824897", "992802679087824897")</f>
        <v/>
      </c>
      <c r="B1786" s="2" t="n">
        <v>43225.68493055556</v>
      </c>
      <c r="C1786" t="n">
        <v>0</v>
      </c>
      <c r="D1786" t="n">
        <v>11</v>
      </c>
      <c r="E1786" t="s">
        <v>1770</v>
      </c>
      <c r="F1786">
        <f>HYPERLINK("http://pbs.twimg.com/media/DcZWKwqVAAACxjA.jpg", "http://pbs.twimg.com/media/DcZWKwqVAAACxjA.jpg")</f>
        <v/>
      </c>
      <c r="G1786" t="s"/>
      <c r="H1786" t="s"/>
      <c r="I1786" t="s"/>
      <c r="J1786" t="n">
        <v>-0.5574</v>
      </c>
      <c r="K1786" t="n">
        <v>0.272</v>
      </c>
      <c r="L1786" t="n">
        <v>0.6</v>
      </c>
      <c r="M1786" t="n">
        <v>0.128</v>
      </c>
    </row>
    <row r="1787" spans="1:13">
      <c r="A1787" s="1">
        <f>HYPERLINK("http://www.twitter.com/NathanBLawrence/status/992802647542583296", "992802647542583296")</f>
        <v/>
      </c>
      <c r="B1787" s="2" t="n">
        <v>43225.68484953704</v>
      </c>
      <c r="C1787" t="n">
        <v>0</v>
      </c>
      <c r="D1787" t="n">
        <v>3</v>
      </c>
      <c r="E1787" t="s">
        <v>1771</v>
      </c>
      <c r="F1787" t="s"/>
      <c r="G1787" t="s"/>
      <c r="H1787" t="s"/>
      <c r="I1787" t="s"/>
      <c r="J1787" t="n">
        <v>0</v>
      </c>
      <c r="K1787" t="n">
        <v>0</v>
      </c>
      <c r="L1787" t="n">
        <v>1</v>
      </c>
      <c r="M1787" t="n">
        <v>0</v>
      </c>
    </row>
    <row r="1788" spans="1:13">
      <c r="A1788" s="1">
        <f>HYPERLINK("http://www.twitter.com/NathanBLawrence/status/992802631327371264", "992802631327371264")</f>
        <v/>
      </c>
      <c r="B1788" s="2" t="n">
        <v>43225.68480324074</v>
      </c>
      <c r="C1788" t="n">
        <v>0</v>
      </c>
      <c r="D1788" t="n">
        <v>35875</v>
      </c>
      <c r="E1788" t="s">
        <v>1772</v>
      </c>
      <c r="F1788" t="s"/>
      <c r="G1788" t="s"/>
      <c r="H1788" t="s"/>
      <c r="I1788" t="s"/>
      <c r="J1788" t="n">
        <v>0.4939</v>
      </c>
      <c r="K1788" t="n">
        <v>0</v>
      </c>
      <c r="L1788" t="n">
        <v>0.758</v>
      </c>
      <c r="M1788" t="n">
        <v>0.242</v>
      </c>
    </row>
    <row r="1789" spans="1:13">
      <c r="A1789" s="1">
        <f>HYPERLINK("http://www.twitter.com/NathanBLawrence/status/992793629101101056", "992793629101101056")</f>
        <v/>
      </c>
      <c r="B1789" s="2" t="n">
        <v>43225.65996527778</v>
      </c>
      <c r="C1789" t="n">
        <v>0</v>
      </c>
      <c r="D1789" t="n">
        <v>19</v>
      </c>
      <c r="E1789" t="s">
        <v>1773</v>
      </c>
      <c r="F1789">
        <f>HYPERLINK("http://pbs.twimg.com/media/DccL8dvXkAAY4G0.jpg", "http://pbs.twimg.com/media/DccL8dvXkAAY4G0.jpg")</f>
        <v/>
      </c>
      <c r="G1789" t="s"/>
      <c r="H1789" t="s"/>
      <c r="I1789" t="s"/>
      <c r="J1789" t="n">
        <v>-0.3853</v>
      </c>
      <c r="K1789" t="n">
        <v>0.116</v>
      </c>
      <c r="L1789" t="n">
        <v>0.884</v>
      </c>
      <c r="M1789" t="n">
        <v>0</v>
      </c>
    </row>
    <row r="1790" spans="1:13">
      <c r="A1790" s="1">
        <f>HYPERLINK("http://www.twitter.com/NathanBLawrence/status/992793149906063361", "992793149906063361")</f>
        <v/>
      </c>
      <c r="B1790" s="2" t="n">
        <v>43225.65863425926</v>
      </c>
      <c r="C1790" t="n">
        <v>0</v>
      </c>
      <c r="D1790" t="n">
        <v>215</v>
      </c>
      <c r="E1790" t="s">
        <v>1774</v>
      </c>
      <c r="F1790">
        <f>HYPERLINK("http://pbs.twimg.com/media/Dcb574TUQAAPfDp.jpg", "http://pbs.twimg.com/media/Dcb574TUQAAPfDp.jpg")</f>
        <v/>
      </c>
      <c r="G1790" t="s"/>
      <c r="H1790" t="s"/>
      <c r="I1790" t="s"/>
      <c r="J1790" t="n">
        <v>0</v>
      </c>
      <c r="K1790" t="n">
        <v>0</v>
      </c>
      <c r="L1790" t="n">
        <v>1</v>
      </c>
      <c r="M1790" t="n">
        <v>0</v>
      </c>
    </row>
    <row r="1791" spans="1:13">
      <c r="A1791" s="1">
        <f>HYPERLINK("http://www.twitter.com/NathanBLawrence/status/992792320696254464", "992792320696254464")</f>
        <v/>
      </c>
      <c r="B1791" s="2" t="n">
        <v>43225.65635416667</v>
      </c>
      <c r="C1791" t="n">
        <v>0</v>
      </c>
      <c r="D1791" t="n">
        <v>2089</v>
      </c>
      <c r="E1791" t="s">
        <v>1775</v>
      </c>
      <c r="F1791" t="s"/>
      <c r="G1791" t="s"/>
      <c r="H1791" t="s"/>
      <c r="I1791" t="s"/>
      <c r="J1791" t="n">
        <v>0.3612</v>
      </c>
      <c r="K1791" t="n">
        <v>0</v>
      </c>
      <c r="L1791" t="n">
        <v>0.894</v>
      </c>
      <c r="M1791" t="n">
        <v>0.106</v>
      </c>
    </row>
    <row r="1792" spans="1:13">
      <c r="A1792" s="1">
        <f>HYPERLINK("http://www.twitter.com/NathanBLawrence/status/992789697389907970", "992789697389907970")</f>
        <v/>
      </c>
      <c r="B1792" s="2" t="n">
        <v>43225.64910879629</v>
      </c>
      <c r="C1792" t="n">
        <v>0</v>
      </c>
      <c r="D1792" t="n">
        <v>8</v>
      </c>
      <c r="E1792" t="s">
        <v>1776</v>
      </c>
      <c r="F1792" t="s"/>
      <c r="G1792" t="s"/>
      <c r="H1792" t="s"/>
      <c r="I1792" t="s"/>
      <c r="J1792" t="n">
        <v>0</v>
      </c>
      <c r="K1792" t="n">
        <v>0</v>
      </c>
      <c r="L1792" t="n">
        <v>1</v>
      </c>
      <c r="M1792" t="n">
        <v>0</v>
      </c>
    </row>
    <row r="1793" spans="1:13">
      <c r="A1793" s="1">
        <f>HYPERLINK("http://www.twitter.com/NathanBLawrence/status/992789559720267778", "992789559720267778")</f>
        <v/>
      </c>
      <c r="B1793" s="2" t="n">
        <v>43225.64872685185</v>
      </c>
      <c r="C1793" t="n">
        <v>0</v>
      </c>
      <c r="D1793" t="n">
        <v>3</v>
      </c>
      <c r="E1793" t="s">
        <v>1777</v>
      </c>
      <c r="F1793" t="s"/>
      <c r="G1793" t="s"/>
      <c r="H1793" t="s"/>
      <c r="I1793" t="s"/>
      <c r="J1793" t="n">
        <v>0</v>
      </c>
      <c r="K1793" t="n">
        <v>0</v>
      </c>
      <c r="L1793" t="n">
        <v>1</v>
      </c>
      <c r="M1793" t="n">
        <v>0</v>
      </c>
    </row>
    <row r="1794" spans="1:13">
      <c r="A1794" s="1">
        <f>HYPERLINK("http://www.twitter.com/NathanBLawrence/status/992789528959160320", "992789528959160320")</f>
        <v/>
      </c>
      <c r="B1794" s="2" t="n">
        <v>43225.64864583333</v>
      </c>
      <c r="C1794" t="n">
        <v>0</v>
      </c>
      <c r="D1794" t="n">
        <v>4</v>
      </c>
      <c r="E1794" t="s">
        <v>1778</v>
      </c>
      <c r="F1794" t="s"/>
      <c r="G1794" t="s"/>
      <c r="H1794" t="s"/>
      <c r="I1794" t="s"/>
      <c r="J1794" t="n">
        <v>-0.3182</v>
      </c>
      <c r="K1794" t="n">
        <v>0.091</v>
      </c>
      <c r="L1794" t="n">
        <v>0.909</v>
      </c>
      <c r="M1794" t="n">
        <v>0</v>
      </c>
    </row>
    <row r="1795" spans="1:13">
      <c r="A1795" s="1">
        <f>HYPERLINK("http://www.twitter.com/NathanBLawrence/status/992789465096708096", "992789465096708096")</f>
        <v/>
      </c>
      <c r="B1795" s="2" t="n">
        <v>43225.64847222222</v>
      </c>
      <c r="C1795" t="n">
        <v>0</v>
      </c>
      <c r="D1795" t="n">
        <v>8</v>
      </c>
      <c r="E1795" t="s">
        <v>1779</v>
      </c>
      <c r="F1795" t="s"/>
      <c r="G1795" t="s"/>
      <c r="H1795" t="s"/>
      <c r="I1795" t="s"/>
      <c r="J1795" t="n">
        <v>-0.4939</v>
      </c>
      <c r="K1795" t="n">
        <v>0.251</v>
      </c>
      <c r="L1795" t="n">
        <v>0.653</v>
      </c>
      <c r="M1795" t="n">
        <v>0.096</v>
      </c>
    </row>
    <row r="1796" spans="1:13">
      <c r="A1796" s="1">
        <f>HYPERLINK("http://www.twitter.com/NathanBLawrence/status/992789214277365760", "992789214277365760")</f>
        <v/>
      </c>
      <c r="B1796" s="2" t="n">
        <v>43225.64777777778</v>
      </c>
      <c r="C1796" t="n">
        <v>0</v>
      </c>
      <c r="D1796" t="n">
        <v>10</v>
      </c>
      <c r="E1796" t="s">
        <v>1780</v>
      </c>
      <c r="F1796" t="s"/>
      <c r="G1796" t="s"/>
      <c r="H1796" t="s"/>
      <c r="I1796" t="s"/>
      <c r="J1796" t="n">
        <v>-0.6597</v>
      </c>
      <c r="K1796" t="n">
        <v>0.275</v>
      </c>
      <c r="L1796" t="n">
        <v>0.629</v>
      </c>
      <c r="M1796" t="n">
        <v>0.096</v>
      </c>
    </row>
    <row r="1797" spans="1:13">
      <c r="A1797" s="1">
        <f>HYPERLINK("http://www.twitter.com/NathanBLawrence/status/992788325353345029", "992788325353345029")</f>
        <v/>
      </c>
      <c r="B1797" s="2" t="n">
        <v>43225.64532407407</v>
      </c>
      <c r="C1797" t="n">
        <v>0</v>
      </c>
      <c r="D1797" t="n">
        <v>957</v>
      </c>
      <c r="E1797" t="s">
        <v>1781</v>
      </c>
      <c r="F1797" t="s"/>
      <c r="G1797" t="s"/>
      <c r="H1797" t="s"/>
      <c r="I1797" t="s"/>
      <c r="J1797" t="n">
        <v>-0.4767</v>
      </c>
      <c r="K1797" t="n">
        <v>0.129</v>
      </c>
      <c r="L1797" t="n">
        <v>0.871</v>
      </c>
      <c r="M1797" t="n">
        <v>0</v>
      </c>
    </row>
    <row r="1798" spans="1:13">
      <c r="A1798" s="1">
        <f>HYPERLINK("http://www.twitter.com/NathanBLawrence/status/992788298010591232", "992788298010591232")</f>
        <v/>
      </c>
      <c r="B1798" s="2" t="n">
        <v>43225.64525462963</v>
      </c>
      <c r="C1798" t="n">
        <v>0</v>
      </c>
      <c r="D1798" t="n">
        <v>2134</v>
      </c>
      <c r="E1798" t="s">
        <v>1782</v>
      </c>
      <c r="F1798" t="s"/>
      <c r="G1798" t="s"/>
      <c r="H1798" t="s"/>
      <c r="I1798" t="s"/>
      <c r="J1798" t="n">
        <v>0.8689</v>
      </c>
      <c r="K1798" t="n">
        <v>0</v>
      </c>
      <c r="L1798" t="n">
        <v>0.66</v>
      </c>
      <c r="M1798" t="n">
        <v>0.34</v>
      </c>
    </row>
    <row r="1799" spans="1:13">
      <c r="A1799" s="1">
        <f>HYPERLINK("http://www.twitter.com/NathanBLawrence/status/992788194780426240", "992788194780426240")</f>
        <v/>
      </c>
      <c r="B1799" s="2" t="n">
        <v>43225.64496527778</v>
      </c>
      <c r="C1799" t="n">
        <v>0</v>
      </c>
      <c r="D1799" t="n">
        <v>12</v>
      </c>
      <c r="E1799" t="s">
        <v>1783</v>
      </c>
      <c r="F1799">
        <f>HYPERLINK("http://pbs.twimg.com/media/DcJPxa6XkAAtM2v.jpg", "http://pbs.twimg.com/media/DcJPxa6XkAAtM2v.jpg")</f>
        <v/>
      </c>
      <c r="G1799">
        <f>HYPERLINK("http://pbs.twimg.com/media/DcJPxa1WkAA61X8.jpg", "http://pbs.twimg.com/media/DcJPxa1WkAA61X8.jpg")</f>
        <v/>
      </c>
      <c r="H1799">
        <f>HYPERLINK("http://pbs.twimg.com/media/DcJPxa7WsAAhNiX.jpg", "http://pbs.twimg.com/media/DcJPxa7WsAAhNiX.jpg")</f>
        <v/>
      </c>
      <c r="I1799">
        <f>HYPERLINK("http://pbs.twimg.com/media/DcJPxbTX0AEdE77.jpg", "http://pbs.twimg.com/media/DcJPxbTX0AEdE77.jpg")</f>
        <v/>
      </c>
      <c r="J1799" t="n">
        <v>0</v>
      </c>
      <c r="K1799" t="n">
        <v>0</v>
      </c>
      <c r="L1799" t="n">
        <v>1</v>
      </c>
      <c r="M1799" t="n">
        <v>0</v>
      </c>
    </row>
    <row r="1800" spans="1:13">
      <c r="A1800" s="1">
        <f>HYPERLINK("http://www.twitter.com/NathanBLawrence/status/992788133300359168", "992788133300359168")</f>
        <v/>
      </c>
      <c r="B1800" s="2" t="n">
        <v>43225.64479166667</v>
      </c>
      <c r="C1800" t="n">
        <v>0</v>
      </c>
      <c r="D1800" t="n">
        <v>10</v>
      </c>
      <c r="E1800" t="s">
        <v>1784</v>
      </c>
      <c r="F1800" t="s"/>
      <c r="G1800" t="s"/>
      <c r="H1800" t="s"/>
      <c r="I1800" t="s"/>
      <c r="J1800" t="n">
        <v>-0.8955</v>
      </c>
      <c r="K1800" t="n">
        <v>0.351</v>
      </c>
      <c r="L1800" t="n">
        <v>0.649</v>
      </c>
      <c r="M1800" t="n">
        <v>0</v>
      </c>
    </row>
    <row r="1801" spans="1:13">
      <c r="A1801" s="1">
        <f>HYPERLINK("http://www.twitter.com/NathanBLawrence/status/992782900868378624", "992782900868378624")</f>
        <v/>
      </c>
      <c r="B1801" s="2" t="n">
        <v>43225.6303587963</v>
      </c>
      <c r="C1801" t="n">
        <v>12</v>
      </c>
      <c r="D1801" t="n">
        <v>10</v>
      </c>
      <c r="E1801" t="s">
        <v>1785</v>
      </c>
      <c r="F1801" t="s"/>
      <c r="G1801" t="s"/>
      <c r="H1801" t="s"/>
      <c r="I1801" t="s"/>
      <c r="J1801" t="n">
        <v>-0.8955</v>
      </c>
      <c r="K1801" t="n">
        <v>0.258</v>
      </c>
      <c r="L1801" t="n">
        <v>0.742</v>
      </c>
      <c r="M1801" t="n">
        <v>0</v>
      </c>
    </row>
    <row r="1802" spans="1:13">
      <c r="A1802" s="1">
        <f>HYPERLINK("http://www.twitter.com/NathanBLawrence/status/992778461218471939", "992778461218471939")</f>
        <v/>
      </c>
      <c r="B1802" s="2" t="n">
        <v>43225.61810185185</v>
      </c>
      <c r="C1802" t="n">
        <v>2</v>
      </c>
      <c r="D1802" t="n">
        <v>2</v>
      </c>
      <c r="E1802" t="s">
        <v>1786</v>
      </c>
      <c r="F1802" t="s"/>
      <c r="G1802" t="s"/>
      <c r="H1802" t="s"/>
      <c r="I1802" t="s"/>
      <c r="J1802" t="n">
        <v>-0.8062</v>
      </c>
      <c r="K1802" t="n">
        <v>0.177</v>
      </c>
      <c r="L1802" t="n">
        <v>0.774</v>
      </c>
      <c r="M1802" t="n">
        <v>0.049</v>
      </c>
    </row>
    <row r="1803" spans="1:13">
      <c r="A1803" s="1">
        <f>HYPERLINK("http://www.twitter.com/NathanBLawrence/status/992769562776166400", "992769562776166400")</f>
        <v/>
      </c>
      <c r="B1803" s="2" t="n">
        <v>43225.59355324074</v>
      </c>
      <c r="C1803" t="n">
        <v>0</v>
      </c>
      <c r="D1803" t="n">
        <v>11</v>
      </c>
      <c r="E1803" t="s">
        <v>1787</v>
      </c>
      <c r="F1803">
        <f>HYPERLINK("http://pbs.twimg.com/media/DccF0CTVAAAoBYL.jpg", "http://pbs.twimg.com/media/DccF0CTVAAAoBYL.jpg")</f>
        <v/>
      </c>
      <c r="G1803" t="s"/>
      <c r="H1803" t="s"/>
      <c r="I1803" t="s"/>
      <c r="J1803" t="n">
        <v>0.5622</v>
      </c>
      <c r="K1803" t="n">
        <v>0</v>
      </c>
      <c r="L1803" t="n">
        <v>0.768</v>
      </c>
      <c r="M1803" t="n">
        <v>0.232</v>
      </c>
    </row>
    <row r="1804" spans="1:13">
      <c r="A1804" s="1">
        <f>HYPERLINK("http://www.twitter.com/NathanBLawrence/status/992752744468504576", "992752744468504576")</f>
        <v/>
      </c>
      <c r="B1804" s="2" t="n">
        <v>43225.5471412037</v>
      </c>
      <c r="C1804" t="n">
        <v>0</v>
      </c>
      <c r="D1804" t="n">
        <v>13</v>
      </c>
      <c r="E1804" t="s">
        <v>1788</v>
      </c>
      <c r="F1804" t="s"/>
      <c r="G1804" t="s"/>
      <c r="H1804" t="s"/>
      <c r="I1804" t="s"/>
      <c r="J1804" t="n">
        <v>0</v>
      </c>
      <c r="K1804" t="n">
        <v>0</v>
      </c>
      <c r="L1804" t="n">
        <v>1</v>
      </c>
      <c r="M1804" t="n">
        <v>0</v>
      </c>
    </row>
    <row r="1805" spans="1:13">
      <c r="A1805" s="1">
        <f>HYPERLINK("http://www.twitter.com/NathanBLawrence/status/992752700860305408", "992752700860305408")</f>
        <v/>
      </c>
      <c r="B1805" s="2" t="n">
        <v>43225.54701388889</v>
      </c>
      <c r="C1805" t="n">
        <v>0</v>
      </c>
      <c r="D1805" t="n">
        <v>8</v>
      </c>
      <c r="E1805" t="s">
        <v>1789</v>
      </c>
      <c r="F1805" t="s"/>
      <c r="G1805" t="s"/>
      <c r="H1805" t="s"/>
      <c r="I1805" t="s"/>
      <c r="J1805" t="n">
        <v>-0.765</v>
      </c>
      <c r="K1805" t="n">
        <v>0.309</v>
      </c>
      <c r="L1805" t="n">
        <v>0.6909999999999999</v>
      </c>
      <c r="M1805" t="n">
        <v>0</v>
      </c>
    </row>
    <row r="1806" spans="1:13">
      <c r="A1806" s="1">
        <f>HYPERLINK("http://www.twitter.com/NathanBLawrence/status/992747762641928192", "992747762641928192")</f>
        <v/>
      </c>
      <c r="B1806" s="2" t="n">
        <v>43225.5333912037</v>
      </c>
      <c r="C1806" t="n">
        <v>0</v>
      </c>
      <c r="D1806" t="n">
        <v>6</v>
      </c>
      <c r="E1806" t="s">
        <v>1790</v>
      </c>
      <c r="F1806" t="s"/>
      <c r="G1806" t="s"/>
      <c r="H1806" t="s"/>
      <c r="I1806" t="s"/>
      <c r="J1806" t="n">
        <v>-0.296</v>
      </c>
      <c r="K1806" t="n">
        <v>0.099</v>
      </c>
      <c r="L1806" t="n">
        <v>0.901</v>
      </c>
      <c r="M1806" t="n">
        <v>0</v>
      </c>
    </row>
    <row r="1807" spans="1:13">
      <c r="A1807" s="1">
        <f>HYPERLINK("http://www.twitter.com/NathanBLawrence/status/992747743159443456", "992747743159443456")</f>
        <v/>
      </c>
      <c r="B1807" s="2" t="n">
        <v>43225.53333333333</v>
      </c>
      <c r="C1807" t="n">
        <v>0</v>
      </c>
      <c r="D1807" t="n">
        <v>3</v>
      </c>
      <c r="E1807" t="s">
        <v>1791</v>
      </c>
      <c r="F1807" t="s"/>
      <c r="G1807" t="s"/>
      <c r="H1807" t="s"/>
      <c r="I1807" t="s"/>
      <c r="J1807" t="n">
        <v>0.7074</v>
      </c>
      <c r="K1807" t="n">
        <v>0.098</v>
      </c>
      <c r="L1807" t="n">
        <v>0.632</v>
      </c>
      <c r="M1807" t="n">
        <v>0.27</v>
      </c>
    </row>
    <row r="1808" spans="1:13">
      <c r="A1808" s="1">
        <f>HYPERLINK("http://www.twitter.com/NathanBLawrence/status/992744968535117824", "992744968535117824")</f>
        <v/>
      </c>
      <c r="B1808" s="2" t="n">
        <v>43225.52568287037</v>
      </c>
      <c r="C1808" t="n">
        <v>0</v>
      </c>
      <c r="D1808" t="n">
        <v>0</v>
      </c>
      <c r="E1808" t="s">
        <v>1792</v>
      </c>
      <c r="F1808" t="s"/>
      <c r="G1808" t="s"/>
      <c r="H1808" t="s"/>
      <c r="I1808" t="s"/>
      <c r="J1808" t="n">
        <v>0.08799999999999999</v>
      </c>
      <c r="K1808" t="n">
        <v>0.095</v>
      </c>
      <c r="L1808" t="n">
        <v>0.781</v>
      </c>
      <c r="M1808" t="n">
        <v>0.125</v>
      </c>
    </row>
    <row r="1809" spans="1:13">
      <c r="A1809" s="1">
        <f>HYPERLINK("http://www.twitter.com/NathanBLawrence/status/992744492510908417", "992744492510908417")</f>
        <v/>
      </c>
      <c r="B1809" s="2" t="n">
        <v>43225.52436342592</v>
      </c>
      <c r="C1809" t="n">
        <v>0</v>
      </c>
      <c r="D1809" t="n">
        <v>7442</v>
      </c>
      <c r="E1809" t="s">
        <v>1793</v>
      </c>
      <c r="F1809" t="s"/>
      <c r="G1809" t="s"/>
      <c r="H1809" t="s"/>
      <c r="I1809" t="s"/>
      <c r="J1809" t="n">
        <v>0.6458</v>
      </c>
      <c r="K1809" t="n">
        <v>0.093</v>
      </c>
      <c r="L1809" t="n">
        <v>0.634</v>
      </c>
      <c r="M1809" t="n">
        <v>0.274</v>
      </c>
    </row>
    <row r="1810" spans="1:13">
      <c r="A1810" s="1">
        <f>HYPERLINK("http://www.twitter.com/NathanBLawrence/status/992744469660348418", "992744469660348418")</f>
        <v/>
      </c>
      <c r="B1810" s="2" t="n">
        <v>43225.52430555555</v>
      </c>
      <c r="C1810" t="n">
        <v>0</v>
      </c>
      <c r="D1810" t="n">
        <v>779</v>
      </c>
      <c r="E1810" t="s">
        <v>1794</v>
      </c>
      <c r="F1810" t="s"/>
      <c r="G1810" t="s"/>
      <c r="H1810" t="s"/>
      <c r="I1810" t="s"/>
      <c r="J1810" t="n">
        <v>-0.8126</v>
      </c>
      <c r="K1810" t="n">
        <v>0.361</v>
      </c>
      <c r="L1810" t="n">
        <v>0.52</v>
      </c>
      <c r="M1810" t="n">
        <v>0.118</v>
      </c>
    </row>
    <row r="1811" spans="1:13">
      <c r="A1811" s="1">
        <f>HYPERLINK("http://www.twitter.com/NathanBLawrence/status/992742082933641216", "992742082933641216")</f>
        <v/>
      </c>
      <c r="B1811" s="2" t="n">
        <v>43225.51771990741</v>
      </c>
      <c r="C1811" t="n">
        <v>0</v>
      </c>
      <c r="D1811" t="n">
        <v>18</v>
      </c>
      <c r="E1811" t="s">
        <v>1795</v>
      </c>
      <c r="F1811" t="s"/>
      <c r="G1811" t="s"/>
      <c r="H1811" t="s"/>
      <c r="I1811" t="s"/>
      <c r="J1811" t="n">
        <v>0.3182</v>
      </c>
      <c r="K1811" t="n">
        <v>0.093</v>
      </c>
      <c r="L1811" t="n">
        <v>0.711</v>
      </c>
      <c r="M1811" t="n">
        <v>0.196</v>
      </c>
    </row>
    <row r="1812" spans="1:13">
      <c r="A1812" s="1">
        <f>HYPERLINK("http://www.twitter.com/NathanBLawrence/status/992741879660924928", "992741879660924928")</f>
        <v/>
      </c>
      <c r="B1812" s="2" t="n">
        <v>43225.51716435186</v>
      </c>
      <c r="C1812" t="n">
        <v>0</v>
      </c>
      <c r="D1812" t="n">
        <v>2</v>
      </c>
      <c r="E1812" t="s">
        <v>1796</v>
      </c>
      <c r="F1812" t="s"/>
      <c r="G1812" t="s"/>
      <c r="H1812" t="s"/>
      <c r="I1812" t="s"/>
      <c r="J1812" t="n">
        <v>-0.1027</v>
      </c>
      <c r="K1812" t="n">
        <v>0.082</v>
      </c>
      <c r="L1812" t="n">
        <v>0.851</v>
      </c>
      <c r="M1812" t="n">
        <v>0.067</v>
      </c>
    </row>
    <row r="1813" spans="1:13">
      <c r="A1813" s="1">
        <f>HYPERLINK("http://www.twitter.com/NathanBLawrence/status/992645545763237888", "992645545763237888")</f>
        <v/>
      </c>
      <c r="B1813" s="2" t="n">
        <v>43225.25133101852</v>
      </c>
      <c r="C1813" t="n">
        <v>0</v>
      </c>
      <c r="D1813" t="n">
        <v>0</v>
      </c>
      <c r="E1813" t="s">
        <v>1797</v>
      </c>
      <c r="F1813" t="s"/>
      <c r="G1813" t="s"/>
      <c r="H1813" t="s"/>
      <c r="I1813" t="s"/>
      <c r="J1813" t="n">
        <v>0.5423</v>
      </c>
      <c r="K1813" t="n">
        <v>0.135</v>
      </c>
      <c r="L1813" t="n">
        <v>0.526</v>
      </c>
      <c r="M1813" t="n">
        <v>0.339</v>
      </c>
    </row>
    <row r="1814" spans="1:13">
      <c r="A1814" s="1">
        <f>HYPERLINK("http://www.twitter.com/NathanBLawrence/status/992645427924267009", "992645427924267009")</f>
        <v/>
      </c>
      <c r="B1814" s="2" t="n">
        <v>43225.25100694445</v>
      </c>
      <c r="C1814" t="n">
        <v>0</v>
      </c>
      <c r="D1814" t="n">
        <v>16</v>
      </c>
      <c r="E1814" t="s">
        <v>1798</v>
      </c>
      <c r="F1814" t="s"/>
      <c r="G1814" t="s"/>
      <c r="H1814" t="s"/>
      <c r="I1814" t="s"/>
      <c r="J1814" t="n">
        <v>0.3595</v>
      </c>
      <c r="K1814" t="n">
        <v>0</v>
      </c>
      <c r="L1814" t="n">
        <v>0.889</v>
      </c>
      <c r="M1814" t="n">
        <v>0.111</v>
      </c>
    </row>
    <row r="1815" spans="1:13">
      <c r="A1815" s="1">
        <f>HYPERLINK("http://www.twitter.com/NathanBLawrence/status/992642789732167680", "992642789732167680")</f>
        <v/>
      </c>
      <c r="B1815" s="2" t="n">
        <v>43225.24372685186</v>
      </c>
      <c r="C1815" t="n">
        <v>0</v>
      </c>
      <c r="D1815" t="n">
        <v>1</v>
      </c>
      <c r="E1815" t="s">
        <v>1799</v>
      </c>
      <c r="F1815" t="s"/>
      <c r="G1815" t="s"/>
      <c r="H1815" t="s"/>
      <c r="I1815" t="s"/>
      <c r="J1815" t="n">
        <v>-0.4357</v>
      </c>
      <c r="K1815" t="n">
        <v>0.126</v>
      </c>
      <c r="L1815" t="n">
        <v>0.874</v>
      </c>
      <c r="M1815" t="n">
        <v>0</v>
      </c>
    </row>
    <row r="1816" spans="1:13">
      <c r="A1816" s="1">
        <f>HYPERLINK("http://www.twitter.com/NathanBLawrence/status/992642702998204416", "992642702998204416")</f>
        <v/>
      </c>
      <c r="B1816" s="2" t="n">
        <v>43225.24348379629</v>
      </c>
      <c r="C1816" t="n">
        <v>0</v>
      </c>
      <c r="D1816" t="n">
        <v>3</v>
      </c>
      <c r="E1816" t="s">
        <v>1800</v>
      </c>
      <c r="F1816" t="s"/>
      <c r="G1816" t="s"/>
      <c r="H1816" t="s"/>
      <c r="I1816" t="s"/>
      <c r="J1816" t="n">
        <v>0</v>
      </c>
      <c r="K1816" t="n">
        <v>0</v>
      </c>
      <c r="L1816" t="n">
        <v>1</v>
      </c>
      <c r="M1816" t="n">
        <v>0</v>
      </c>
    </row>
    <row r="1817" spans="1:13">
      <c r="A1817" s="1">
        <f>HYPERLINK("http://www.twitter.com/NathanBLawrence/status/992638761220616193", "992638761220616193")</f>
        <v/>
      </c>
      <c r="B1817" s="2" t="n">
        <v>43225.23260416667</v>
      </c>
      <c r="C1817" t="n">
        <v>0</v>
      </c>
      <c r="D1817" t="n">
        <v>4</v>
      </c>
      <c r="E1817" t="s">
        <v>1801</v>
      </c>
      <c r="F1817">
        <f>HYPERLINK("https://video.twimg.com/ext_tw_video/992636655591936001/pu/vid/320x180/EsGsAPq7sJ4dd-lu.mp4?tag=3", "https://video.twimg.com/ext_tw_video/992636655591936001/pu/vid/320x180/EsGsAPq7sJ4dd-lu.mp4?tag=3")</f>
        <v/>
      </c>
      <c r="G1817" t="s"/>
      <c r="H1817" t="s"/>
      <c r="I1817" t="s"/>
      <c r="J1817" t="n">
        <v>0</v>
      </c>
      <c r="K1817" t="n">
        <v>0</v>
      </c>
      <c r="L1817" t="n">
        <v>1</v>
      </c>
      <c r="M1817" t="n">
        <v>0</v>
      </c>
    </row>
    <row r="1818" spans="1:13">
      <c r="A1818" s="1">
        <f>HYPERLINK("http://www.twitter.com/NathanBLawrence/status/992638749942190081", "992638749942190081")</f>
        <v/>
      </c>
      <c r="B1818" s="2" t="n">
        <v>43225.23256944444</v>
      </c>
      <c r="C1818" t="n">
        <v>0</v>
      </c>
      <c r="D1818" t="n">
        <v>5</v>
      </c>
      <c r="E1818" t="s">
        <v>1802</v>
      </c>
      <c r="F1818">
        <f>HYPERLINK("https://video.twimg.com/ext_tw_video/992636064094441472/pu/vid/320x180/UykvA1IUqICNTnc8.mp4?tag=3", "https://video.twimg.com/ext_tw_video/992636064094441472/pu/vid/320x180/UykvA1IUqICNTnc8.mp4?tag=3")</f>
        <v/>
      </c>
      <c r="G1818" t="s"/>
      <c r="H1818" t="s"/>
      <c r="I1818" t="s"/>
      <c r="J1818" t="n">
        <v>0</v>
      </c>
      <c r="K1818" t="n">
        <v>0</v>
      </c>
      <c r="L1818" t="n">
        <v>1</v>
      </c>
      <c r="M1818" t="n">
        <v>0</v>
      </c>
    </row>
    <row r="1819" spans="1:13">
      <c r="A1819" s="1">
        <f>HYPERLINK("http://www.twitter.com/NathanBLawrence/status/992638738701475845", "992638738701475845")</f>
        <v/>
      </c>
      <c r="B1819" s="2" t="n">
        <v>43225.2325462963</v>
      </c>
      <c r="C1819" t="n">
        <v>0</v>
      </c>
      <c r="D1819" t="n">
        <v>14</v>
      </c>
      <c r="E1819" t="s">
        <v>1803</v>
      </c>
      <c r="F1819">
        <f>HYPERLINK("https://video.twimg.com/ext_tw_video/992633729486016514/pu/vid/320x180/qygvyzKzs6dcXsVA.mp4?tag=3", "https://video.twimg.com/ext_tw_video/992633729486016514/pu/vid/320x180/qygvyzKzs6dcXsVA.mp4?tag=3")</f>
        <v/>
      </c>
      <c r="G1819" t="s"/>
      <c r="H1819" t="s"/>
      <c r="I1819" t="s"/>
      <c r="J1819" t="n">
        <v>-0.3612</v>
      </c>
      <c r="K1819" t="n">
        <v>0.102</v>
      </c>
      <c r="L1819" t="n">
        <v>0.898</v>
      </c>
      <c r="M1819" t="n">
        <v>0</v>
      </c>
    </row>
    <row r="1820" spans="1:13">
      <c r="A1820" s="1">
        <f>HYPERLINK("http://www.twitter.com/NathanBLawrence/status/992637687814393856", "992637687814393856")</f>
        <v/>
      </c>
      <c r="B1820" s="2" t="n">
        <v>43225.2296412037</v>
      </c>
      <c r="C1820" t="n">
        <v>7</v>
      </c>
      <c r="D1820" t="n">
        <v>1</v>
      </c>
      <c r="E1820" t="s">
        <v>1804</v>
      </c>
      <c r="F1820" t="s"/>
      <c r="G1820" t="s"/>
      <c r="H1820" t="s"/>
      <c r="I1820" t="s"/>
      <c r="J1820" t="n">
        <v>0</v>
      </c>
      <c r="K1820" t="n">
        <v>0</v>
      </c>
      <c r="L1820" t="n">
        <v>1</v>
      </c>
      <c r="M1820" t="n">
        <v>0</v>
      </c>
    </row>
    <row r="1821" spans="1:13">
      <c r="A1821" s="1">
        <f>HYPERLINK("http://www.twitter.com/NathanBLawrence/status/992636758704738304", "992636758704738304")</f>
        <v/>
      </c>
      <c r="B1821" s="2" t="n">
        <v>43225.22708333333</v>
      </c>
      <c r="C1821" t="n">
        <v>9</v>
      </c>
      <c r="D1821" t="n">
        <v>4</v>
      </c>
      <c r="E1821" t="s">
        <v>1805</v>
      </c>
      <c r="F1821">
        <f>HYPERLINK("https://video.twimg.com/ext_tw_video/992636655591936001/pu/vid/320x180/EsGsAPq7sJ4dd-lu.mp4?tag=3", "https://video.twimg.com/ext_tw_video/992636655591936001/pu/vid/320x180/EsGsAPq7sJ4dd-lu.mp4?tag=3")</f>
        <v/>
      </c>
      <c r="G1821" t="s"/>
      <c r="H1821" t="s"/>
      <c r="I1821" t="s"/>
      <c r="J1821" t="n">
        <v>0</v>
      </c>
      <c r="K1821" t="n">
        <v>0</v>
      </c>
      <c r="L1821" t="n">
        <v>1</v>
      </c>
      <c r="M1821" t="n">
        <v>0</v>
      </c>
    </row>
    <row r="1822" spans="1:13">
      <c r="A1822" s="1">
        <f>HYPERLINK("http://www.twitter.com/NathanBLawrence/status/992636209166995462", "992636209166995462")</f>
        <v/>
      </c>
      <c r="B1822" s="2" t="n">
        <v>43225.22556712963</v>
      </c>
      <c r="C1822" t="n">
        <v>12</v>
      </c>
      <c r="D1822" t="n">
        <v>5</v>
      </c>
      <c r="E1822" t="s">
        <v>1806</v>
      </c>
      <c r="F1822">
        <f>HYPERLINK("https://video.twimg.com/ext_tw_video/992636064094441472/pu/vid/320x180/UykvA1IUqICNTnc8.mp4?tag=3", "https://video.twimg.com/ext_tw_video/992636064094441472/pu/vid/320x180/UykvA1IUqICNTnc8.mp4?tag=3")</f>
        <v/>
      </c>
      <c r="G1822" t="s"/>
      <c r="H1822" t="s"/>
      <c r="I1822" t="s"/>
      <c r="J1822" t="n">
        <v>0</v>
      </c>
      <c r="K1822" t="n">
        <v>0</v>
      </c>
      <c r="L1822" t="n">
        <v>1</v>
      </c>
      <c r="M1822" t="n">
        <v>0</v>
      </c>
    </row>
    <row r="1823" spans="1:13">
      <c r="A1823" s="1">
        <f>HYPERLINK("http://www.twitter.com/NathanBLawrence/status/992633919425142784", "992633919425142784")</f>
        <v/>
      </c>
      <c r="B1823" s="2" t="n">
        <v>43225.21924768519</v>
      </c>
      <c r="C1823" t="n">
        <v>19</v>
      </c>
      <c r="D1823" t="n">
        <v>14</v>
      </c>
      <c r="E1823" t="s">
        <v>1807</v>
      </c>
      <c r="F1823">
        <f>HYPERLINK("https://video.twimg.com/ext_tw_video/992633729486016514/pu/vid/320x180/qygvyzKzs6dcXsVA.mp4?tag=3", "https://video.twimg.com/ext_tw_video/992633729486016514/pu/vid/320x180/qygvyzKzs6dcXsVA.mp4?tag=3")</f>
        <v/>
      </c>
      <c r="G1823" t="s"/>
      <c r="H1823" t="s"/>
      <c r="I1823" t="s"/>
      <c r="J1823" t="n">
        <v>-0.6124000000000001</v>
      </c>
      <c r="K1823" t="n">
        <v>0.114</v>
      </c>
      <c r="L1823" t="n">
        <v>0.886</v>
      </c>
      <c r="M1823" t="n">
        <v>0</v>
      </c>
    </row>
    <row r="1824" spans="1:13">
      <c r="A1824" s="1">
        <f>HYPERLINK("http://www.twitter.com/NathanBLawrence/status/992622983574323200", "992622983574323200")</f>
        <v/>
      </c>
      <c r="B1824" s="2" t="n">
        <v>43225.1890625</v>
      </c>
      <c r="C1824" t="n">
        <v>0</v>
      </c>
      <c r="D1824" t="n">
        <v>5</v>
      </c>
      <c r="E1824" t="s">
        <v>1808</v>
      </c>
      <c r="F1824" t="s"/>
      <c r="G1824" t="s"/>
      <c r="H1824" t="s"/>
      <c r="I1824" t="s"/>
      <c r="J1824" t="n">
        <v>0.836</v>
      </c>
      <c r="K1824" t="n">
        <v>0</v>
      </c>
      <c r="L1824" t="n">
        <v>0.594</v>
      </c>
      <c r="M1824" t="n">
        <v>0.406</v>
      </c>
    </row>
    <row r="1825" spans="1:13">
      <c r="A1825" s="1">
        <f>HYPERLINK("http://www.twitter.com/NathanBLawrence/status/992622025343676416", "992622025343676416")</f>
        <v/>
      </c>
      <c r="B1825" s="2" t="n">
        <v>43225.18642361111</v>
      </c>
      <c r="C1825" t="n">
        <v>0</v>
      </c>
      <c r="D1825" t="n">
        <v>3</v>
      </c>
      <c r="E1825" t="s">
        <v>1809</v>
      </c>
      <c r="F1825" t="s"/>
      <c r="G1825" t="s"/>
      <c r="H1825" t="s"/>
      <c r="I1825" t="s"/>
      <c r="J1825" t="n">
        <v>-0.5719</v>
      </c>
      <c r="K1825" t="n">
        <v>0.227</v>
      </c>
      <c r="L1825" t="n">
        <v>0.773</v>
      </c>
      <c r="M1825" t="n">
        <v>0</v>
      </c>
    </row>
    <row r="1826" spans="1:13">
      <c r="A1826" s="1">
        <f>HYPERLINK("http://www.twitter.com/NathanBLawrence/status/992621855969247232", "992621855969247232")</f>
        <v/>
      </c>
      <c r="B1826" s="2" t="n">
        <v>43225.18596064814</v>
      </c>
      <c r="C1826" t="n">
        <v>0</v>
      </c>
      <c r="D1826" t="n">
        <v>7</v>
      </c>
      <c r="E1826" t="s">
        <v>1810</v>
      </c>
      <c r="F1826" t="s"/>
      <c r="G1826" t="s"/>
      <c r="H1826" t="s"/>
      <c r="I1826" t="s"/>
      <c r="J1826" t="n">
        <v>-0.5423</v>
      </c>
      <c r="K1826" t="n">
        <v>0.149</v>
      </c>
      <c r="L1826" t="n">
        <v>0.851</v>
      </c>
      <c r="M1826" t="n">
        <v>0</v>
      </c>
    </row>
    <row r="1827" spans="1:13">
      <c r="A1827" s="1">
        <f>HYPERLINK("http://www.twitter.com/NathanBLawrence/status/992621180946444288", "992621180946444288")</f>
        <v/>
      </c>
      <c r="B1827" s="2" t="n">
        <v>43225.18409722222</v>
      </c>
      <c r="C1827" t="n">
        <v>0</v>
      </c>
      <c r="D1827" t="n">
        <v>14</v>
      </c>
      <c r="E1827" t="s">
        <v>1811</v>
      </c>
      <c r="F1827">
        <f>HYPERLINK("http://pbs.twimg.com/media/DcZ_pJzWkAAwxe9.jpg", "http://pbs.twimg.com/media/DcZ_pJzWkAAwxe9.jpg")</f>
        <v/>
      </c>
      <c r="G1827" t="s"/>
      <c r="H1827" t="s"/>
      <c r="I1827" t="s"/>
      <c r="J1827" t="n">
        <v>0.5766</v>
      </c>
      <c r="K1827" t="n">
        <v>0.061</v>
      </c>
      <c r="L1827" t="n">
        <v>0.719</v>
      </c>
      <c r="M1827" t="n">
        <v>0.219</v>
      </c>
    </row>
    <row r="1828" spans="1:13">
      <c r="A1828" s="1">
        <f>HYPERLINK("http://www.twitter.com/NathanBLawrence/status/992621121018228736", "992621121018228736")</f>
        <v/>
      </c>
      <c r="B1828" s="2" t="n">
        <v>43225.18392361111</v>
      </c>
      <c r="C1828" t="n">
        <v>22</v>
      </c>
      <c r="D1828" t="n">
        <v>14</v>
      </c>
      <c r="E1828" t="s">
        <v>1812</v>
      </c>
      <c r="F1828">
        <f>HYPERLINK("http://pbs.twimg.com/media/DcZ_pJzWkAAwxe9.jpg", "http://pbs.twimg.com/media/DcZ_pJzWkAAwxe9.jpg")</f>
        <v/>
      </c>
      <c r="G1828" t="s"/>
      <c r="H1828" t="s"/>
      <c r="I1828" t="s"/>
      <c r="J1828" t="n">
        <v>0.7359</v>
      </c>
      <c r="K1828" t="n">
        <v>0.095</v>
      </c>
      <c r="L1828" t="n">
        <v>0.706</v>
      </c>
      <c r="M1828" t="n">
        <v>0.2</v>
      </c>
    </row>
    <row r="1829" spans="1:13">
      <c r="A1829" s="1">
        <f>HYPERLINK("http://www.twitter.com/NathanBLawrence/status/992605498255052800", "992605498255052800")</f>
        <v/>
      </c>
      <c r="B1829" s="2" t="n">
        <v>43225.14082175926</v>
      </c>
      <c r="C1829" t="n">
        <v>0</v>
      </c>
      <c r="D1829" t="n">
        <v>0</v>
      </c>
      <c r="E1829" t="s">
        <v>1813</v>
      </c>
      <c r="F1829" t="s"/>
      <c r="G1829" t="s"/>
      <c r="H1829" t="s"/>
      <c r="I1829" t="s"/>
      <c r="J1829" t="n">
        <v>0</v>
      </c>
      <c r="K1829" t="n">
        <v>0</v>
      </c>
      <c r="L1829" t="n">
        <v>1</v>
      </c>
      <c r="M1829" t="n">
        <v>0</v>
      </c>
    </row>
    <row r="1830" spans="1:13">
      <c r="A1830" s="1">
        <f>HYPERLINK("http://www.twitter.com/NathanBLawrence/status/992600292830121985", "992600292830121985")</f>
        <v/>
      </c>
      <c r="B1830" s="2" t="n">
        <v>43225.12645833333</v>
      </c>
      <c r="C1830" t="n">
        <v>0</v>
      </c>
      <c r="D1830" t="n">
        <v>1221</v>
      </c>
      <c r="E1830" t="s">
        <v>1814</v>
      </c>
      <c r="F1830">
        <f>HYPERLINK("https://video.twimg.com/amplify_video/992582928965230592/vid/1280x720/MyQFm6jwoWVx3aAv.mp4?tag=2", "https://video.twimg.com/amplify_video/992582928965230592/vid/1280x720/MyQFm6jwoWVx3aAv.mp4?tag=2")</f>
        <v/>
      </c>
      <c r="G1830" t="s"/>
      <c r="H1830" t="s"/>
      <c r="I1830" t="s"/>
      <c r="J1830" t="n">
        <v>-0.5423</v>
      </c>
      <c r="K1830" t="n">
        <v>0.137</v>
      </c>
      <c r="L1830" t="n">
        <v>0.863</v>
      </c>
      <c r="M1830" t="n">
        <v>0</v>
      </c>
    </row>
    <row r="1831" spans="1:13">
      <c r="A1831" s="1">
        <f>HYPERLINK("http://www.twitter.com/NathanBLawrence/status/992600205131501568", "992600205131501568")</f>
        <v/>
      </c>
      <c r="B1831" s="2" t="n">
        <v>43225.12621527778</v>
      </c>
      <c r="C1831" t="n">
        <v>0</v>
      </c>
      <c r="D1831" t="n">
        <v>4258</v>
      </c>
      <c r="E1831" t="s">
        <v>1815</v>
      </c>
      <c r="F1831" t="s"/>
      <c r="G1831" t="s"/>
      <c r="H1831" t="s"/>
      <c r="I1831" t="s"/>
      <c r="J1831" t="n">
        <v>0</v>
      </c>
      <c r="K1831" t="n">
        <v>0.179</v>
      </c>
      <c r="L1831" t="n">
        <v>0.641</v>
      </c>
      <c r="M1831" t="n">
        <v>0.179</v>
      </c>
    </row>
    <row r="1832" spans="1:13">
      <c r="A1832" s="1">
        <f>HYPERLINK("http://www.twitter.com/NathanBLawrence/status/992588972462432256", "992588972462432256")</f>
        <v/>
      </c>
      <c r="B1832" s="2" t="n">
        <v>43225.09521990741</v>
      </c>
      <c r="C1832" t="n">
        <v>0</v>
      </c>
      <c r="D1832" t="n">
        <v>8665</v>
      </c>
      <c r="E1832" t="s">
        <v>1816</v>
      </c>
      <c r="F1832" t="s"/>
      <c r="G1832" t="s"/>
      <c r="H1832" t="s"/>
      <c r="I1832" t="s"/>
      <c r="J1832" t="n">
        <v>0</v>
      </c>
      <c r="K1832" t="n">
        <v>0</v>
      </c>
      <c r="L1832" t="n">
        <v>1</v>
      </c>
      <c r="M1832" t="n">
        <v>0</v>
      </c>
    </row>
    <row r="1833" spans="1:13">
      <c r="A1833" s="1">
        <f>HYPERLINK("http://www.twitter.com/NathanBLawrence/status/992588851700011008", "992588851700011008")</f>
        <v/>
      </c>
      <c r="B1833" s="2" t="n">
        <v>43225.09488425926</v>
      </c>
      <c r="C1833" t="n">
        <v>4</v>
      </c>
      <c r="D1833" t="n">
        <v>1</v>
      </c>
      <c r="E1833" t="s">
        <v>1817</v>
      </c>
      <c r="F1833" t="s"/>
      <c r="G1833" t="s"/>
      <c r="H1833" t="s"/>
      <c r="I1833" t="s"/>
      <c r="J1833" t="n">
        <v>0</v>
      </c>
      <c r="K1833" t="n">
        <v>0</v>
      </c>
      <c r="L1833" t="n">
        <v>1</v>
      </c>
      <c r="M1833" t="n">
        <v>0</v>
      </c>
    </row>
    <row r="1834" spans="1:13">
      <c r="A1834" s="1">
        <f>HYPERLINK("http://www.twitter.com/NathanBLawrence/status/992588760067067904", "992588760067067904")</f>
        <v/>
      </c>
      <c r="B1834" s="2" t="n">
        <v>43225.09462962963</v>
      </c>
      <c r="C1834" t="n">
        <v>0</v>
      </c>
      <c r="D1834" t="n">
        <v>54</v>
      </c>
      <c r="E1834" t="s">
        <v>1818</v>
      </c>
      <c r="F1834" t="s"/>
      <c r="G1834" t="s"/>
      <c r="H1834" t="s"/>
      <c r="I1834" t="s"/>
      <c r="J1834" t="n">
        <v>0</v>
      </c>
      <c r="K1834" t="n">
        <v>0</v>
      </c>
      <c r="L1834" t="n">
        <v>1</v>
      </c>
      <c r="M1834" t="n">
        <v>0</v>
      </c>
    </row>
    <row r="1835" spans="1:13">
      <c r="A1835" s="1">
        <f>HYPERLINK("http://www.twitter.com/NathanBLawrence/status/992588537605345281", "992588537605345281")</f>
        <v/>
      </c>
      <c r="B1835" s="2" t="n">
        <v>43225.0940162037</v>
      </c>
      <c r="C1835" t="n">
        <v>45</v>
      </c>
      <c r="D1835" t="n">
        <v>54</v>
      </c>
      <c r="E1835" t="s">
        <v>1819</v>
      </c>
      <c r="F1835" t="s"/>
      <c r="G1835" t="s"/>
      <c r="H1835" t="s"/>
      <c r="I1835" t="s"/>
      <c r="J1835" t="n">
        <v>-0.6627</v>
      </c>
      <c r="K1835" t="n">
        <v>0.217</v>
      </c>
      <c r="L1835" t="n">
        <v>0.664</v>
      </c>
      <c r="M1835" t="n">
        <v>0.119</v>
      </c>
    </row>
    <row r="1836" spans="1:13">
      <c r="A1836" s="1">
        <f>HYPERLINK("http://www.twitter.com/NathanBLawrence/status/992585280015257600", "992585280015257600")</f>
        <v/>
      </c>
      <c r="B1836" s="2" t="n">
        <v>43225.08502314815</v>
      </c>
      <c r="C1836" t="n">
        <v>0</v>
      </c>
      <c r="D1836" t="n">
        <v>2418</v>
      </c>
      <c r="E1836" t="s">
        <v>1820</v>
      </c>
      <c r="F1836" t="s"/>
      <c r="G1836" t="s"/>
      <c r="H1836" t="s"/>
      <c r="I1836" t="s"/>
      <c r="J1836" t="n">
        <v>-0.4939</v>
      </c>
      <c r="K1836" t="n">
        <v>0.138</v>
      </c>
      <c r="L1836" t="n">
        <v>0.862</v>
      </c>
      <c r="M1836" t="n">
        <v>0</v>
      </c>
    </row>
    <row r="1837" spans="1:13">
      <c r="A1837" s="1">
        <f>HYPERLINK("http://www.twitter.com/NathanBLawrence/status/992578411074850816", "992578411074850816")</f>
        <v/>
      </c>
      <c r="B1837" s="2" t="n">
        <v>43225.06607638889</v>
      </c>
      <c r="C1837" t="n">
        <v>0</v>
      </c>
      <c r="D1837" t="n">
        <v>4</v>
      </c>
      <c r="E1837" t="s">
        <v>1821</v>
      </c>
      <c r="F1837" t="s"/>
      <c r="G1837" t="s"/>
      <c r="H1837" t="s"/>
      <c r="I1837" t="s"/>
      <c r="J1837" t="n">
        <v>0</v>
      </c>
      <c r="K1837" t="n">
        <v>0.125</v>
      </c>
      <c r="L1837" t="n">
        <v>0.75</v>
      </c>
      <c r="M1837" t="n">
        <v>0.125</v>
      </c>
    </row>
    <row r="1838" spans="1:13">
      <c r="A1838" s="1">
        <f>HYPERLINK("http://www.twitter.com/NathanBLawrence/status/992578169294213120", "992578169294213120")</f>
        <v/>
      </c>
      <c r="B1838" s="2" t="n">
        <v>43225.0654050926</v>
      </c>
      <c r="C1838" t="n">
        <v>0</v>
      </c>
      <c r="D1838" t="n">
        <v>10</v>
      </c>
      <c r="E1838" t="s">
        <v>1822</v>
      </c>
      <c r="F1838" t="s"/>
      <c r="G1838" t="s"/>
      <c r="H1838" t="s"/>
      <c r="I1838" t="s"/>
      <c r="J1838" t="n">
        <v>0</v>
      </c>
      <c r="K1838" t="n">
        <v>0</v>
      </c>
      <c r="L1838" t="n">
        <v>1</v>
      </c>
      <c r="M1838" t="n">
        <v>0</v>
      </c>
    </row>
    <row r="1839" spans="1:13">
      <c r="A1839" s="1">
        <f>HYPERLINK("http://www.twitter.com/NathanBLawrence/status/992577918713901061", "992577918713901061")</f>
        <v/>
      </c>
      <c r="B1839" s="2" t="n">
        <v>43225.06471064815</v>
      </c>
      <c r="C1839" t="n">
        <v>12</v>
      </c>
      <c r="D1839" t="n">
        <v>10</v>
      </c>
      <c r="E1839" t="s">
        <v>1823</v>
      </c>
      <c r="F1839" t="s"/>
      <c r="G1839" t="s"/>
      <c r="H1839" t="s"/>
      <c r="I1839" t="s"/>
      <c r="J1839" t="n">
        <v>-0.7067</v>
      </c>
      <c r="K1839" t="n">
        <v>0.137</v>
      </c>
      <c r="L1839" t="n">
        <v>0.863</v>
      </c>
      <c r="M1839" t="n">
        <v>0</v>
      </c>
    </row>
    <row r="1840" spans="1:13">
      <c r="A1840" s="1">
        <f>HYPERLINK("http://www.twitter.com/NathanBLawrence/status/992575861575610369", "992575861575610369")</f>
        <v/>
      </c>
      <c r="B1840" s="2" t="n">
        <v>43225.05903935185</v>
      </c>
      <c r="C1840" t="n">
        <v>0</v>
      </c>
      <c r="D1840" t="n">
        <v>3</v>
      </c>
      <c r="E1840" t="s">
        <v>1824</v>
      </c>
      <c r="F1840" t="s"/>
      <c r="G1840" t="s"/>
      <c r="H1840" t="s"/>
      <c r="I1840" t="s"/>
      <c r="J1840" t="n">
        <v>-0.3034</v>
      </c>
      <c r="K1840" t="n">
        <v>0.117</v>
      </c>
      <c r="L1840" t="n">
        <v>0.8090000000000001</v>
      </c>
      <c r="M1840" t="n">
        <v>0.074</v>
      </c>
    </row>
    <row r="1841" spans="1:13">
      <c r="A1841" s="1">
        <f>HYPERLINK("http://www.twitter.com/NathanBLawrence/status/992575689781018624", "992575689781018624")</f>
        <v/>
      </c>
      <c r="B1841" s="2" t="n">
        <v>43225.05856481481</v>
      </c>
      <c r="C1841" t="n">
        <v>8</v>
      </c>
      <c r="D1841" t="n">
        <v>3</v>
      </c>
      <c r="E1841" t="s">
        <v>1825</v>
      </c>
      <c r="F1841" t="s"/>
      <c r="G1841" t="s"/>
      <c r="H1841" t="s"/>
      <c r="I1841" t="s"/>
      <c r="J1841" t="n">
        <v>0.5707</v>
      </c>
      <c r="K1841" t="n">
        <v>0.105</v>
      </c>
      <c r="L1841" t="n">
        <v>0.715</v>
      </c>
      <c r="M1841" t="n">
        <v>0.181</v>
      </c>
    </row>
    <row r="1842" spans="1:13">
      <c r="A1842" s="1">
        <f>HYPERLINK("http://www.twitter.com/NathanBLawrence/status/992575002309480448", "992575002309480448")</f>
        <v/>
      </c>
      <c r="B1842" s="2" t="n">
        <v>43225.05666666666</v>
      </c>
      <c r="C1842" t="n">
        <v>0</v>
      </c>
      <c r="D1842" t="n">
        <v>10</v>
      </c>
      <c r="E1842" t="s">
        <v>1826</v>
      </c>
      <c r="F1842">
        <f>HYPERLINK("http://pbs.twimg.com/media/DcZUsGmX0AAew3i.jpg", "http://pbs.twimg.com/media/DcZUsGmX0AAew3i.jpg")</f>
        <v/>
      </c>
      <c r="G1842" t="s"/>
      <c r="H1842" t="s"/>
      <c r="I1842" t="s"/>
      <c r="J1842" t="n">
        <v>0</v>
      </c>
      <c r="K1842" t="n">
        <v>0</v>
      </c>
      <c r="L1842" t="n">
        <v>1</v>
      </c>
      <c r="M1842" t="n">
        <v>0</v>
      </c>
    </row>
    <row r="1843" spans="1:13">
      <c r="A1843" s="1">
        <f>HYPERLINK("http://www.twitter.com/NathanBLawrence/status/992573891997519872", "992573891997519872")</f>
        <v/>
      </c>
      <c r="B1843" s="2" t="n">
        <v>43225.05359953704</v>
      </c>
      <c r="C1843" t="n">
        <v>12</v>
      </c>
      <c r="D1843" t="n">
        <v>10</v>
      </c>
      <c r="E1843" t="s">
        <v>1827</v>
      </c>
      <c r="F1843">
        <f>HYPERLINK("http://pbs.twimg.com/media/DcZUsGmX0AAew3i.jpg", "http://pbs.twimg.com/media/DcZUsGmX0AAew3i.jpg")</f>
        <v/>
      </c>
      <c r="G1843" t="s"/>
      <c r="H1843" t="s"/>
      <c r="I1843" t="s"/>
      <c r="J1843" t="n">
        <v>-0.8256</v>
      </c>
      <c r="K1843" t="n">
        <v>0.146</v>
      </c>
      <c r="L1843" t="n">
        <v>0.854</v>
      </c>
      <c r="M1843" t="n">
        <v>0</v>
      </c>
    </row>
    <row r="1844" spans="1:13">
      <c r="A1844" s="1">
        <f>HYPERLINK("http://www.twitter.com/NathanBLawrence/status/992570899764252674", "992570899764252674")</f>
        <v/>
      </c>
      <c r="B1844" s="2" t="n">
        <v>43225.04534722222</v>
      </c>
      <c r="C1844" t="n">
        <v>0</v>
      </c>
      <c r="D1844" t="n">
        <v>1</v>
      </c>
      <c r="E1844" t="s">
        <v>1828</v>
      </c>
      <c r="F1844" t="s"/>
      <c r="G1844" t="s"/>
      <c r="H1844" t="s"/>
      <c r="I1844" t="s"/>
      <c r="J1844" t="n">
        <v>0.6705</v>
      </c>
      <c r="K1844" t="n">
        <v>0</v>
      </c>
      <c r="L1844" t="n">
        <v>0.6860000000000001</v>
      </c>
      <c r="M1844" t="n">
        <v>0.314</v>
      </c>
    </row>
    <row r="1845" spans="1:13">
      <c r="A1845" s="1">
        <f>HYPERLINK("http://www.twitter.com/NathanBLawrence/status/992569781998977025", "992569781998977025")</f>
        <v/>
      </c>
      <c r="B1845" s="2" t="n">
        <v>43225.04225694444</v>
      </c>
      <c r="C1845" t="n">
        <v>0</v>
      </c>
      <c r="D1845" t="n">
        <v>14</v>
      </c>
      <c r="E1845" t="s">
        <v>1829</v>
      </c>
      <c r="F1845" t="s"/>
      <c r="G1845" t="s"/>
      <c r="H1845" t="s"/>
      <c r="I1845" t="s"/>
      <c r="J1845" t="n">
        <v>-0.5255</v>
      </c>
      <c r="K1845" t="n">
        <v>0.159</v>
      </c>
      <c r="L1845" t="n">
        <v>0.841</v>
      </c>
      <c r="M1845" t="n">
        <v>0</v>
      </c>
    </row>
    <row r="1846" spans="1:13">
      <c r="A1846" s="1">
        <f>HYPERLINK("http://www.twitter.com/NathanBLawrence/status/992568232216268801", "992568232216268801")</f>
        <v/>
      </c>
      <c r="B1846" s="2" t="n">
        <v>43225.03798611111</v>
      </c>
      <c r="C1846" t="n">
        <v>0</v>
      </c>
      <c r="D1846" t="n">
        <v>1</v>
      </c>
      <c r="E1846" t="s">
        <v>1830</v>
      </c>
      <c r="F1846" t="s"/>
      <c r="G1846" t="s"/>
      <c r="H1846" t="s"/>
      <c r="I1846" t="s"/>
      <c r="J1846" t="n">
        <v>-0.296</v>
      </c>
      <c r="K1846" t="n">
        <v>0.099</v>
      </c>
      <c r="L1846" t="n">
        <v>0.901</v>
      </c>
      <c r="M1846" t="n">
        <v>0</v>
      </c>
    </row>
    <row r="1847" spans="1:13">
      <c r="A1847" s="1">
        <f>HYPERLINK("http://www.twitter.com/NathanBLawrence/status/992568203871170561", "992568203871170561")</f>
        <v/>
      </c>
      <c r="B1847" s="2" t="n">
        <v>43225.03790509259</v>
      </c>
      <c r="C1847" t="n">
        <v>0</v>
      </c>
      <c r="D1847" t="n">
        <v>3</v>
      </c>
      <c r="E1847" t="s">
        <v>1831</v>
      </c>
      <c r="F1847" t="s"/>
      <c r="G1847" t="s"/>
      <c r="H1847" t="s"/>
      <c r="I1847" t="s"/>
      <c r="J1847" t="n">
        <v>-0.3804</v>
      </c>
      <c r="K1847" t="n">
        <v>0.12</v>
      </c>
      <c r="L1847" t="n">
        <v>0.88</v>
      </c>
      <c r="M1847" t="n">
        <v>0</v>
      </c>
    </row>
    <row r="1848" spans="1:13">
      <c r="A1848" s="1">
        <f>HYPERLINK("http://www.twitter.com/NathanBLawrence/status/992568191825170432", "992568191825170432")</f>
        <v/>
      </c>
      <c r="B1848" s="2" t="n">
        <v>43225.03787037037</v>
      </c>
      <c r="C1848" t="n">
        <v>0</v>
      </c>
      <c r="D1848" t="n">
        <v>4</v>
      </c>
      <c r="E1848" t="s">
        <v>1832</v>
      </c>
      <c r="F1848" t="s"/>
      <c r="G1848" t="s"/>
      <c r="H1848" t="s"/>
      <c r="I1848" t="s"/>
      <c r="J1848" t="n">
        <v>-0.5106000000000001</v>
      </c>
      <c r="K1848" t="n">
        <v>0.125</v>
      </c>
      <c r="L1848" t="n">
        <v>0.875</v>
      </c>
      <c r="M1848" t="n">
        <v>0</v>
      </c>
    </row>
    <row r="1849" spans="1:13">
      <c r="A1849" s="1">
        <f>HYPERLINK("http://www.twitter.com/NathanBLawrence/status/992568152159608832", "992568152159608832")</f>
        <v/>
      </c>
      <c r="B1849" s="2" t="n">
        <v>43225.03776620371</v>
      </c>
      <c r="C1849" t="n">
        <v>0</v>
      </c>
      <c r="D1849" t="n">
        <v>5</v>
      </c>
      <c r="E1849" t="s">
        <v>1833</v>
      </c>
      <c r="F1849" t="s"/>
      <c r="G1849" t="s"/>
      <c r="H1849" t="s"/>
      <c r="I1849" t="s"/>
      <c r="J1849" t="n">
        <v>-0.4086</v>
      </c>
      <c r="K1849" t="n">
        <v>0.169</v>
      </c>
      <c r="L1849" t="n">
        <v>0.748</v>
      </c>
      <c r="M1849" t="n">
        <v>0.083</v>
      </c>
    </row>
    <row r="1850" spans="1:13">
      <c r="A1850" s="1">
        <f>HYPERLINK("http://www.twitter.com/NathanBLawrence/status/992555264254664704", "992555264254664704")</f>
        <v/>
      </c>
      <c r="B1850" s="2" t="n">
        <v>43225.00219907407</v>
      </c>
      <c r="C1850" t="n">
        <v>0</v>
      </c>
      <c r="D1850" t="n">
        <v>7277</v>
      </c>
      <c r="E1850" t="s">
        <v>1834</v>
      </c>
      <c r="F1850" t="s"/>
      <c r="G1850" t="s"/>
      <c r="H1850" t="s"/>
      <c r="I1850" t="s"/>
      <c r="J1850" t="n">
        <v>0.4939</v>
      </c>
      <c r="K1850" t="n">
        <v>0</v>
      </c>
      <c r="L1850" t="n">
        <v>0.862</v>
      </c>
      <c r="M1850" t="n">
        <v>0.138</v>
      </c>
    </row>
    <row r="1851" spans="1:13">
      <c r="A1851" s="1">
        <f>HYPERLINK("http://www.twitter.com/NathanBLawrence/status/992555215672020993", "992555215672020993")</f>
        <v/>
      </c>
      <c r="B1851" s="2" t="n">
        <v>43225.00206018519</v>
      </c>
      <c r="C1851" t="n">
        <v>0</v>
      </c>
      <c r="D1851" t="n">
        <v>261</v>
      </c>
      <c r="E1851" t="s">
        <v>1835</v>
      </c>
      <c r="F1851" t="s"/>
      <c r="G1851" t="s"/>
      <c r="H1851" t="s"/>
      <c r="I1851" t="s"/>
      <c r="J1851" t="n">
        <v>0.6369</v>
      </c>
      <c r="K1851" t="n">
        <v>0</v>
      </c>
      <c r="L1851" t="n">
        <v>0.785</v>
      </c>
      <c r="M1851" t="n">
        <v>0.215</v>
      </c>
    </row>
    <row r="1852" spans="1:13">
      <c r="A1852" s="1">
        <f>HYPERLINK("http://www.twitter.com/NathanBLawrence/status/992548837108707329", "992548837108707329")</f>
        <v/>
      </c>
      <c r="B1852" s="2" t="n">
        <v>43224.98446759259</v>
      </c>
      <c r="C1852" t="n">
        <v>0</v>
      </c>
      <c r="D1852" t="n">
        <v>44</v>
      </c>
      <c r="E1852" t="s">
        <v>1836</v>
      </c>
      <c r="F1852">
        <f>HYPERLINK("http://pbs.twimg.com/media/DcY9jVXUQAAdSiu.jpg", "http://pbs.twimg.com/media/DcY9jVXUQAAdSiu.jpg")</f>
        <v/>
      </c>
      <c r="G1852" t="s"/>
      <c r="H1852" t="s"/>
      <c r="I1852" t="s"/>
      <c r="J1852" t="n">
        <v>-0.2732</v>
      </c>
      <c r="K1852" t="n">
        <v>0.095</v>
      </c>
      <c r="L1852" t="n">
        <v>0.905</v>
      </c>
      <c r="M1852" t="n">
        <v>0</v>
      </c>
    </row>
    <row r="1853" spans="1:13">
      <c r="A1853" s="1">
        <f>HYPERLINK("http://www.twitter.com/NathanBLawrence/status/992548717780717568", "992548717780717568")</f>
        <v/>
      </c>
      <c r="B1853" s="2" t="n">
        <v>43224.98413194445</v>
      </c>
      <c r="C1853" t="n">
        <v>0</v>
      </c>
      <c r="D1853" t="n">
        <v>2619</v>
      </c>
      <c r="E1853" t="s">
        <v>1837</v>
      </c>
      <c r="F1853">
        <f>HYPERLINK("https://video.twimg.com/amplify_video/992219258972262400/vid/1280x720/y4-T0_pT1Q9QFXE9.mp4?tag=2", "https://video.twimg.com/amplify_video/992219258972262400/vid/1280x720/y4-T0_pT1Q9QFXE9.mp4?tag=2")</f>
        <v/>
      </c>
      <c r="G1853" t="s"/>
      <c r="H1853" t="s"/>
      <c r="I1853" t="s"/>
      <c r="J1853" t="n">
        <v>0.743</v>
      </c>
      <c r="K1853" t="n">
        <v>0</v>
      </c>
      <c r="L1853" t="n">
        <v>0.673</v>
      </c>
      <c r="M1853" t="n">
        <v>0.327</v>
      </c>
    </row>
    <row r="1854" spans="1:13">
      <c r="A1854" s="1">
        <f>HYPERLINK("http://www.twitter.com/NathanBLawrence/status/992546343720714240", "992546343720714240")</f>
        <v/>
      </c>
      <c r="B1854" s="2" t="n">
        <v>43224.97758101852</v>
      </c>
      <c r="C1854" t="n">
        <v>0</v>
      </c>
      <c r="D1854" t="n">
        <v>157</v>
      </c>
      <c r="E1854" t="s">
        <v>1838</v>
      </c>
      <c r="F1854">
        <f>HYPERLINK("http://pbs.twimg.com/media/DcXRmTSV0AAePkD.jpg", "http://pbs.twimg.com/media/DcXRmTSV0AAePkD.jpg")</f>
        <v/>
      </c>
      <c r="G1854" t="s"/>
      <c r="H1854" t="s"/>
      <c r="I1854" t="s"/>
      <c r="J1854" t="n">
        <v>0.7345</v>
      </c>
      <c r="K1854" t="n">
        <v>0</v>
      </c>
      <c r="L1854" t="n">
        <v>0.677</v>
      </c>
      <c r="M1854" t="n">
        <v>0.323</v>
      </c>
    </row>
    <row r="1855" spans="1:13">
      <c r="A1855" s="1">
        <f>HYPERLINK("http://www.twitter.com/NathanBLawrence/status/992546316050993153", "992546316050993153")</f>
        <v/>
      </c>
      <c r="B1855" s="2" t="n">
        <v>43224.97751157408</v>
      </c>
      <c r="C1855" t="n">
        <v>0</v>
      </c>
      <c r="D1855" t="n">
        <v>270</v>
      </c>
      <c r="E1855" t="s">
        <v>1839</v>
      </c>
      <c r="F1855">
        <f>HYPERLINK("http://pbs.twimg.com/media/DcXtSFnU0AA_2Y1.jpg", "http://pbs.twimg.com/media/DcXtSFnU0AA_2Y1.jpg")</f>
        <v/>
      </c>
      <c r="G1855" t="s"/>
      <c r="H1855" t="s"/>
      <c r="I1855" t="s"/>
      <c r="J1855" t="n">
        <v>-0.4404</v>
      </c>
      <c r="K1855" t="n">
        <v>0.153</v>
      </c>
      <c r="L1855" t="n">
        <v>0.847</v>
      </c>
      <c r="M1855" t="n">
        <v>0</v>
      </c>
    </row>
    <row r="1856" spans="1:13">
      <c r="A1856" s="1">
        <f>HYPERLINK("http://www.twitter.com/NathanBLawrence/status/992546294508945409", "992546294508945409")</f>
        <v/>
      </c>
      <c r="B1856" s="2" t="n">
        <v>43224.97744212963</v>
      </c>
      <c r="C1856" t="n">
        <v>0</v>
      </c>
      <c r="D1856" t="n">
        <v>789</v>
      </c>
      <c r="E1856" t="s">
        <v>1840</v>
      </c>
      <c r="F1856">
        <f>HYPERLINK("http://pbs.twimg.com/media/DcYhtStV0AEj8S1.jpg", "http://pbs.twimg.com/media/DcYhtStV0AEj8S1.jpg")</f>
        <v/>
      </c>
      <c r="G1856" t="s"/>
      <c r="H1856" t="s"/>
      <c r="I1856" t="s"/>
      <c r="J1856" t="n">
        <v>-0.4939</v>
      </c>
      <c r="K1856" t="n">
        <v>0.181</v>
      </c>
      <c r="L1856" t="n">
        <v>0.819</v>
      </c>
      <c r="M1856" t="n">
        <v>0</v>
      </c>
    </row>
    <row r="1857" spans="1:13">
      <c r="A1857" s="1">
        <f>HYPERLINK("http://www.twitter.com/NathanBLawrence/status/992546263999578112", "992546263999578112")</f>
        <v/>
      </c>
      <c r="B1857" s="2" t="n">
        <v>43224.97736111111</v>
      </c>
      <c r="C1857" t="n">
        <v>0</v>
      </c>
      <c r="D1857" t="n">
        <v>407</v>
      </c>
      <c r="E1857" t="s">
        <v>1841</v>
      </c>
      <c r="F1857" t="s"/>
      <c r="G1857" t="s"/>
      <c r="H1857" t="s"/>
      <c r="I1857" t="s"/>
      <c r="J1857" t="n">
        <v>0.4269</v>
      </c>
      <c r="K1857" t="n">
        <v>0.11</v>
      </c>
      <c r="L1857" t="n">
        <v>0.704</v>
      </c>
      <c r="M1857" t="n">
        <v>0.186</v>
      </c>
    </row>
    <row r="1858" spans="1:13">
      <c r="A1858" s="1">
        <f>HYPERLINK("http://www.twitter.com/NathanBLawrence/status/992546164145827841", "992546164145827841")</f>
        <v/>
      </c>
      <c r="B1858" s="2" t="n">
        <v>43224.97708333333</v>
      </c>
      <c r="C1858" t="n">
        <v>0</v>
      </c>
      <c r="D1858" t="n">
        <v>1169</v>
      </c>
      <c r="E1858" t="s">
        <v>1842</v>
      </c>
      <c r="F1858">
        <f>HYPERLINK("http://pbs.twimg.com/media/DcXwFzaUQAANbnD.jpg", "http://pbs.twimg.com/media/DcXwFzaUQAANbnD.jpg")</f>
        <v/>
      </c>
      <c r="G1858" t="s"/>
      <c r="H1858" t="s"/>
      <c r="I1858" t="s"/>
      <c r="J1858" t="n">
        <v>0</v>
      </c>
      <c r="K1858" t="n">
        <v>0</v>
      </c>
      <c r="L1858" t="n">
        <v>1</v>
      </c>
      <c r="M1858" t="n">
        <v>0</v>
      </c>
    </row>
    <row r="1859" spans="1:13">
      <c r="A1859" s="1">
        <f>HYPERLINK("http://www.twitter.com/NathanBLawrence/status/992546128146124801", "992546128146124801")</f>
        <v/>
      </c>
      <c r="B1859" s="2" t="n">
        <v>43224.97699074074</v>
      </c>
      <c r="C1859" t="n">
        <v>0</v>
      </c>
      <c r="D1859" t="n">
        <v>1053</v>
      </c>
      <c r="E1859" t="s">
        <v>1843</v>
      </c>
      <c r="F1859" t="s"/>
      <c r="G1859" t="s"/>
      <c r="H1859" t="s"/>
      <c r="I1859" t="s"/>
      <c r="J1859" t="n">
        <v>0</v>
      </c>
      <c r="K1859" t="n">
        <v>0</v>
      </c>
      <c r="L1859" t="n">
        <v>1</v>
      </c>
      <c r="M1859" t="n">
        <v>0</v>
      </c>
    </row>
    <row r="1860" spans="1:13">
      <c r="A1860" s="1">
        <f>HYPERLINK("http://www.twitter.com/NathanBLawrence/status/992546083673866247", "992546083673866247")</f>
        <v/>
      </c>
      <c r="B1860" s="2" t="n">
        <v>43224.97686342592</v>
      </c>
      <c r="C1860" t="n">
        <v>0</v>
      </c>
      <c r="D1860" t="n">
        <v>13961</v>
      </c>
      <c r="E1860" t="s">
        <v>1844</v>
      </c>
      <c r="F1860" t="s"/>
      <c r="G1860" t="s"/>
      <c r="H1860" t="s"/>
      <c r="I1860" t="s"/>
      <c r="J1860" t="n">
        <v>-0.6458</v>
      </c>
      <c r="K1860" t="n">
        <v>0.3</v>
      </c>
      <c r="L1860" t="n">
        <v>0.7</v>
      </c>
      <c r="M1860" t="n">
        <v>0</v>
      </c>
    </row>
    <row r="1861" spans="1:13">
      <c r="A1861" s="1">
        <f>HYPERLINK("http://www.twitter.com/NathanBLawrence/status/992546067706187776", "992546067706187776")</f>
        <v/>
      </c>
      <c r="B1861" s="2" t="n">
        <v>43224.97681712963</v>
      </c>
      <c r="C1861" t="n">
        <v>0</v>
      </c>
      <c r="D1861" t="n">
        <v>333</v>
      </c>
      <c r="E1861" t="s">
        <v>1845</v>
      </c>
      <c r="F1861" t="s"/>
      <c r="G1861" t="s"/>
      <c r="H1861" t="s"/>
      <c r="I1861" t="s"/>
      <c r="J1861" t="n">
        <v>-0.34</v>
      </c>
      <c r="K1861" t="n">
        <v>0.231</v>
      </c>
      <c r="L1861" t="n">
        <v>0.769</v>
      </c>
      <c r="M1861" t="n">
        <v>0</v>
      </c>
    </row>
    <row r="1862" spans="1:13">
      <c r="A1862" s="1">
        <f>HYPERLINK("http://www.twitter.com/NathanBLawrence/status/992546050840973313", "992546050840973313")</f>
        <v/>
      </c>
      <c r="B1862" s="2" t="n">
        <v>43224.97677083333</v>
      </c>
      <c r="C1862" t="n">
        <v>0</v>
      </c>
      <c r="D1862" t="n">
        <v>1445</v>
      </c>
      <c r="E1862" t="s">
        <v>1846</v>
      </c>
      <c r="F1862" t="s"/>
      <c r="G1862" t="s"/>
      <c r="H1862" t="s"/>
      <c r="I1862" t="s"/>
      <c r="J1862" t="n">
        <v>0.5411</v>
      </c>
      <c r="K1862" t="n">
        <v>0</v>
      </c>
      <c r="L1862" t="n">
        <v>0.8110000000000001</v>
      </c>
      <c r="M1862" t="n">
        <v>0.189</v>
      </c>
    </row>
    <row r="1863" spans="1:13">
      <c r="A1863" s="1">
        <f>HYPERLINK("http://www.twitter.com/NathanBLawrence/status/992545878207541248", "992545878207541248")</f>
        <v/>
      </c>
      <c r="B1863" s="2" t="n">
        <v>43224.9762962963</v>
      </c>
      <c r="C1863" t="n">
        <v>1</v>
      </c>
      <c r="D1863" t="n">
        <v>0</v>
      </c>
      <c r="E1863" t="s">
        <v>309</v>
      </c>
      <c r="F1863" t="s"/>
      <c r="G1863" t="s"/>
      <c r="H1863" t="s"/>
      <c r="I1863" t="s"/>
      <c r="J1863" t="n">
        <v>0</v>
      </c>
      <c r="K1863" t="n">
        <v>0</v>
      </c>
      <c r="L1863" t="n">
        <v>1</v>
      </c>
      <c r="M1863" t="n">
        <v>0</v>
      </c>
    </row>
    <row r="1864" spans="1:13">
      <c r="A1864" s="1">
        <f>HYPERLINK("http://www.twitter.com/NathanBLawrence/status/992545805423824897", "992545805423824897")</f>
        <v/>
      </c>
      <c r="B1864" s="2" t="n">
        <v>43224.97609953704</v>
      </c>
      <c r="C1864" t="n">
        <v>3</v>
      </c>
      <c r="D1864" t="n">
        <v>0</v>
      </c>
      <c r="E1864" t="s">
        <v>1847</v>
      </c>
      <c r="F1864" t="s"/>
      <c r="G1864" t="s"/>
      <c r="H1864" t="s"/>
      <c r="I1864" t="s"/>
      <c r="J1864" t="n">
        <v>0</v>
      </c>
      <c r="K1864" t="n">
        <v>0</v>
      </c>
      <c r="L1864" t="n">
        <v>1</v>
      </c>
      <c r="M1864" t="n">
        <v>0</v>
      </c>
    </row>
    <row r="1865" spans="1:13">
      <c r="A1865" s="1">
        <f>HYPERLINK("http://www.twitter.com/NathanBLawrence/status/992545742844817410", "992545742844817410")</f>
        <v/>
      </c>
      <c r="B1865" s="2" t="n">
        <v>43224.97592592592</v>
      </c>
      <c r="C1865" t="n">
        <v>0</v>
      </c>
      <c r="D1865" t="n">
        <v>0</v>
      </c>
      <c r="E1865" t="s">
        <v>1848</v>
      </c>
      <c r="F1865" t="s"/>
      <c r="G1865" t="s"/>
      <c r="H1865" t="s"/>
      <c r="I1865" t="s"/>
      <c r="J1865" t="n">
        <v>0</v>
      </c>
      <c r="K1865" t="n">
        <v>0</v>
      </c>
      <c r="L1865" t="n">
        <v>1</v>
      </c>
      <c r="M1865" t="n">
        <v>0</v>
      </c>
    </row>
    <row r="1866" spans="1:13">
      <c r="A1866" s="1">
        <f>HYPERLINK("http://www.twitter.com/NathanBLawrence/status/992545645276925954", "992545645276925954")</f>
        <v/>
      </c>
      <c r="B1866" s="2" t="n">
        <v>43224.97565972222</v>
      </c>
      <c r="C1866" t="n">
        <v>0</v>
      </c>
      <c r="D1866" t="n">
        <v>5</v>
      </c>
      <c r="E1866" t="s">
        <v>1849</v>
      </c>
      <c r="F1866" t="s"/>
      <c r="G1866" t="s"/>
      <c r="H1866" t="s"/>
      <c r="I1866" t="s"/>
      <c r="J1866" t="n">
        <v>0.0772</v>
      </c>
      <c r="K1866" t="n">
        <v>0.08599999999999999</v>
      </c>
      <c r="L1866" t="n">
        <v>0.8159999999999999</v>
      </c>
      <c r="M1866" t="n">
        <v>0.098</v>
      </c>
    </row>
    <row r="1867" spans="1:13">
      <c r="A1867" s="1">
        <f>HYPERLINK("http://www.twitter.com/NathanBLawrence/status/992545595138170880", "992545595138170880")</f>
        <v/>
      </c>
      <c r="B1867" s="2" t="n">
        <v>43224.97552083333</v>
      </c>
      <c r="C1867" t="n">
        <v>1</v>
      </c>
      <c r="D1867" t="n">
        <v>1</v>
      </c>
      <c r="E1867" t="s">
        <v>1850</v>
      </c>
      <c r="F1867" t="s"/>
      <c r="G1867" t="s"/>
      <c r="H1867" t="s"/>
      <c r="I1867" t="s"/>
      <c r="J1867" t="n">
        <v>0</v>
      </c>
      <c r="K1867" t="n">
        <v>0</v>
      </c>
      <c r="L1867" t="n">
        <v>1</v>
      </c>
      <c r="M1867" t="n">
        <v>0</v>
      </c>
    </row>
    <row r="1868" spans="1:13">
      <c r="A1868" s="1">
        <f>HYPERLINK("http://www.twitter.com/NathanBLawrence/status/992545270352302080", "992545270352302080")</f>
        <v/>
      </c>
      <c r="B1868" s="2" t="n">
        <v>43224.97461805555</v>
      </c>
      <c r="C1868" t="n">
        <v>3</v>
      </c>
      <c r="D1868" t="n">
        <v>0</v>
      </c>
      <c r="E1868" t="s">
        <v>1851</v>
      </c>
      <c r="F1868" t="s"/>
      <c r="G1868" t="s"/>
      <c r="H1868" t="s"/>
      <c r="I1868" t="s"/>
      <c r="J1868" t="n">
        <v>0.296</v>
      </c>
      <c r="K1868" t="n">
        <v>0.073</v>
      </c>
      <c r="L1868" t="n">
        <v>0.791</v>
      </c>
      <c r="M1868" t="n">
        <v>0.136</v>
      </c>
    </row>
    <row r="1869" spans="1:13">
      <c r="A1869" s="1">
        <f>HYPERLINK("http://www.twitter.com/NathanBLawrence/status/992542716369276928", "992542716369276928")</f>
        <v/>
      </c>
      <c r="B1869" s="2" t="n">
        <v>43224.96756944444</v>
      </c>
      <c r="C1869" t="n">
        <v>0</v>
      </c>
      <c r="D1869" t="n">
        <v>3</v>
      </c>
      <c r="E1869" t="s">
        <v>1852</v>
      </c>
      <c r="F1869" t="s"/>
      <c r="G1869" t="s"/>
      <c r="H1869" t="s"/>
      <c r="I1869" t="s"/>
      <c r="J1869" t="n">
        <v>-0.3736</v>
      </c>
      <c r="K1869" t="n">
        <v>0.189</v>
      </c>
      <c r="L1869" t="n">
        <v>0.8110000000000001</v>
      </c>
      <c r="M1869" t="n">
        <v>0</v>
      </c>
    </row>
    <row r="1870" spans="1:13">
      <c r="A1870" s="1">
        <f>HYPERLINK("http://www.twitter.com/NathanBLawrence/status/992542685214003202", "992542685214003202")</f>
        <v/>
      </c>
      <c r="B1870" s="2" t="n">
        <v>43224.96748842593</v>
      </c>
      <c r="C1870" t="n">
        <v>0</v>
      </c>
      <c r="D1870" t="n">
        <v>0</v>
      </c>
      <c r="E1870" t="s">
        <v>311</v>
      </c>
      <c r="F1870" t="s"/>
      <c r="G1870" t="s"/>
      <c r="H1870" t="s"/>
      <c r="I1870" t="s"/>
      <c r="J1870" t="n">
        <v>0</v>
      </c>
      <c r="K1870" t="n">
        <v>0</v>
      </c>
      <c r="L1870" t="n">
        <v>1</v>
      </c>
      <c r="M1870" t="n">
        <v>0</v>
      </c>
    </row>
    <row r="1871" spans="1:13">
      <c r="A1871" s="1">
        <f>HYPERLINK("http://www.twitter.com/NathanBLawrence/status/992542513264283655", "992542513264283655")</f>
        <v/>
      </c>
      <c r="B1871" s="2" t="n">
        <v>43224.96701388889</v>
      </c>
      <c r="C1871" t="n">
        <v>4</v>
      </c>
      <c r="D1871" t="n">
        <v>0</v>
      </c>
      <c r="E1871" t="s">
        <v>310</v>
      </c>
      <c r="F1871" t="s"/>
      <c r="G1871" t="s"/>
      <c r="H1871" t="s"/>
      <c r="I1871" t="s"/>
      <c r="J1871" t="n">
        <v>0</v>
      </c>
      <c r="K1871" t="n">
        <v>0</v>
      </c>
      <c r="L1871" t="n">
        <v>1</v>
      </c>
      <c r="M1871" t="n">
        <v>0</v>
      </c>
    </row>
    <row r="1872" spans="1:13">
      <c r="A1872" s="1">
        <f>HYPERLINK("http://www.twitter.com/NathanBLawrence/status/992542315062456320", "992542315062456320")</f>
        <v/>
      </c>
      <c r="B1872" s="2" t="n">
        <v>43224.96646990741</v>
      </c>
      <c r="C1872" t="n">
        <v>3</v>
      </c>
      <c r="D1872" t="n">
        <v>1</v>
      </c>
      <c r="E1872" t="s">
        <v>310</v>
      </c>
      <c r="F1872" t="s"/>
      <c r="G1872" t="s"/>
      <c r="H1872" t="s"/>
      <c r="I1872" t="s"/>
      <c r="J1872" t="n">
        <v>0</v>
      </c>
      <c r="K1872" t="n">
        <v>0</v>
      </c>
      <c r="L1872" t="n">
        <v>1</v>
      </c>
      <c r="M1872" t="n">
        <v>0</v>
      </c>
    </row>
    <row r="1873" spans="1:13">
      <c r="A1873" s="1">
        <f>HYPERLINK("http://www.twitter.com/NathanBLawrence/status/992542162716971008", "992542162716971008")</f>
        <v/>
      </c>
      <c r="B1873" s="2" t="n">
        <v>43224.96604166667</v>
      </c>
      <c r="C1873" t="n">
        <v>1</v>
      </c>
      <c r="D1873" t="n">
        <v>0</v>
      </c>
      <c r="E1873" t="s">
        <v>1853</v>
      </c>
      <c r="F1873" t="s"/>
      <c r="G1873" t="s"/>
      <c r="H1873" t="s"/>
      <c r="I1873" t="s"/>
      <c r="J1873" t="n">
        <v>0.4404</v>
      </c>
      <c r="K1873" t="n">
        <v>0</v>
      </c>
      <c r="L1873" t="n">
        <v>0.884</v>
      </c>
      <c r="M1873" t="n">
        <v>0.116</v>
      </c>
    </row>
    <row r="1874" spans="1:13">
      <c r="A1874" s="1">
        <f>HYPERLINK("http://www.twitter.com/NathanBLawrence/status/992542017430441984", "992542017430441984")</f>
        <v/>
      </c>
      <c r="B1874" s="2" t="n">
        <v>43224.96564814815</v>
      </c>
      <c r="C1874" t="n">
        <v>0</v>
      </c>
      <c r="D1874" t="n">
        <v>39</v>
      </c>
      <c r="E1874" t="s">
        <v>1854</v>
      </c>
      <c r="F1874" t="s"/>
      <c r="G1874" t="s"/>
      <c r="H1874" t="s"/>
      <c r="I1874" t="s"/>
      <c r="J1874" t="n">
        <v>0.25</v>
      </c>
      <c r="K1874" t="n">
        <v>0</v>
      </c>
      <c r="L1874" t="n">
        <v>0.87</v>
      </c>
      <c r="M1874" t="n">
        <v>0.13</v>
      </c>
    </row>
    <row r="1875" spans="1:13">
      <c r="A1875" s="1">
        <f>HYPERLINK("http://www.twitter.com/NathanBLawrence/status/992541746503540736", "992541746503540736")</f>
        <v/>
      </c>
      <c r="B1875" s="2" t="n">
        <v>43224.96489583333</v>
      </c>
      <c r="C1875" t="n">
        <v>0</v>
      </c>
      <c r="D1875" t="n">
        <v>6</v>
      </c>
      <c r="E1875" t="s">
        <v>1855</v>
      </c>
      <c r="F1875" t="s"/>
      <c r="G1875" t="s"/>
      <c r="H1875" t="s"/>
      <c r="I1875" t="s"/>
      <c r="J1875" t="n">
        <v>0.6597</v>
      </c>
      <c r="K1875" t="n">
        <v>0</v>
      </c>
      <c r="L1875" t="n">
        <v>0.795</v>
      </c>
      <c r="M1875" t="n">
        <v>0.205</v>
      </c>
    </row>
    <row r="1876" spans="1:13">
      <c r="A1876" s="1">
        <f>HYPERLINK("http://www.twitter.com/NathanBLawrence/status/992541661455675392", "992541661455675392")</f>
        <v/>
      </c>
      <c r="B1876" s="2" t="n">
        <v>43224.96466435185</v>
      </c>
      <c r="C1876" t="n">
        <v>0</v>
      </c>
      <c r="D1876" t="n">
        <v>6</v>
      </c>
      <c r="E1876" t="s">
        <v>1856</v>
      </c>
      <c r="F1876" t="s"/>
      <c r="G1876" t="s"/>
      <c r="H1876" t="s"/>
      <c r="I1876" t="s"/>
      <c r="J1876" t="n">
        <v>-0.0534</v>
      </c>
      <c r="K1876" t="n">
        <v>0.11</v>
      </c>
      <c r="L1876" t="n">
        <v>0.788</v>
      </c>
      <c r="M1876" t="n">
        <v>0.102</v>
      </c>
    </row>
    <row r="1877" spans="1:13">
      <c r="A1877" s="1">
        <f>HYPERLINK("http://www.twitter.com/NathanBLawrence/status/992541621483921408", "992541621483921408")</f>
        <v/>
      </c>
      <c r="B1877" s="2" t="n">
        <v>43224.96454861111</v>
      </c>
      <c r="C1877" t="n">
        <v>0</v>
      </c>
      <c r="D1877" t="n">
        <v>4</v>
      </c>
      <c r="E1877" t="s">
        <v>1857</v>
      </c>
      <c r="F1877" t="s"/>
      <c r="G1877" t="s"/>
      <c r="H1877" t="s"/>
      <c r="I1877" t="s"/>
      <c r="J1877" t="n">
        <v>0</v>
      </c>
      <c r="K1877" t="n">
        <v>0</v>
      </c>
      <c r="L1877" t="n">
        <v>1</v>
      </c>
      <c r="M1877" t="n">
        <v>0</v>
      </c>
    </row>
    <row r="1878" spans="1:13">
      <c r="A1878" s="1">
        <f>HYPERLINK("http://www.twitter.com/NathanBLawrence/status/992541582791528450", "992541582791528450")</f>
        <v/>
      </c>
      <c r="B1878" s="2" t="n">
        <v>43224.96444444444</v>
      </c>
      <c r="C1878" t="n">
        <v>0</v>
      </c>
      <c r="D1878" t="n">
        <v>6</v>
      </c>
      <c r="E1878" t="s">
        <v>1858</v>
      </c>
      <c r="F1878" t="s"/>
      <c r="G1878" t="s"/>
      <c r="H1878" t="s"/>
      <c r="I1878" t="s"/>
      <c r="J1878" t="n">
        <v>-0.34</v>
      </c>
      <c r="K1878" t="n">
        <v>0.118</v>
      </c>
      <c r="L1878" t="n">
        <v>0.882</v>
      </c>
      <c r="M1878" t="n">
        <v>0</v>
      </c>
    </row>
    <row r="1879" spans="1:13">
      <c r="A1879" s="1">
        <f>HYPERLINK("http://www.twitter.com/NathanBLawrence/status/992538938601627649", "992538938601627649")</f>
        <v/>
      </c>
      <c r="B1879" s="2" t="n">
        <v>43224.95715277778</v>
      </c>
      <c r="C1879" t="n">
        <v>0</v>
      </c>
      <c r="D1879" t="n">
        <v>5</v>
      </c>
      <c r="E1879" t="s">
        <v>1859</v>
      </c>
      <c r="F1879" t="s"/>
      <c r="G1879" t="s"/>
      <c r="H1879" t="s"/>
      <c r="I1879" t="s"/>
      <c r="J1879" t="n">
        <v>0.3612</v>
      </c>
      <c r="K1879" t="n">
        <v>0.13</v>
      </c>
      <c r="L1879" t="n">
        <v>0.65</v>
      </c>
      <c r="M1879" t="n">
        <v>0.22</v>
      </c>
    </row>
    <row r="1880" spans="1:13">
      <c r="A1880" s="1">
        <f>HYPERLINK("http://www.twitter.com/NathanBLawrence/status/992538915193151488", "992538915193151488")</f>
        <v/>
      </c>
      <c r="B1880" s="2" t="n">
        <v>43224.95708333333</v>
      </c>
      <c r="C1880" t="n">
        <v>0</v>
      </c>
      <c r="D1880" t="n">
        <v>6</v>
      </c>
      <c r="E1880" t="s">
        <v>1860</v>
      </c>
      <c r="F1880" t="s"/>
      <c r="G1880" t="s"/>
      <c r="H1880" t="s"/>
      <c r="I1880" t="s"/>
      <c r="J1880" t="n">
        <v>0.5319</v>
      </c>
      <c r="K1880" t="n">
        <v>0</v>
      </c>
      <c r="L1880" t="n">
        <v>0.783</v>
      </c>
      <c r="M1880" t="n">
        <v>0.217</v>
      </c>
    </row>
    <row r="1881" spans="1:13">
      <c r="A1881" s="1">
        <f>HYPERLINK("http://www.twitter.com/NathanBLawrence/status/992538822687772672", "992538822687772672")</f>
        <v/>
      </c>
      <c r="B1881" s="2" t="n">
        <v>43224.9568287037</v>
      </c>
      <c r="C1881" t="n">
        <v>0</v>
      </c>
      <c r="D1881" t="n">
        <v>3</v>
      </c>
      <c r="E1881" t="s">
        <v>1861</v>
      </c>
      <c r="F1881" t="s"/>
      <c r="G1881" t="s"/>
      <c r="H1881" t="s"/>
      <c r="I1881" t="s"/>
      <c r="J1881" t="n">
        <v>0</v>
      </c>
      <c r="K1881" t="n">
        <v>0</v>
      </c>
      <c r="L1881" t="n">
        <v>1</v>
      </c>
      <c r="M1881" t="n">
        <v>0</v>
      </c>
    </row>
    <row r="1882" spans="1:13">
      <c r="A1882" s="1">
        <f>HYPERLINK("http://www.twitter.com/NathanBLawrence/status/992538550544621569", "992538550544621569")</f>
        <v/>
      </c>
      <c r="B1882" s="2" t="n">
        <v>43224.95607638889</v>
      </c>
      <c r="C1882" t="n">
        <v>0</v>
      </c>
      <c r="D1882" t="n">
        <v>0</v>
      </c>
      <c r="E1882" t="s">
        <v>1862</v>
      </c>
      <c r="F1882" t="s"/>
      <c r="G1882" t="s"/>
      <c r="H1882" t="s"/>
      <c r="I1882" t="s"/>
      <c r="J1882" t="n">
        <v>0</v>
      </c>
      <c r="K1882" t="n">
        <v>0</v>
      </c>
      <c r="L1882" t="n">
        <v>1</v>
      </c>
      <c r="M1882" t="n">
        <v>0</v>
      </c>
    </row>
    <row r="1883" spans="1:13">
      <c r="A1883" s="1">
        <f>HYPERLINK("http://www.twitter.com/NathanBLawrence/status/992538375184887808", "992538375184887808")</f>
        <v/>
      </c>
      <c r="B1883" s="2" t="n">
        <v>43224.95559027778</v>
      </c>
      <c r="C1883" t="n">
        <v>1</v>
      </c>
      <c r="D1883" t="n">
        <v>0</v>
      </c>
      <c r="E1883" t="s">
        <v>1863</v>
      </c>
      <c r="F1883" t="s"/>
      <c r="G1883" t="s"/>
      <c r="H1883" t="s"/>
      <c r="I1883" t="s"/>
      <c r="J1883" t="n">
        <v>0</v>
      </c>
      <c r="K1883" t="n">
        <v>0</v>
      </c>
      <c r="L1883" t="n">
        <v>1</v>
      </c>
      <c r="M1883" t="n">
        <v>0</v>
      </c>
    </row>
    <row r="1884" spans="1:13">
      <c r="A1884" s="1">
        <f>HYPERLINK("http://www.twitter.com/NathanBLawrence/status/992538258881040385", "992538258881040385")</f>
        <v/>
      </c>
      <c r="B1884" s="2" t="n">
        <v>43224.95527777778</v>
      </c>
      <c r="C1884" t="n">
        <v>4</v>
      </c>
      <c r="D1884" t="n">
        <v>1</v>
      </c>
      <c r="E1884" t="s">
        <v>311</v>
      </c>
      <c r="F1884" t="s"/>
      <c r="G1884" t="s"/>
      <c r="H1884" t="s"/>
      <c r="I1884" t="s"/>
      <c r="J1884" t="n">
        <v>0</v>
      </c>
      <c r="K1884" t="n">
        <v>0</v>
      </c>
      <c r="L1884" t="n">
        <v>1</v>
      </c>
      <c r="M1884" t="n">
        <v>0</v>
      </c>
    </row>
    <row r="1885" spans="1:13">
      <c r="A1885" s="1">
        <f>HYPERLINK("http://www.twitter.com/NathanBLawrence/status/992538036234801158", "992538036234801158")</f>
        <v/>
      </c>
      <c r="B1885" s="2" t="n">
        <v>43224.95465277778</v>
      </c>
      <c r="C1885" t="n">
        <v>0</v>
      </c>
      <c r="D1885" t="n">
        <v>13</v>
      </c>
      <c r="E1885" t="s">
        <v>1864</v>
      </c>
      <c r="F1885" t="s"/>
      <c r="G1885" t="s"/>
      <c r="H1885" t="s"/>
      <c r="I1885" t="s"/>
      <c r="J1885" t="n">
        <v>-0.4466</v>
      </c>
      <c r="K1885" t="n">
        <v>0.155</v>
      </c>
      <c r="L1885" t="n">
        <v>0.845</v>
      </c>
      <c r="M1885" t="n">
        <v>0</v>
      </c>
    </row>
    <row r="1886" spans="1:13">
      <c r="A1886" s="1">
        <f>HYPERLINK("http://www.twitter.com/NathanBLawrence/status/992537993054433280", "992537993054433280")</f>
        <v/>
      </c>
      <c r="B1886" s="2" t="n">
        <v>43224.95453703704</v>
      </c>
      <c r="C1886" t="n">
        <v>0</v>
      </c>
      <c r="D1886" t="n">
        <v>5</v>
      </c>
      <c r="E1886" t="s">
        <v>1865</v>
      </c>
      <c r="F1886" t="s"/>
      <c r="G1886" t="s"/>
      <c r="H1886" t="s"/>
      <c r="I1886" t="s"/>
      <c r="J1886" t="n">
        <v>0.3182</v>
      </c>
      <c r="K1886" t="n">
        <v>0.093</v>
      </c>
      <c r="L1886" t="n">
        <v>0.711</v>
      </c>
      <c r="M1886" t="n">
        <v>0.196</v>
      </c>
    </row>
    <row r="1887" spans="1:13">
      <c r="A1887" s="1">
        <f>HYPERLINK("http://www.twitter.com/NathanBLawrence/status/992537515881091080", "992537515881091080")</f>
        <v/>
      </c>
      <c r="B1887" s="2" t="n">
        <v>43224.95321759259</v>
      </c>
      <c r="C1887" t="n">
        <v>0</v>
      </c>
      <c r="D1887" t="n">
        <v>6</v>
      </c>
      <c r="E1887" t="s">
        <v>1866</v>
      </c>
      <c r="F1887" t="s"/>
      <c r="G1887" t="s"/>
      <c r="H1887" t="s"/>
      <c r="I1887" t="s"/>
      <c r="J1887" t="n">
        <v>0.4019</v>
      </c>
      <c r="K1887" t="n">
        <v>0</v>
      </c>
      <c r="L1887" t="n">
        <v>0.886</v>
      </c>
      <c r="M1887" t="n">
        <v>0.114</v>
      </c>
    </row>
    <row r="1888" spans="1:13">
      <c r="A1888" s="1">
        <f>HYPERLINK("http://www.twitter.com/NathanBLawrence/status/992537197608886273", "992537197608886273")</f>
        <v/>
      </c>
      <c r="B1888" s="2" t="n">
        <v>43224.95234953704</v>
      </c>
      <c r="C1888" t="n">
        <v>0</v>
      </c>
      <c r="D1888" t="n">
        <v>8</v>
      </c>
      <c r="E1888" t="s">
        <v>1867</v>
      </c>
      <c r="F1888" t="s"/>
      <c r="G1888" t="s"/>
      <c r="H1888" t="s"/>
      <c r="I1888" t="s"/>
      <c r="J1888" t="n">
        <v>0.2023</v>
      </c>
      <c r="K1888" t="n">
        <v>0.081</v>
      </c>
      <c r="L1888" t="n">
        <v>0.769</v>
      </c>
      <c r="M1888" t="n">
        <v>0.15</v>
      </c>
    </row>
    <row r="1889" spans="1:13">
      <c r="A1889" s="1">
        <f>HYPERLINK("http://www.twitter.com/NathanBLawrence/status/992537178642223104", "992537178642223104")</f>
        <v/>
      </c>
      <c r="B1889" s="2" t="n">
        <v>43224.95229166667</v>
      </c>
      <c r="C1889" t="n">
        <v>0</v>
      </c>
      <c r="D1889" t="n">
        <v>33</v>
      </c>
      <c r="E1889" t="s">
        <v>1868</v>
      </c>
      <c r="F1889" t="s"/>
      <c r="G1889" t="s"/>
      <c r="H1889" t="s"/>
      <c r="I1889" t="s"/>
      <c r="J1889" t="n">
        <v>-0.5266999999999999</v>
      </c>
      <c r="K1889" t="n">
        <v>0.145</v>
      </c>
      <c r="L1889" t="n">
        <v>0.855</v>
      </c>
      <c r="M1889" t="n">
        <v>0</v>
      </c>
    </row>
    <row r="1890" spans="1:13">
      <c r="A1890" s="1">
        <f>HYPERLINK("http://www.twitter.com/NathanBLawrence/status/992537173441368064", "992537173441368064")</f>
        <v/>
      </c>
      <c r="B1890" s="2" t="n">
        <v>43224.95228009259</v>
      </c>
      <c r="C1890" t="n">
        <v>0</v>
      </c>
      <c r="D1890" t="n">
        <v>25</v>
      </c>
      <c r="E1890" t="s">
        <v>1869</v>
      </c>
      <c r="F1890" t="s"/>
      <c r="G1890" t="s"/>
      <c r="H1890" t="s"/>
      <c r="I1890" t="s"/>
      <c r="J1890" t="n">
        <v>0</v>
      </c>
      <c r="K1890" t="n">
        <v>0</v>
      </c>
      <c r="L1890" t="n">
        <v>1</v>
      </c>
      <c r="M1890" t="n">
        <v>0</v>
      </c>
    </row>
    <row r="1891" spans="1:13">
      <c r="A1891" s="1">
        <f>HYPERLINK("http://www.twitter.com/NathanBLawrence/status/992537157318402050", "992537157318402050")</f>
        <v/>
      </c>
      <c r="B1891" s="2" t="n">
        <v>43224.9522337963</v>
      </c>
      <c r="C1891" t="n">
        <v>0</v>
      </c>
      <c r="D1891" t="n">
        <v>10</v>
      </c>
      <c r="E1891" t="s">
        <v>1870</v>
      </c>
      <c r="F1891" t="s"/>
      <c r="G1891" t="s"/>
      <c r="H1891" t="s"/>
      <c r="I1891" t="s"/>
      <c r="J1891" t="n">
        <v>0.5859</v>
      </c>
      <c r="K1891" t="n">
        <v>0.11</v>
      </c>
      <c r="L1891" t="n">
        <v>0.616</v>
      </c>
      <c r="M1891" t="n">
        <v>0.274</v>
      </c>
    </row>
    <row r="1892" spans="1:13">
      <c r="A1892" s="1">
        <f>HYPERLINK("http://www.twitter.com/NathanBLawrence/status/992537126939095041", "992537126939095041")</f>
        <v/>
      </c>
      <c r="B1892" s="2" t="n">
        <v>43224.95215277778</v>
      </c>
      <c r="C1892" t="n">
        <v>0</v>
      </c>
      <c r="D1892" t="n">
        <v>42</v>
      </c>
      <c r="E1892" t="s">
        <v>1871</v>
      </c>
      <c r="F1892" t="s"/>
      <c r="G1892" t="s"/>
      <c r="H1892" t="s"/>
      <c r="I1892" t="s"/>
      <c r="J1892" t="n">
        <v>0.3182</v>
      </c>
      <c r="K1892" t="n">
        <v>0.089</v>
      </c>
      <c r="L1892" t="n">
        <v>0.766</v>
      </c>
      <c r="M1892" t="n">
        <v>0.145</v>
      </c>
    </row>
    <row r="1893" spans="1:13">
      <c r="A1893" s="1">
        <f>HYPERLINK("http://www.twitter.com/NathanBLawrence/status/992536948580536320", "992536948580536320")</f>
        <v/>
      </c>
      <c r="B1893" s="2" t="n">
        <v>43224.95165509259</v>
      </c>
      <c r="C1893" t="n">
        <v>0</v>
      </c>
      <c r="D1893" t="n">
        <v>5</v>
      </c>
      <c r="E1893" t="s">
        <v>1872</v>
      </c>
      <c r="F1893">
        <f>HYPERLINK("http://pbs.twimg.com/media/DcUQcr4WsAYWJau.jpg", "http://pbs.twimg.com/media/DcUQcr4WsAYWJau.jpg")</f>
        <v/>
      </c>
      <c r="G1893" t="s"/>
      <c r="H1893" t="s"/>
      <c r="I1893" t="s"/>
      <c r="J1893" t="n">
        <v>0</v>
      </c>
      <c r="K1893" t="n">
        <v>0</v>
      </c>
      <c r="L1893" t="n">
        <v>1</v>
      </c>
      <c r="M1893" t="n">
        <v>0</v>
      </c>
    </row>
    <row r="1894" spans="1:13">
      <c r="A1894" s="1">
        <f>HYPERLINK("http://www.twitter.com/NathanBLawrence/status/992536908994621442", "992536908994621442")</f>
        <v/>
      </c>
      <c r="B1894" s="2" t="n">
        <v>43224.95155092593</v>
      </c>
      <c r="C1894" t="n">
        <v>0</v>
      </c>
      <c r="D1894" t="n">
        <v>32</v>
      </c>
      <c r="E1894" t="s">
        <v>1873</v>
      </c>
      <c r="F1894" t="s"/>
      <c r="G1894" t="s"/>
      <c r="H1894" t="s"/>
      <c r="I1894" t="s"/>
      <c r="J1894" t="n">
        <v>0</v>
      </c>
      <c r="K1894" t="n">
        <v>0</v>
      </c>
      <c r="L1894" t="n">
        <v>1</v>
      </c>
      <c r="M1894" t="n">
        <v>0</v>
      </c>
    </row>
    <row r="1895" spans="1:13">
      <c r="A1895" s="1">
        <f>HYPERLINK("http://www.twitter.com/NathanBLawrence/status/992536859128553473", "992536859128553473")</f>
        <v/>
      </c>
      <c r="B1895" s="2" t="n">
        <v>43224.95141203704</v>
      </c>
      <c r="C1895" t="n">
        <v>0</v>
      </c>
      <c r="D1895" t="n">
        <v>205</v>
      </c>
      <c r="E1895" t="s">
        <v>1874</v>
      </c>
      <c r="F1895" t="s"/>
      <c r="G1895" t="s"/>
      <c r="H1895" t="s"/>
      <c r="I1895" t="s"/>
      <c r="J1895" t="n">
        <v>-0.4357</v>
      </c>
      <c r="K1895" t="n">
        <v>0.131</v>
      </c>
      <c r="L1895" t="n">
        <v>0.869</v>
      </c>
      <c r="M1895" t="n">
        <v>0</v>
      </c>
    </row>
    <row r="1896" spans="1:13">
      <c r="A1896" s="1">
        <f>HYPERLINK("http://www.twitter.com/NathanBLawrence/status/992533805616521217", "992533805616521217")</f>
        <v/>
      </c>
      <c r="B1896" s="2" t="n">
        <v>43224.94298611111</v>
      </c>
      <c r="C1896" t="n">
        <v>0</v>
      </c>
      <c r="D1896" t="n">
        <v>16</v>
      </c>
      <c r="E1896" t="s">
        <v>1875</v>
      </c>
      <c r="F1896">
        <f>HYPERLINK("http://pbs.twimg.com/media/DcYvVvjW0AE29zZ.jpg", "http://pbs.twimg.com/media/DcYvVvjW0AE29zZ.jpg")</f>
        <v/>
      </c>
      <c r="G1896" t="s"/>
      <c r="H1896" t="s"/>
      <c r="I1896" t="s"/>
      <c r="J1896" t="n">
        <v>-0.2617</v>
      </c>
      <c r="K1896" t="n">
        <v>0.076</v>
      </c>
      <c r="L1896" t="n">
        <v>0.924</v>
      </c>
      <c r="M1896" t="n">
        <v>0</v>
      </c>
    </row>
    <row r="1897" spans="1:13">
      <c r="A1897" s="1">
        <f>HYPERLINK("http://www.twitter.com/NathanBLawrence/status/992533755943444480", "992533755943444480")</f>
        <v/>
      </c>
      <c r="B1897" s="2" t="n">
        <v>43224.94284722222</v>
      </c>
      <c r="C1897" t="n">
        <v>4</v>
      </c>
      <c r="D1897" t="n">
        <v>3</v>
      </c>
      <c r="E1897" t="s">
        <v>1876</v>
      </c>
      <c r="F1897" t="s"/>
      <c r="G1897" t="s"/>
      <c r="H1897" t="s"/>
      <c r="I1897" t="s"/>
      <c r="J1897" t="n">
        <v>0</v>
      </c>
      <c r="K1897" t="n">
        <v>0</v>
      </c>
      <c r="L1897" t="n">
        <v>1</v>
      </c>
      <c r="M1897" t="n">
        <v>0</v>
      </c>
    </row>
    <row r="1898" spans="1:13">
      <c r="A1898" s="1">
        <f>HYPERLINK("http://www.twitter.com/NathanBLawrence/status/992533692349378560", "992533692349378560")</f>
        <v/>
      </c>
      <c r="B1898" s="2" t="n">
        <v>43224.94267361111</v>
      </c>
      <c r="C1898" t="n">
        <v>0</v>
      </c>
      <c r="D1898" t="n">
        <v>24</v>
      </c>
      <c r="E1898" t="s">
        <v>1877</v>
      </c>
      <c r="F1898" t="s"/>
      <c r="G1898" t="s"/>
      <c r="H1898" t="s"/>
      <c r="I1898" t="s"/>
      <c r="J1898" t="n">
        <v>0.2023</v>
      </c>
      <c r="K1898" t="n">
        <v>0.081</v>
      </c>
      <c r="L1898" t="n">
        <v>0.769</v>
      </c>
      <c r="M1898" t="n">
        <v>0.15</v>
      </c>
    </row>
    <row r="1899" spans="1:13">
      <c r="A1899" s="1">
        <f>HYPERLINK("http://www.twitter.com/NathanBLawrence/status/992533682148737025", "992533682148737025")</f>
        <v/>
      </c>
      <c r="B1899" s="2" t="n">
        <v>43224.94263888889</v>
      </c>
      <c r="C1899" t="n">
        <v>11</v>
      </c>
      <c r="D1899" t="n">
        <v>8</v>
      </c>
      <c r="E1899" t="s">
        <v>1878</v>
      </c>
      <c r="F1899" t="s"/>
      <c r="G1899" t="s"/>
      <c r="H1899" t="s"/>
      <c r="I1899" t="s"/>
      <c r="J1899" t="n">
        <v>0.2023</v>
      </c>
      <c r="K1899" t="n">
        <v>0.042</v>
      </c>
      <c r="L1899" t="n">
        <v>0.88</v>
      </c>
      <c r="M1899" t="n">
        <v>0.078</v>
      </c>
    </row>
    <row r="1900" spans="1:13">
      <c r="A1900" s="1">
        <f>HYPERLINK("http://www.twitter.com/NathanBLawrence/status/992533426849841153", "992533426849841153")</f>
        <v/>
      </c>
      <c r="B1900" s="2" t="n">
        <v>43224.94193287037</v>
      </c>
      <c r="C1900" t="n">
        <v>2</v>
      </c>
      <c r="D1900" t="n">
        <v>0</v>
      </c>
      <c r="E1900" t="s">
        <v>1879</v>
      </c>
      <c r="F1900" t="s"/>
      <c r="G1900" t="s"/>
      <c r="H1900" t="s"/>
      <c r="I1900" t="s"/>
      <c r="J1900" t="n">
        <v>-0.5859</v>
      </c>
      <c r="K1900" t="n">
        <v>0.792</v>
      </c>
      <c r="L1900" t="n">
        <v>0.208</v>
      </c>
      <c r="M1900" t="n">
        <v>0</v>
      </c>
    </row>
    <row r="1901" spans="1:13">
      <c r="A1901" s="1">
        <f>HYPERLINK("http://www.twitter.com/NathanBLawrence/status/992533402027986945", "992533402027986945")</f>
        <v/>
      </c>
      <c r="B1901" s="2" t="n">
        <v>43224.941875</v>
      </c>
      <c r="C1901" t="n">
        <v>7</v>
      </c>
      <c r="D1901" t="n">
        <v>6</v>
      </c>
      <c r="E1901" t="s">
        <v>1880</v>
      </c>
      <c r="F1901" t="s"/>
      <c r="G1901" t="s"/>
      <c r="H1901" t="s"/>
      <c r="I1901" t="s"/>
      <c r="J1901" t="n">
        <v>0.9315</v>
      </c>
      <c r="K1901" t="n">
        <v>0.039</v>
      </c>
      <c r="L1901" t="n">
        <v>0.647</v>
      </c>
      <c r="M1901" t="n">
        <v>0.314</v>
      </c>
    </row>
    <row r="1902" spans="1:13">
      <c r="A1902" s="1">
        <f>HYPERLINK("http://www.twitter.com/NathanBLawrence/status/992532825848057859", "992532825848057859")</f>
        <v/>
      </c>
      <c r="B1902" s="2" t="n">
        <v>43224.94027777778</v>
      </c>
      <c r="C1902" t="n">
        <v>20</v>
      </c>
      <c r="D1902" t="n">
        <v>16</v>
      </c>
      <c r="E1902" t="s">
        <v>1881</v>
      </c>
      <c r="F1902">
        <f>HYPERLINK("http://pbs.twimg.com/media/DcYvVvjW0AE29zZ.jpg", "http://pbs.twimg.com/media/DcYvVvjW0AE29zZ.jpg")</f>
        <v/>
      </c>
      <c r="G1902" t="s"/>
      <c r="H1902" t="s"/>
      <c r="I1902" t="s"/>
      <c r="J1902" t="n">
        <v>-0.6124000000000001</v>
      </c>
      <c r="K1902" t="n">
        <v>0.1</v>
      </c>
      <c r="L1902" t="n">
        <v>0.9</v>
      </c>
      <c r="M1902" t="n">
        <v>0</v>
      </c>
    </row>
    <row r="1903" spans="1:13">
      <c r="A1903" s="1">
        <f>HYPERLINK("http://www.twitter.com/NathanBLawrence/status/992527215333175296", "992527215333175296")</f>
        <v/>
      </c>
      <c r="B1903" s="2" t="n">
        <v>43224.92480324074</v>
      </c>
      <c r="C1903" t="n">
        <v>0</v>
      </c>
      <c r="D1903" t="n">
        <v>3</v>
      </c>
      <c r="E1903" t="s">
        <v>1882</v>
      </c>
      <c r="F1903" t="s"/>
      <c r="G1903" t="s"/>
      <c r="H1903" t="s"/>
      <c r="I1903" t="s"/>
      <c r="J1903" t="n">
        <v>0</v>
      </c>
      <c r="K1903" t="n">
        <v>0</v>
      </c>
      <c r="L1903" t="n">
        <v>1</v>
      </c>
      <c r="M1903" t="n">
        <v>0</v>
      </c>
    </row>
    <row r="1904" spans="1:13">
      <c r="A1904" s="1">
        <f>HYPERLINK("http://www.twitter.com/NathanBLawrence/status/992527149151203329", "992527149151203329")</f>
        <v/>
      </c>
      <c r="B1904" s="2" t="n">
        <v>43224.92461805556</v>
      </c>
      <c r="C1904" t="n">
        <v>0</v>
      </c>
      <c r="D1904" t="n">
        <v>4</v>
      </c>
      <c r="E1904" t="s">
        <v>1883</v>
      </c>
      <c r="F1904" t="s"/>
      <c r="G1904" t="s"/>
      <c r="H1904" t="s"/>
      <c r="I1904" t="s"/>
      <c r="J1904" t="n">
        <v>-0.4404</v>
      </c>
      <c r="K1904" t="n">
        <v>0.121</v>
      </c>
      <c r="L1904" t="n">
        <v>0.879</v>
      </c>
      <c r="M1904" t="n">
        <v>0</v>
      </c>
    </row>
    <row r="1905" spans="1:13">
      <c r="A1905" s="1">
        <f>HYPERLINK("http://www.twitter.com/NathanBLawrence/status/992527093941587970", "992527093941587970")</f>
        <v/>
      </c>
      <c r="B1905" s="2" t="n">
        <v>43224.92446759259</v>
      </c>
      <c r="C1905" t="n">
        <v>7</v>
      </c>
      <c r="D1905" t="n">
        <v>4</v>
      </c>
      <c r="E1905" t="s">
        <v>1884</v>
      </c>
      <c r="F1905" t="s"/>
      <c r="G1905" t="s"/>
      <c r="H1905" t="s"/>
      <c r="I1905" t="s"/>
      <c r="J1905" t="n">
        <v>0.4118</v>
      </c>
      <c r="K1905" t="n">
        <v>0.038</v>
      </c>
      <c r="L1905" t="n">
        <v>0.888</v>
      </c>
      <c r="M1905" t="n">
        <v>0.073</v>
      </c>
    </row>
    <row r="1906" spans="1:13">
      <c r="A1906" s="1">
        <f>HYPERLINK("http://www.twitter.com/NathanBLawrence/status/992524486808363009", "992524486808363009")</f>
        <v/>
      </c>
      <c r="B1906" s="2" t="n">
        <v>43224.91726851852</v>
      </c>
      <c r="C1906" t="n">
        <v>0</v>
      </c>
      <c r="D1906" t="n">
        <v>1194</v>
      </c>
      <c r="E1906" t="s">
        <v>1885</v>
      </c>
      <c r="F1906">
        <f>HYPERLINK("https://video.twimg.com/amplify_video/992478614653472768/vid/1280x720/wnTNjM8PfHzxwpzV.mp4?tag=2", "https://video.twimg.com/amplify_video/992478614653472768/vid/1280x720/wnTNjM8PfHzxwpzV.mp4?tag=2")</f>
        <v/>
      </c>
      <c r="G1906" t="s"/>
      <c r="H1906" t="s"/>
      <c r="I1906" t="s"/>
      <c r="J1906" t="n">
        <v>-0.5216</v>
      </c>
      <c r="K1906" t="n">
        <v>0.151</v>
      </c>
      <c r="L1906" t="n">
        <v>0.849</v>
      </c>
      <c r="M1906" t="n">
        <v>0</v>
      </c>
    </row>
    <row r="1907" spans="1:13">
      <c r="A1907" s="1">
        <f>HYPERLINK("http://www.twitter.com/NathanBLawrence/status/992523981214318592", "992523981214318592")</f>
        <v/>
      </c>
      <c r="B1907" s="2" t="n">
        <v>43224.91586805556</v>
      </c>
      <c r="C1907" t="n">
        <v>0</v>
      </c>
      <c r="D1907" t="n">
        <v>2</v>
      </c>
      <c r="E1907" t="s">
        <v>1886</v>
      </c>
      <c r="F1907" t="s"/>
      <c r="G1907" t="s"/>
      <c r="H1907" t="s"/>
      <c r="I1907" t="s"/>
      <c r="J1907" t="n">
        <v>0</v>
      </c>
      <c r="K1907" t="n">
        <v>0</v>
      </c>
      <c r="L1907" t="n">
        <v>1</v>
      </c>
      <c r="M1907" t="n">
        <v>0</v>
      </c>
    </row>
    <row r="1908" spans="1:13">
      <c r="A1908" s="1">
        <f>HYPERLINK("http://www.twitter.com/NathanBLawrence/status/992523612321173504", "992523612321173504")</f>
        <v/>
      </c>
      <c r="B1908" s="2" t="n">
        <v>43224.91486111111</v>
      </c>
      <c r="C1908" t="n">
        <v>0</v>
      </c>
      <c r="D1908" t="n">
        <v>2</v>
      </c>
      <c r="E1908" t="s">
        <v>1887</v>
      </c>
      <c r="F1908" t="s"/>
      <c r="G1908" t="s"/>
      <c r="H1908" t="s"/>
      <c r="I1908" t="s"/>
      <c r="J1908" t="n">
        <v>0</v>
      </c>
      <c r="K1908" t="n">
        <v>0</v>
      </c>
      <c r="L1908" t="n">
        <v>1</v>
      </c>
      <c r="M1908" t="n">
        <v>0</v>
      </c>
    </row>
    <row r="1909" spans="1:13">
      <c r="A1909" s="1">
        <f>HYPERLINK("http://www.twitter.com/NathanBLawrence/status/992518369508233216", "992518369508233216")</f>
        <v/>
      </c>
      <c r="B1909" s="2" t="n">
        <v>43224.90039351852</v>
      </c>
      <c r="C1909" t="n">
        <v>0</v>
      </c>
      <c r="D1909" t="n">
        <v>32</v>
      </c>
      <c r="E1909" t="s">
        <v>1888</v>
      </c>
      <c r="F1909" t="s"/>
      <c r="G1909" t="s"/>
      <c r="H1909" t="s"/>
      <c r="I1909" t="s"/>
      <c r="J1909" t="n">
        <v>-0.4927</v>
      </c>
      <c r="K1909" t="n">
        <v>0.144</v>
      </c>
      <c r="L1909" t="n">
        <v>0.856</v>
      </c>
      <c r="M1909" t="n">
        <v>0</v>
      </c>
    </row>
    <row r="1910" spans="1:13">
      <c r="A1910" s="1">
        <f>HYPERLINK("http://www.twitter.com/NathanBLawrence/status/992517943954206720", "992517943954206720")</f>
        <v/>
      </c>
      <c r="B1910" s="2" t="n">
        <v>43224.89921296296</v>
      </c>
      <c r="C1910" t="n">
        <v>0</v>
      </c>
      <c r="D1910" t="n">
        <v>6</v>
      </c>
      <c r="E1910" t="s">
        <v>1889</v>
      </c>
      <c r="F1910" t="s"/>
      <c r="G1910" t="s"/>
      <c r="H1910" t="s"/>
      <c r="I1910" t="s"/>
      <c r="J1910" t="n">
        <v>-0.8256</v>
      </c>
      <c r="K1910" t="n">
        <v>0.354</v>
      </c>
      <c r="L1910" t="n">
        <v>0.646</v>
      </c>
      <c r="M1910" t="n">
        <v>0</v>
      </c>
    </row>
    <row r="1911" spans="1:13">
      <c r="A1911" s="1">
        <f>HYPERLINK("http://www.twitter.com/NathanBLawrence/status/992517848659611648", "992517848659611648")</f>
        <v/>
      </c>
      <c r="B1911" s="2" t="n">
        <v>43224.89894675926</v>
      </c>
      <c r="C1911" t="n">
        <v>6</v>
      </c>
      <c r="D1911" t="n">
        <v>2</v>
      </c>
      <c r="E1911" t="s">
        <v>1890</v>
      </c>
      <c r="F1911" t="s"/>
      <c r="G1911" t="s"/>
      <c r="H1911" t="s"/>
      <c r="I1911" t="s"/>
      <c r="J1911" t="n">
        <v>0</v>
      </c>
      <c r="K1911" t="n">
        <v>0</v>
      </c>
      <c r="L1911" t="n">
        <v>1</v>
      </c>
      <c r="M1911" t="n">
        <v>0</v>
      </c>
    </row>
    <row r="1912" spans="1:13">
      <c r="A1912" s="1">
        <f>HYPERLINK("http://www.twitter.com/NathanBLawrence/status/992517548045471744", "992517548045471744")</f>
        <v/>
      </c>
      <c r="B1912" s="2" t="n">
        <v>43224.898125</v>
      </c>
      <c r="C1912" t="n">
        <v>0</v>
      </c>
      <c r="D1912" t="n">
        <v>2</v>
      </c>
      <c r="E1912" t="s">
        <v>1891</v>
      </c>
      <c r="F1912" t="s"/>
      <c r="G1912" t="s"/>
      <c r="H1912" t="s"/>
      <c r="I1912" t="s"/>
      <c r="J1912" t="n">
        <v>0</v>
      </c>
      <c r="K1912" t="n">
        <v>0</v>
      </c>
      <c r="L1912" t="n">
        <v>1</v>
      </c>
      <c r="M1912" t="n">
        <v>0</v>
      </c>
    </row>
    <row r="1913" spans="1:13">
      <c r="A1913" s="1">
        <f>HYPERLINK("http://www.twitter.com/NathanBLawrence/status/992517508581220354", "992517508581220354")</f>
        <v/>
      </c>
      <c r="B1913" s="2" t="n">
        <v>43224.89800925926</v>
      </c>
      <c r="C1913" t="n">
        <v>0</v>
      </c>
      <c r="D1913" t="n">
        <v>4</v>
      </c>
      <c r="E1913" t="s">
        <v>1892</v>
      </c>
      <c r="F1913" t="s"/>
      <c r="G1913" t="s"/>
      <c r="H1913" t="s"/>
      <c r="I1913" t="s"/>
      <c r="J1913" t="n">
        <v>0</v>
      </c>
      <c r="K1913" t="n">
        <v>0</v>
      </c>
      <c r="L1913" t="n">
        <v>1</v>
      </c>
      <c r="M1913" t="n">
        <v>0</v>
      </c>
    </row>
    <row r="1914" spans="1:13">
      <c r="A1914" s="1">
        <f>HYPERLINK("http://www.twitter.com/NathanBLawrence/status/992517450834042883", "992517450834042883")</f>
        <v/>
      </c>
      <c r="B1914" s="2" t="n">
        <v>43224.8978587963</v>
      </c>
      <c r="C1914" t="n">
        <v>0</v>
      </c>
      <c r="D1914" t="n">
        <v>10</v>
      </c>
      <c r="E1914" t="s">
        <v>1893</v>
      </c>
      <c r="F1914">
        <f>HYPERLINK("http://pbs.twimg.com/media/DcYdFVDU0AEokT8.jpg", "http://pbs.twimg.com/media/DcYdFVDU0AEokT8.jpg")</f>
        <v/>
      </c>
      <c r="G1914" t="s"/>
      <c r="H1914" t="s"/>
      <c r="I1914" t="s"/>
      <c r="J1914" t="n">
        <v>0.8109</v>
      </c>
      <c r="K1914" t="n">
        <v>0</v>
      </c>
      <c r="L1914" t="n">
        <v>0.721</v>
      </c>
      <c r="M1914" t="n">
        <v>0.279</v>
      </c>
    </row>
    <row r="1915" spans="1:13">
      <c r="A1915" s="1">
        <f>HYPERLINK("http://www.twitter.com/NathanBLawrence/status/992517419062235137", "992517419062235137")</f>
        <v/>
      </c>
      <c r="B1915" s="2" t="n">
        <v>43224.89776620371</v>
      </c>
      <c r="C1915" t="n">
        <v>0</v>
      </c>
      <c r="D1915" t="n">
        <v>5</v>
      </c>
      <c r="E1915" t="s">
        <v>1894</v>
      </c>
      <c r="F1915" t="s"/>
      <c r="G1915" t="s"/>
      <c r="H1915" t="s"/>
      <c r="I1915" t="s"/>
      <c r="J1915" t="n">
        <v>-0.2023</v>
      </c>
      <c r="K1915" t="n">
        <v>0.073</v>
      </c>
      <c r="L1915" t="n">
        <v>0.927</v>
      </c>
      <c r="M1915" t="n">
        <v>0</v>
      </c>
    </row>
    <row r="1916" spans="1:13">
      <c r="A1916" s="1">
        <f>HYPERLINK("http://www.twitter.com/NathanBLawrence/status/992505531477700608", "992505531477700608")</f>
        <v/>
      </c>
      <c r="B1916" s="2" t="n">
        <v>43224.86496527777</v>
      </c>
      <c r="C1916" t="n">
        <v>0</v>
      </c>
      <c r="D1916" t="n">
        <v>4</v>
      </c>
      <c r="E1916" t="s">
        <v>1895</v>
      </c>
      <c r="F1916" t="s"/>
      <c r="G1916" t="s"/>
      <c r="H1916" t="s"/>
      <c r="I1916" t="s"/>
      <c r="J1916" t="n">
        <v>0</v>
      </c>
      <c r="K1916" t="n">
        <v>0</v>
      </c>
      <c r="L1916" t="n">
        <v>1</v>
      </c>
      <c r="M1916" t="n">
        <v>0</v>
      </c>
    </row>
    <row r="1917" spans="1:13">
      <c r="A1917" s="1">
        <f>HYPERLINK("http://www.twitter.com/NathanBLawrence/status/992505474187759616", "992505474187759616")</f>
        <v/>
      </c>
      <c r="B1917" s="2" t="n">
        <v>43224.86480324074</v>
      </c>
      <c r="C1917" t="n">
        <v>0</v>
      </c>
      <c r="D1917" t="n">
        <v>0</v>
      </c>
      <c r="E1917" t="s">
        <v>1896</v>
      </c>
      <c r="F1917" t="s"/>
      <c r="G1917" t="s"/>
      <c r="H1917" t="s"/>
      <c r="I1917" t="s"/>
      <c r="J1917" t="n">
        <v>-0.1779</v>
      </c>
      <c r="K1917" t="n">
        <v>0.113</v>
      </c>
      <c r="L1917" t="n">
        <v>0.797</v>
      </c>
      <c r="M1917" t="n">
        <v>0.09</v>
      </c>
    </row>
    <row r="1918" spans="1:13">
      <c r="A1918" s="1">
        <f>HYPERLINK("http://www.twitter.com/NathanBLawrence/status/992505269946126337", "992505269946126337")</f>
        <v/>
      </c>
      <c r="B1918" s="2" t="n">
        <v>43224.86423611111</v>
      </c>
      <c r="C1918" t="n">
        <v>0</v>
      </c>
      <c r="D1918" t="n">
        <v>15</v>
      </c>
      <c r="E1918" t="s">
        <v>1897</v>
      </c>
      <c r="F1918">
        <f>HYPERLINK("https://video.twimg.com/ext_tw_video/992450618810712064/pu/vid/1280x720/KO5j5omVREaKUAqg.mp4?tag=3", "https://video.twimg.com/ext_tw_video/992450618810712064/pu/vid/1280x720/KO5j5omVREaKUAqg.mp4?tag=3")</f>
        <v/>
      </c>
      <c r="G1918" t="s"/>
      <c r="H1918" t="s"/>
      <c r="I1918" t="s"/>
      <c r="J1918" t="n">
        <v>0.8074</v>
      </c>
      <c r="K1918" t="n">
        <v>0</v>
      </c>
      <c r="L1918" t="n">
        <v>0.6870000000000001</v>
      </c>
      <c r="M1918" t="n">
        <v>0.313</v>
      </c>
    </row>
    <row r="1919" spans="1:13">
      <c r="A1919" s="1">
        <f>HYPERLINK("http://www.twitter.com/NathanBLawrence/status/992494841211875333", "992494841211875333")</f>
        <v/>
      </c>
      <c r="B1919" s="2" t="n">
        <v>43224.83546296296</v>
      </c>
      <c r="C1919" t="n">
        <v>0</v>
      </c>
      <c r="D1919" t="n">
        <v>5</v>
      </c>
      <c r="E1919" t="s">
        <v>1898</v>
      </c>
      <c r="F1919" t="s"/>
      <c r="G1919" t="s"/>
      <c r="H1919" t="s"/>
      <c r="I1919" t="s"/>
      <c r="J1919" t="n">
        <v>0.4382</v>
      </c>
      <c r="K1919" t="n">
        <v>0.128</v>
      </c>
      <c r="L1919" t="n">
        <v>0.605</v>
      </c>
      <c r="M1919" t="n">
        <v>0.267</v>
      </c>
    </row>
    <row r="1920" spans="1:13">
      <c r="A1920" s="1">
        <f>HYPERLINK("http://www.twitter.com/NathanBLawrence/status/992494827412520960", "992494827412520960")</f>
        <v/>
      </c>
      <c r="B1920" s="2" t="n">
        <v>43224.83542824074</v>
      </c>
      <c r="C1920" t="n">
        <v>0</v>
      </c>
      <c r="D1920" t="n">
        <v>20</v>
      </c>
      <c r="E1920" t="s">
        <v>1899</v>
      </c>
      <c r="F1920">
        <f>HYPERLINK("http://pbs.twimg.com/media/DcXE80FVwAASMmt.jpg", "http://pbs.twimg.com/media/DcXE80FVwAASMmt.jpg")</f>
        <v/>
      </c>
      <c r="G1920">
        <f>HYPERLINK("http://pbs.twimg.com/media/DcXE80FVAAA63iU.jpg", "http://pbs.twimg.com/media/DcXE80FVAAA63iU.jpg")</f>
        <v/>
      </c>
      <c r="H1920">
        <f>HYPERLINK("http://pbs.twimg.com/media/DcXE80MVAAI3pxA.jpg", "http://pbs.twimg.com/media/DcXE80MVAAI3pxA.jpg")</f>
        <v/>
      </c>
      <c r="I1920" t="s"/>
      <c r="J1920" t="n">
        <v>0</v>
      </c>
      <c r="K1920" t="n">
        <v>0</v>
      </c>
      <c r="L1920" t="n">
        <v>1</v>
      </c>
      <c r="M1920" t="n">
        <v>0</v>
      </c>
    </row>
    <row r="1921" spans="1:13">
      <c r="A1921" s="1">
        <f>HYPERLINK("http://www.twitter.com/NathanBLawrence/status/992494814175342595", "992494814175342595")</f>
        <v/>
      </c>
      <c r="B1921" s="2" t="n">
        <v>43224.83539351852</v>
      </c>
      <c r="C1921" t="n">
        <v>0</v>
      </c>
      <c r="D1921" t="n">
        <v>4</v>
      </c>
      <c r="E1921" t="s">
        <v>1900</v>
      </c>
      <c r="F1921" t="s"/>
      <c r="G1921" t="s"/>
      <c r="H1921" t="s"/>
      <c r="I1921" t="s"/>
      <c r="J1921" t="n">
        <v>-0.2755</v>
      </c>
      <c r="K1921" t="n">
        <v>0.08400000000000001</v>
      </c>
      <c r="L1921" t="n">
        <v>0.916</v>
      </c>
      <c r="M1921" t="n">
        <v>0</v>
      </c>
    </row>
    <row r="1922" spans="1:13">
      <c r="A1922" s="1">
        <f>HYPERLINK("http://www.twitter.com/NathanBLawrence/status/992494804348096512", "992494804348096512")</f>
        <v/>
      </c>
      <c r="B1922" s="2" t="n">
        <v>43224.8353587963</v>
      </c>
      <c r="C1922" t="n">
        <v>0</v>
      </c>
      <c r="D1922" t="n">
        <v>10</v>
      </c>
      <c r="E1922" t="s">
        <v>1901</v>
      </c>
      <c r="F1922">
        <f>HYPERLINK("http://pbs.twimg.com/media/DcX67cVW0AEW3Iy.jpg", "http://pbs.twimg.com/media/DcX67cVW0AEW3Iy.jpg")</f>
        <v/>
      </c>
      <c r="G1922" t="s"/>
      <c r="H1922" t="s"/>
      <c r="I1922" t="s"/>
      <c r="J1922" t="n">
        <v>-0.3664</v>
      </c>
      <c r="K1922" t="n">
        <v>0.251</v>
      </c>
      <c r="L1922" t="n">
        <v>0.541</v>
      </c>
      <c r="M1922" t="n">
        <v>0.208</v>
      </c>
    </row>
    <row r="1923" spans="1:13">
      <c r="A1923" s="1">
        <f>HYPERLINK("http://www.twitter.com/NathanBLawrence/status/992494787470209024", "992494787470209024")</f>
        <v/>
      </c>
      <c r="B1923" s="2" t="n">
        <v>43224.8353125</v>
      </c>
      <c r="C1923" t="n">
        <v>0</v>
      </c>
      <c r="D1923" t="n">
        <v>9</v>
      </c>
      <c r="E1923" t="s">
        <v>1902</v>
      </c>
      <c r="F1923" t="s"/>
      <c r="G1923" t="s"/>
      <c r="H1923" t="s"/>
      <c r="I1923" t="s"/>
      <c r="J1923" t="n">
        <v>0</v>
      </c>
      <c r="K1923" t="n">
        <v>0</v>
      </c>
      <c r="L1923" t="n">
        <v>1</v>
      </c>
      <c r="M1923" t="n">
        <v>0</v>
      </c>
    </row>
    <row r="1924" spans="1:13">
      <c r="A1924" s="1">
        <f>HYPERLINK("http://www.twitter.com/NathanBLawrence/status/992494767580774400", "992494767580774400")</f>
        <v/>
      </c>
      <c r="B1924" s="2" t="n">
        <v>43224.83525462963</v>
      </c>
      <c r="C1924" t="n">
        <v>0</v>
      </c>
      <c r="D1924" t="n">
        <v>8</v>
      </c>
      <c r="E1924" t="s">
        <v>1903</v>
      </c>
      <c r="F1924" t="s"/>
      <c r="G1924" t="s"/>
      <c r="H1924" t="s"/>
      <c r="I1924" t="s"/>
      <c r="J1924" t="n">
        <v>0.6124000000000001</v>
      </c>
      <c r="K1924" t="n">
        <v>0.09</v>
      </c>
      <c r="L1924" t="n">
        <v>0.664</v>
      </c>
      <c r="M1924" t="n">
        <v>0.246</v>
      </c>
    </row>
    <row r="1925" spans="1:13">
      <c r="A1925" s="1">
        <f>HYPERLINK("http://www.twitter.com/NathanBLawrence/status/992494752028352512", "992494752028352512")</f>
        <v/>
      </c>
      <c r="B1925" s="2" t="n">
        <v>43224.83521990741</v>
      </c>
      <c r="C1925" t="n">
        <v>0</v>
      </c>
      <c r="D1925" t="n">
        <v>7</v>
      </c>
      <c r="E1925" t="s">
        <v>1904</v>
      </c>
      <c r="F1925" t="s"/>
      <c r="G1925" t="s"/>
      <c r="H1925" t="s"/>
      <c r="I1925" t="s"/>
      <c r="J1925" t="n">
        <v>-0.2755</v>
      </c>
      <c r="K1925" t="n">
        <v>0.123</v>
      </c>
      <c r="L1925" t="n">
        <v>0.877</v>
      </c>
      <c r="M1925" t="n">
        <v>0</v>
      </c>
    </row>
    <row r="1926" spans="1:13">
      <c r="A1926" s="1">
        <f>HYPERLINK("http://www.twitter.com/NathanBLawrence/status/992494736098381829", "992494736098381829")</f>
        <v/>
      </c>
      <c r="B1926" s="2" t="n">
        <v>43224.83517361111</v>
      </c>
      <c r="C1926" t="n">
        <v>0</v>
      </c>
      <c r="D1926" t="n">
        <v>13</v>
      </c>
      <c r="E1926" t="s">
        <v>1905</v>
      </c>
      <c r="F1926" t="s"/>
      <c r="G1926" t="s"/>
      <c r="H1926" t="s"/>
      <c r="I1926" t="s"/>
      <c r="J1926" t="n">
        <v>0</v>
      </c>
      <c r="K1926" t="n">
        <v>0</v>
      </c>
      <c r="L1926" t="n">
        <v>1</v>
      </c>
      <c r="M1926" t="n">
        <v>0</v>
      </c>
    </row>
    <row r="1927" spans="1:13">
      <c r="A1927" s="1">
        <f>HYPERLINK("http://www.twitter.com/NathanBLawrence/status/992494715080724482", "992494715080724482")</f>
        <v/>
      </c>
      <c r="B1927" s="2" t="n">
        <v>43224.83511574074</v>
      </c>
      <c r="C1927" t="n">
        <v>0</v>
      </c>
      <c r="D1927" t="n">
        <v>9</v>
      </c>
      <c r="E1927" t="s">
        <v>1906</v>
      </c>
      <c r="F1927" t="s"/>
      <c r="G1927" t="s"/>
      <c r="H1927" t="s"/>
      <c r="I1927" t="s"/>
      <c r="J1927" t="n">
        <v>0.1027</v>
      </c>
      <c r="K1927" t="n">
        <v>0.079</v>
      </c>
      <c r="L1927" t="n">
        <v>0.828</v>
      </c>
      <c r="M1927" t="n">
        <v>0.093</v>
      </c>
    </row>
    <row r="1928" spans="1:13">
      <c r="A1928" s="1">
        <f>HYPERLINK("http://www.twitter.com/NathanBLawrence/status/992494701646372864", "992494701646372864")</f>
        <v/>
      </c>
      <c r="B1928" s="2" t="n">
        <v>43224.83508101852</v>
      </c>
      <c r="C1928" t="n">
        <v>0</v>
      </c>
      <c r="D1928" t="n">
        <v>12</v>
      </c>
      <c r="E1928" t="s">
        <v>1907</v>
      </c>
      <c r="F1928" t="s"/>
      <c r="G1928" t="s"/>
      <c r="H1928" t="s"/>
      <c r="I1928" t="s"/>
      <c r="J1928" t="n">
        <v>-0.4404</v>
      </c>
      <c r="K1928" t="n">
        <v>0.168</v>
      </c>
      <c r="L1928" t="n">
        <v>0.733</v>
      </c>
      <c r="M1928" t="n">
        <v>0.099</v>
      </c>
    </row>
    <row r="1929" spans="1:13">
      <c r="A1929" s="1">
        <f>HYPERLINK("http://www.twitter.com/NathanBLawrence/status/992494680897179648", "992494680897179648")</f>
        <v/>
      </c>
      <c r="B1929" s="2" t="n">
        <v>43224.83502314815</v>
      </c>
      <c r="C1929" t="n">
        <v>0</v>
      </c>
      <c r="D1929" t="n">
        <v>5</v>
      </c>
      <c r="E1929" t="s">
        <v>1908</v>
      </c>
      <c r="F1929" t="s"/>
      <c r="G1929" t="s"/>
      <c r="H1929" t="s"/>
      <c r="I1929" t="s"/>
      <c r="J1929" t="n">
        <v>0</v>
      </c>
      <c r="K1929" t="n">
        <v>0</v>
      </c>
      <c r="L1929" t="n">
        <v>1</v>
      </c>
      <c r="M1929" t="n">
        <v>0</v>
      </c>
    </row>
    <row r="1930" spans="1:13">
      <c r="A1930" s="1">
        <f>HYPERLINK("http://www.twitter.com/NathanBLawrence/status/992494627713376257", "992494627713376257")</f>
        <v/>
      </c>
      <c r="B1930" s="2" t="n">
        <v>43224.83487268518</v>
      </c>
      <c r="C1930" t="n">
        <v>0</v>
      </c>
      <c r="D1930" t="n">
        <v>11</v>
      </c>
      <c r="E1930" t="s">
        <v>1909</v>
      </c>
      <c r="F1930" t="s"/>
      <c r="G1930" t="s"/>
      <c r="H1930" t="s"/>
      <c r="I1930" t="s"/>
      <c r="J1930" t="n">
        <v>0</v>
      </c>
      <c r="K1930" t="n">
        <v>0</v>
      </c>
      <c r="L1930" t="n">
        <v>1</v>
      </c>
      <c r="M1930" t="n">
        <v>0</v>
      </c>
    </row>
    <row r="1931" spans="1:13">
      <c r="A1931" s="1">
        <f>HYPERLINK("http://www.twitter.com/NathanBLawrence/status/992494600798515201", "992494600798515201")</f>
        <v/>
      </c>
      <c r="B1931" s="2" t="n">
        <v>43224.83480324074</v>
      </c>
      <c r="C1931" t="n">
        <v>0</v>
      </c>
      <c r="D1931" t="n">
        <v>10</v>
      </c>
      <c r="E1931" t="s">
        <v>1910</v>
      </c>
      <c r="F1931" t="s"/>
      <c r="G1931" t="s"/>
      <c r="H1931" t="s"/>
      <c r="I1931" t="s"/>
      <c r="J1931" t="n">
        <v>0</v>
      </c>
      <c r="K1931" t="n">
        <v>0</v>
      </c>
      <c r="L1931" t="n">
        <v>1</v>
      </c>
      <c r="M1931" t="n">
        <v>0</v>
      </c>
    </row>
    <row r="1932" spans="1:13">
      <c r="A1932" s="1">
        <f>HYPERLINK("http://www.twitter.com/NathanBLawrence/status/992494239853563904", "992494239853563904")</f>
        <v/>
      </c>
      <c r="B1932" s="2" t="n">
        <v>43224.83380787037</v>
      </c>
      <c r="C1932" t="n">
        <v>0</v>
      </c>
      <c r="D1932" t="n">
        <v>3</v>
      </c>
      <c r="E1932" t="s">
        <v>1911</v>
      </c>
      <c r="F1932" t="s"/>
      <c r="G1932" t="s"/>
      <c r="H1932" t="s"/>
      <c r="I1932" t="s"/>
      <c r="J1932" t="n">
        <v>0.4199</v>
      </c>
      <c r="K1932" t="n">
        <v>0</v>
      </c>
      <c r="L1932" t="n">
        <v>0.887</v>
      </c>
      <c r="M1932" t="n">
        <v>0.113</v>
      </c>
    </row>
    <row r="1933" spans="1:13">
      <c r="A1933" s="1">
        <f>HYPERLINK("http://www.twitter.com/NathanBLawrence/status/992494225236381698", "992494225236381698")</f>
        <v/>
      </c>
      <c r="B1933" s="2" t="n">
        <v>43224.83376157407</v>
      </c>
      <c r="C1933" t="n">
        <v>0</v>
      </c>
      <c r="D1933" t="n">
        <v>4</v>
      </c>
      <c r="E1933" t="s">
        <v>1912</v>
      </c>
      <c r="F1933" t="s"/>
      <c r="G1933" t="s"/>
      <c r="H1933" t="s"/>
      <c r="I1933" t="s"/>
      <c r="J1933" t="n">
        <v>0.7027</v>
      </c>
      <c r="K1933" t="n">
        <v>0</v>
      </c>
      <c r="L1933" t="n">
        <v>0.797</v>
      </c>
      <c r="M1933" t="n">
        <v>0.203</v>
      </c>
    </row>
    <row r="1934" spans="1:13">
      <c r="A1934" s="1">
        <f>HYPERLINK("http://www.twitter.com/NathanBLawrence/status/992494206961713153", "992494206961713153")</f>
        <v/>
      </c>
      <c r="B1934" s="2" t="n">
        <v>43224.83371527777</v>
      </c>
      <c r="C1934" t="n">
        <v>0</v>
      </c>
      <c r="D1934" t="n">
        <v>13</v>
      </c>
      <c r="E1934" t="s">
        <v>1913</v>
      </c>
      <c r="F1934" t="s"/>
      <c r="G1934" t="s"/>
      <c r="H1934" t="s"/>
      <c r="I1934" t="s"/>
      <c r="J1934" t="n">
        <v>0.5266999999999999</v>
      </c>
      <c r="K1934" t="n">
        <v>0</v>
      </c>
      <c r="L1934" t="n">
        <v>0.855</v>
      </c>
      <c r="M1934" t="n">
        <v>0.145</v>
      </c>
    </row>
    <row r="1935" spans="1:13">
      <c r="A1935" s="1">
        <f>HYPERLINK("http://www.twitter.com/NathanBLawrence/status/992494199265251329", "992494199265251329")</f>
        <v/>
      </c>
      <c r="B1935" s="2" t="n">
        <v>43224.83369212963</v>
      </c>
      <c r="C1935" t="n">
        <v>0</v>
      </c>
      <c r="D1935" t="n">
        <v>4</v>
      </c>
      <c r="E1935" t="s">
        <v>1914</v>
      </c>
      <c r="F1935" t="s"/>
      <c r="G1935" t="s"/>
      <c r="H1935" t="s"/>
      <c r="I1935" t="s"/>
      <c r="J1935" t="n">
        <v>-0.4201</v>
      </c>
      <c r="K1935" t="n">
        <v>0.141</v>
      </c>
      <c r="L1935" t="n">
        <v>0.859</v>
      </c>
      <c r="M1935" t="n">
        <v>0</v>
      </c>
    </row>
    <row r="1936" spans="1:13">
      <c r="A1936" s="1">
        <f>HYPERLINK("http://www.twitter.com/NathanBLawrence/status/992494151542468608", "992494151542468608")</f>
        <v/>
      </c>
      <c r="B1936" s="2" t="n">
        <v>43224.83356481481</v>
      </c>
      <c r="C1936" t="n">
        <v>0</v>
      </c>
      <c r="D1936" t="n">
        <v>9</v>
      </c>
      <c r="E1936" t="s">
        <v>1915</v>
      </c>
      <c r="F1936" t="s"/>
      <c r="G1936" t="s"/>
      <c r="H1936" t="s"/>
      <c r="I1936" t="s"/>
      <c r="J1936" t="n">
        <v>0</v>
      </c>
      <c r="K1936" t="n">
        <v>0</v>
      </c>
      <c r="L1936" t="n">
        <v>1</v>
      </c>
      <c r="M1936" t="n">
        <v>0</v>
      </c>
    </row>
    <row r="1937" spans="1:13">
      <c r="A1937" s="1">
        <f>HYPERLINK("http://www.twitter.com/NathanBLawrence/status/992494136782741506", "992494136782741506")</f>
        <v/>
      </c>
      <c r="B1937" s="2" t="n">
        <v>43224.83351851852</v>
      </c>
      <c r="C1937" t="n">
        <v>0</v>
      </c>
      <c r="D1937" t="n">
        <v>5</v>
      </c>
      <c r="E1937" t="s">
        <v>1916</v>
      </c>
      <c r="F1937" t="s"/>
      <c r="G1937" t="s"/>
      <c r="H1937" t="s"/>
      <c r="I1937" t="s"/>
      <c r="J1937" t="n">
        <v>0.4753</v>
      </c>
      <c r="K1937" t="n">
        <v>0</v>
      </c>
      <c r="L1937" t="n">
        <v>0.886</v>
      </c>
      <c r="M1937" t="n">
        <v>0.114</v>
      </c>
    </row>
    <row r="1938" spans="1:13">
      <c r="A1938" s="1">
        <f>HYPERLINK("http://www.twitter.com/NathanBLawrence/status/992494122853457921", "992494122853457921")</f>
        <v/>
      </c>
      <c r="B1938" s="2" t="n">
        <v>43224.8334837963</v>
      </c>
      <c r="C1938" t="n">
        <v>0</v>
      </c>
      <c r="D1938" t="n">
        <v>2</v>
      </c>
      <c r="E1938" t="s">
        <v>1917</v>
      </c>
      <c r="F1938" t="s"/>
      <c r="G1938" t="s"/>
      <c r="H1938" t="s"/>
      <c r="I1938" t="s"/>
      <c r="J1938" t="n">
        <v>0.0772</v>
      </c>
      <c r="K1938" t="n">
        <v>0.172</v>
      </c>
      <c r="L1938" t="n">
        <v>0.681</v>
      </c>
      <c r="M1938" t="n">
        <v>0.147</v>
      </c>
    </row>
    <row r="1939" spans="1:13">
      <c r="A1939" s="1">
        <f>HYPERLINK("http://www.twitter.com/NathanBLawrence/status/992494100510330880", "992494100510330880")</f>
        <v/>
      </c>
      <c r="B1939" s="2" t="n">
        <v>43224.83341435185</v>
      </c>
      <c r="C1939" t="n">
        <v>0</v>
      </c>
      <c r="D1939" t="n">
        <v>4</v>
      </c>
      <c r="E1939" t="s">
        <v>1918</v>
      </c>
      <c r="F1939" t="s"/>
      <c r="G1939" t="s"/>
      <c r="H1939" t="s"/>
      <c r="I1939" t="s"/>
      <c r="J1939" t="n">
        <v>-0.7148</v>
      </c>
      <c r="K1939" t="n">
        <v>0.166</v>
      </c>
      <c r="L1939" t="n">
        <v>0.834</v>
      </c>
      <c r="M1939" t="n">
        <v>0</v>
      </c>
    </row>
    <row r="1940" spans="1:13">
      <c r="A1940" s="1">
        <f>HYPERLINK("http://www.twitter.com/NathanBLawrence/status/992494055635537922", "992494055635537922")</f>
        <v/>
      </c>
      <c r="B1940" s="2" t="n">
        <v>43224.83329861111</v>
      </c>
      <c r="C1940" t="n">
        <v>0</v>
      </c>
      <c r="D1940" t="n">
        <v>6</v>
      </c>
      <c r="E1940" t="s">
        <v>1919</v>
      </c>
      <c r="F1940" t="s"/>
      <c r="G1940" t="s"/>
      <c r="H1940" t="s"/>
      <c r="I1940" t="s"/>
      <c r="J1940" t="n">
        <v>0.5319</v>
      </c>
      <c r="K1940" t="n">
        <v>0.058</v>
      </c>
      <c r="L1940" t="n">
        <v>0.743</v>
      </c>
      <c r="M1940" t="n">
        <v>0.199</v>
      </c>
    </row>
    <row r="1941" spans="1:13">
      <c r="A1941" s="1">
        <f>HYPERLINK("http://www.twitter.com/NathanBLawrence/status/992478672442593280", "992478672442593280")</f>
        <v/>
      </c>
      <c r="B1941" s="2" t="n">
        <v>43224.79084490741</v>
      </c>
      <c r="C1941" t="n">
        <v>0</v>
      </c>
      <c r="D1941" t="n">
        <v>16</v>
      </c>
      <c r="E1941" t="s">
        <v>1920</v>
      </c>
      <c r="F1941">
        <f>HYPERLINK("http://pbs.twimg.com/media/DcX9yYnW4AAM1p7.jpg", "http://pbs.twimg.com/media/DcX9yYnW4AAM1p7.jpg")</f>
        <v/>
      </c>
      <c r="G1941" t="s"/>
      <c r="H1941" t="s"/>
      <c r="I1941" t="s"/>
      <c r="J1941" t="n">
        <v>0.2023</v>
      </c>
      <c r="K1941" t="n">
        <v>0</v>
      </c>
      <c r="L1941" t="n">
        <v>0.917</v>
      </c>
      <c r="M1941" t="n">
        <v>0.083</v>
      </c>
    </row>
    <row r="1942" spans="1:13">
      <c r="A1942" s="1">
        <f>HYPERLINK("http://www.twitter.com/NathanBLawrence/status/992478341579014144", "992478341579014144")</f>
        <v/>
      </c>
      <c r="B1942" s="2" t="n">
        <v>43224.78993055555</v>
      </c>
      <c r="C1942" t="n">
        <v>22</v>
      </c>
      <c r="D1942" t="n">
        <v>16</v>
      </c>
      <c r="E1942" t="s">
        <v>1921</v>
      </c>
      <c r="F1942">
        <f>HYPERLINK("http://pbs.twimg.com/media/DcX9yYnW4AAM1p7.jpg", "http://pbs.twimg.com/media/DcX9yYnW4AAM1p7.jpg")</f>
        <v/>
      </c>
      <c r="G1942" t="s"/>
      <c r="H1942" t="s"/>
      <c r="I1942" t="s"/>
      <c r="J1942" t="n">
        <v>-0.5622</v>
      </c>
      <c r="K1942" t="n">
        <v>0.126</v>
      </c>
      <c r="L1942" t="n">
        <v>0.833</v>
      </c>
      <c r="M1942" t="n">
        <v>0.042</v>
      </c>
    </row>
    <row r="1943" spans="1:13">
      <c r="A1943" s="1">
        <f>HYPERLINK("http://www.twitter.com/NathanBLawrence/status/992460948727369728", "992460948727369728")</f>
        <v/>
      </c>
      <c r="B1943" s="2" t="n">
        <v>43224.74193287037</v>
      </c>
      <c r="C1943" t="n">
        <v>2</v>
      </c>
      <c r="D1943" t="n">
        <v>0</v>
      </c>
      <c r="E1943" t="s">
        <v>1922</v>
      </c>
      <c r="F1943" t="s"/>
      <c r="G1943" t="s"/>
      <c r="H1943" t="s"/>
      <c r="I1943" t="s"/>
      <c r="J1943" t="n">
        <v>-0.6249</v>
      </c>
      <c r="K1943" t="n">
        <v>0.133</v>
      </c>
      <c r="L1943" t="n">
        <v>0.796</v>
      </c>
      <c r="M1943" t="n">
        <v>0.07000000000000001</v>
      </c>
    </row>
    <row r="1944" spans="1:13">
      <c r="A1944" s="1">
        <f>HYPERLINK("http://www.twitter.com/NathanBLawrence/status/992460327215300608", "992460327215300608")</f>
        <v/>
      </c>
      <c r="B1944" s="2" t="n">
        <v>43224.74021990741</v>
      </c>
      <c r="C1944" t="n">
        <v>0</v>
      </c>
      <c r="D1944" t="n">
        <v>9</v>
      </c>
      <c r="E1944" t="s">
        <v>1923</v>
      </c>
      <c r="F1944" t="s"/>
      <c r="G1944" t="s"/>
      <c r="H1944" t="s"/>
      <c r="I1944" t="s"/>
      <c r="J1944" t="n">
        <v>0</v>
      </c>
      <c r="K1944" t="n">
        <v>0</v>
      </c>
      <c r="L1944" t="n">
        <v>1</v>
      </c>
      <c r="M1944" t="n">
        <v>0</v>
      </c>
    </row>
    <row r="1945" spans="1:13">
      <c r="A1945" s="1">
        <f>HYPERLINK("http://www.twitter.com/NathanBLawrence/status/992337793631309825", "992337793631309825")</f>
        <v/>
      </c>
      <c r="B1945" s="2" t="n">
        <v>43224.4020949074</v>
      </c>
      <c r="C1945" t="n">
        <v>0</v>
      </c>
      <c r="D1945" t="n">
        <v>826</v>
      </c>
      <c r="E1945" t="s">
        <v>1924</v>
      </c>
      <c r="F1945">
        <f>HYPERLINK("https://video.twimg.com/ext_tw_video/992158407627976705/pu/vid/720x720/7ldiuXm9JBGXHez7.mp4?tag=3", "https://video.twimg.com/ext_tw_video/992158407627976705/pu/vid/720x720/7ldiuXm9JBGXHez7.mp4?tag=3")</f>
        <v/>
      </c>
      <c r="G1945" t="s"/>
      <c r="H1945" t="s"/>
      <c r="I1945" t="s"/>
      <c r="J1945" t="n">
        <v>0.1027</v>
      </c>
      <c r="K1945" t="n">
        <v>0.118</v>
      </c>
      <c r="L1945" t="n">
        <v>0.746</v>
      </c>
      <c r="M1945" t="n">
        <v>0.136</v>
      </c>
    </row>
    <row r="1946" spans="1:13">
      <c r="A1946" s="1">
        <f>HYPERLINK("http://www.twitter.com/NathanBLawrence/status/992298444596264961", "992298444596264961")</f>
        <v/>
      </c>
      <c r="B1946" s="2" t="n">
        <v>43224.29350694444</v>
      </c>
      <c r="C1946" t="n">
        <v>0</v>
      </c>
      <c r="D1946" t="n">
        <v>9</v>
      </c>
      <c r="E1946" t="s">
        <v>1925</v>
      </c>
      <c r="F1946" t="s"/>
      <c r="G1946" t="s"/>
      <c r="H1946" t="s"/>
      <c r="I1946" t="s"/>
      <c r="J1946" t="n">
        <v>-0.3182</v>
      </c>
      <c r="K1946" t="n">
        <v>0.358</v>
      </c>
      <c r="L1946" t="n">
        <v>0.423</v>
      </c>
      <c r="M1946" t="n">
        <v>0.218</v>
      </c>
    </row>
    <row r="1947" spans="1:13">
      <c r="A1947" s="1">
        <f>HYPERLINK("http://www.twitter.com/NathanBLawrence/status/992298023970529280", "992298023970529280")</f>
        <v/>
      </c>
      <c r="B1947" s="2" t="n">
        <v>43224.29234953703</v>
      </c>
      <c r="C1947" t="n">
        <v>0</v>
      </c>
      <c r="D1947" t="n">
        <v>4</v>
      </c>
      <c r="E1947" t="s">
        <v>1926</v>
      </c>
      <c r="F1947" t="s"/>
      <c r="G1947" t="s"/>
      <c r="H1947" t="s"/>
      <c r="I1947" t="s"/>
      <c r="J1947" t="n">
        <v>0.1779</v>
      </c>
      <c r="K1947" t="n">
        <v>0.122</v>
      </c>
      <c r="L1947" t="n">
        <v>0.679</v>
      </c>
      <c r="M1947" t="n">
        <v>0.199</v>
      </c>
    </row>
    <row r="1948" spans="1:13">
      <c r="A1948" s="1">
        <f>HYPERLINK("http://www.twitter.com/NathanBLawrence/status/992296138572115968", "992296138572115968")</f>
        <v/>
      </c>
      <c r="B1948" s="2" t="n">
        <v>43224.28715277778</v>
      </c>
      <c r="C1948" t="n">
        <v>3</v>
      </c>
      <c r="D1948" t="n">
        <v>0</v>
      </c>
      <c r="E1948" t="s">
        <v>1927</v>
      </c>
      <c r="F1948" t="s"/>
      <c r="G1948" t="s"/>
      <c r="H1948" t="s"/>
      <c r="I1948" t="s"/>
      <c r="J1948" t="n">
        <v>-0.4767</v>
      </c>
      <c r="K1948" t="n">
        <v>0.154</v>
      </c>
      <c r="L1948" t="n">
        <v>0.846</v>
      </c>
      <c r="M1948" t="n">
        <v>0</v>
      </c>
    </row>
    <row r="1949" spans="1:13">
      <c r="A1949" s="1">
        <f>HYPERLINK("http://www.twitter.com/NathanBLawrence/status/992271431718256643", "992271431718256643")</f>
        <v/>
      </c>
      <c r="B1949" s="2" t="n">
        <v>43224.21896990741</v>
      </c>
      <c r="C1949" t="n">
        <v>1</v>
      </c>
      <c r="D1949" t="n">
        <v>0</v>
      </c>
      <c r="E1949" t="s">
        <v>1928</v>
      </c>
      <c r="F1949" t="s"/>
      <c r="G1949" t="s"/>
      <c r="H1949" t="s"/>
      <c r="I1949" t="s"/>
      <c r="J1949" t="n">
        <v>-0.6616</v>
      </c>
      <c r="K1949" t="n">
        <v>0.123</v>
      </c>
      <c r="L1949" t="n">
        <v>0.835</v>
      </c>
      <c r="M1949" t="n">
        <v>0.042</v>
      </c>
    </row>
    <row r="1950" spans="1:13">
      <c r="A1950" s="1">
        <f>HYPERLINK("http://www.twitter.com/NathanBLawrence/status/992264287560187904", "992264287560187904")</f>
        <v/>
      </c>
      <c r="B1950" s="2" t="n">
        <v>43224.19925925926</v>
      </c>
      <c r="C1950" t="n">
        <v>0</v>
      </c>
      <c r="D1950" t="n">
        <v>9</v>
      </c>
      <c r="E1950" t="s">
        <v>1929</v>
      </c>
      <c r="F1950" t="s"/>
      <c r="G1950" t="s"/>
      <c r="H1950" t="s"/>
      <c r="I1950" t="s"/>
      <c r="J1950" t="n">
        <v>0.0772</v>
      </c>
      <c r="K1950" t="n">
        <v>0.082</v>
      </c>
      <c r="L1950" t="n">
        <v>0.824</v>
      </c>
      <c r="M1950" t="n">
        <v>0.094</v>
      </c>
    </row>
    <row r="1951" spans="1:13">
      <c r="A1951" s="1">
        <f>HYPERLINK("http://www.twitter.com/NathanBLawrence/status/992264255729643521", "992264255729643521")</f>
        <v/>
      </c>
      <c r="B1951" s="2" t="n">
        <v>43224.19916666667</v>
      </c>
      <c r="C1951" t="n">
        <v>0</v>
      </c>
      <c r="D1951" t="n">
        <v>5</v>
      </c>
      <c r="E1951" t="s">
        <v>1930</v>
      </c>
      <c r="F1951" t="s"/>
      <c r="G1951" t="s"/>
      <c r="H1951" t="s"/>
      <c r="I1951" t="s"/>
      <c r="J1951" t="n">
        <v>0</v>
      </c>
      <c r="K1951" t="n">
        <v>0</v>
      </c>
      <c r="L1951" t="n">
        <v>1</v>
      </c>
      <c r="M1951" t="n">
        <v>0</v>
      </c>
    </row>
    <row r="1952" spans="1:13">
      <c r="A1952" s="1">
        <f>HYPERLINK("http://www.twitter.com/NathanBLawrence/status/992264166856474624", "992264166856474624")</f>
        <v/>
      </c>
      <c r="B1952" s="2" t="n">
        <v>43224.19892361111</v>
      </c>
      <c r="C1952" t="n">
        <v>0</v>
      </c>
      <c r="D1952" t="n">
        <v>30</v>
      </c>
      <c r="E1952" t="s">
        <v>1931</v>
      </c>
      <c r="F1952" t="s"/>
      <c r="G1952" t="s"/>
      <c r="H1952" t="s"/>
      <c r="I1952" t="s"/>
      <c r="J1952" t="n">
        <v>-0.6115</v>
      </c>
      <c r="K1952" t="n">
        <v>0.16</v>
      </c>
      <c r="L1952" t="n">
        <v>0.84</v>
      </c>
      <c r="M1952" t="n">
        <v>0</v>
      </c>
    </row>
    <row r="1953" spans="1:13">
      <c r="A1953" s="1">
        <f>HYPERLINK("http://www.twitter.com/NathanBLawrence/status/992264123554529280", "992264123554529280")</f>
        <v/>
      </c>
      <c r="B1953" s="2" t="n">
        <v>43224.19880787037</v>
      </c>
      <c r="C1953" t="n">
        <v>1</v>
      </c>
      <c r="D1953" t="n">
        <v>0</v>
      </c>
      <c r="E1953" t="s">
        <v>1932</v>
      </c>
      <c r="F1953" t="s"/>
      <c r="G1953" t="s"/>
      <c r="H1953" t="s"/>
      <c r="I1953" t="s"/>
      <c r="J1953" t="n">
        <v>-0.25</v>
      </c>
      <c r="K1953" t="n">
        <v>0.161</v>
      </c>
      <c r="L1953" t="n">
        <v>0.769</v>
      </c>
      <c r="M1953" t="n">
        <v>0.07000000000000001</v>
      </c>
    </row>
    <row r="1954" spans="1:13">
      <c r="A1954" s="1">
        <f>HYPERLINK("http://www.twitter.com/NathanBLawrence/status/992263501501485061", "992263501501485061")</f>
        <v/>
      </c>
      <c r="B1954" s="2" t="n">
        <v>43224.19708333333</v>
      </c>
      <c r="C1954" t="n">
        <v>1</v>
      </c>
      <c r="D1954" t="n">
        <v>0</v>
      </c>
      <c r="E1954" t="s">
        <v>1933</v>
      </c>
      <c r="F1954" t="s"/>
      <c r="G1954" t="s"/>
      <c r="H1954" t="s"/>
      <c r="I1954" t="s"/>
      <c r="J1954" t="n">
        <v>-0.8873</v>
      </c>
      <c r="K1954" t="n">
        <v>0.163</v>
      </c>
      <c r="L1954" t="n">
        <v>0.8169999999999999</v>
      </c>
      <c r="M1954" t="n">
        <v>0.02</v>
      </c>
    </row>
    <row r="1955" spans="1:13">
      <c r="A1955" s="1">
        <f>HYPERLINK("http://www.twitter.com/NathanBLawrence/status/992263242511597568", "992263242511597568")</f>
        <v/>
      </c>
      <c r="B1955" s="2" t="n">
        <v>43224.19637731482</v>
      </c>
      <c r="C1955" t="n">
        <v>2</v>
      </c>
      <c r="D1955" t="n">
        <v>0</v>
      </c>
      <c r="E1955" t="s">
        <v>1934</v>
      </c>
      <c r="F1955" t="s"/>
      <c r="G1955" t="s"/>
      <c r="H1955" t="s"/>
      <c r="I1955" t="s"/>
      <c r="J1955" t="n">
        <v>-0.5719</v>
      </c>
      <c r="K1955" t="n">
        <v>0.107</v>
      </c>
      <c r="L1955" t="n">
        <v>0.858</v>
      </c>
      <c r="M1955" t="n">
        <v>0.035</v>
      </c>
    </row>
    <row r="1956" spans="1:13">
      <c r="A1956" s="1">
        <f>HYPERLINK("http://www.twitter.com/NathanBLawrence/status/992263128715968512", "992263128715968512")</f>
        <v/>
      </c>
      <c r="B1956" s="2" t="n">
        <v>43224.19605324074</v>
      </c>
      <c r="C1956" t="n">
        <v>2</v>
      </c>
      <c r="D1956" t="n">
        <v>0</v>
      </c>
      <c r="E1956" t="s">
        <v>1935</v>
      </c>
      <c r="F1956" t="s"/>
      <c r="G1956" t="s"/>
      <c r="H1956" t="s"/>
      <c r="I1956" t="s"/>
      <c r="J1956" t="n">
        <v>-0.5574</v>
      </c>
      <c r="K1956" t="n">
        <v>0.109</v>
      </c>
      <c r="L1956" t="n">
        <v>0.828</v>
      </c>
      <c r="M1956" t="n">
        <v>0.064</v>
      </c>
    </row>
    <row r="1957" spans="1:13">
      <c r="A1957" s="1">
        <f>HYPERLINK("http://www.twitter.com/NathanBLawrence/status/992262988722716673", "992262988722716673")</f>
        <v/>
      </c>
      <c r="B1957" s="2" t="n">
        <v>43224.19567129629</v>
      </c>
      <c r="C1957" t="n">
        <v>2</v>
      </c>
      <c r="D1957" t="n">
        <v>0</v>
      </c>
      <c r="E1957" t="s">
        <v>1936</v>
      </c>
      <c r="F1957" t="s"/>
      <c r="G1957" t="s"/>
      <c r="H1957" t="s"/>
      <c r="I1957" t="s"/>
      <c r="J1957" t="n">
        <v>0.7727000000000001</v>
      </c>
      <c r="K1957" t="n">
        <v>0</v>
      </c>
      <c r="L1957" t="n">
        <v>0.859</v>
      </c>
      <c r="M1957" t="n">
        <v>0.141</v>
      </c>
    </row>
    <row r="1958" spans="1:13">
      <c r="A1958" s="1">
        <f>HYPERLINK("http://www.twitter.com/NathanBLawrence/status/992262651987165184", "992262651987165184")</f>
        <v/>
      </c>
      <c r="B1958" s="2" t="n">
        <v>43224.19474537037</v>
      </c>
      <c r="C1958" t="n">
        <v>1</v>
      </c>
      <c r="D1958" t="n">
        <v>0</v>
      </c>
      <c r="E1958" t="s">
        <v>1937</v>
      </c>
      <c r="F1958" t="s"/>
      <c r="G1958" t="s"/>
      <c r="H1958" t="s"/>
      <c r="I1958" t="s"/>
      <c r="J1958" t="n">
        <v>0.3818</v>
      </c>
      <c r="K1958" t="n">
        <v>0.05</v>
      </c>
      <c r="L1958" t="n">
        <v>0.867</v>
      </c>
      <c r="M1958" t="n">
        <v>0.083</v>
      </c>
    </row>
    <row r="1959" spans="1:13">
      <c r="A1959" s="1">
        <f>HYPERLINK("http://www.twitter.com/NathanBLawrence/status/992262441068212225", "992262441068212225")</f>
        <v/>
      </c>
      <c r="B1959" s="2" t="n">
        <v>43224.19415509259</v>
      </c>
      <c r="C1959" t="n">
        <v>2</v>
      </c>
      <c r="D1959" t="n">
        <v>0</v>
      </c>
      <c r="E1959" t="s">
        <v>1938</v>
      </c>
      <c r="F1959" t="s"/>
      <c r="G1959" t="s"/>
      <c r="H1959" t="s"/>
      <c r="I1959" t="s"/>
      <c r="J1959" t="n">
        <v>0</v>
      </c>
      <c r="K1959" t="n">
        <v>0</v>
      </c>
      <c r="L1959" t="n">
        <v>1</v>
      </c>
      <c r="M1959" t="n">
        <v>0</v>
      </c>
    </row>
    <row r="1960" spans="1:13">
      <c r="A1960" s="1">
        <f>HYPERLINK("http://www.twitter.com/NathanBLawrence/status/992262230107279360", "992262230107279360")</f>
        <v/>
      </c>
      <c r="B1960" s="2" t="n">
        <v>43224.19357638889</v>
      </c>
      <c r="C1960" t="n">
        <v>2</v>
      </c>
      <c r="D1960" t="n">
        <v>0</v>
      </c>
      <c r="E1960" t="s">
        <v>1939</v>
      </c>
      <c r="F1960" t="s"/>
      <c r="G1960" t="s"/>
      <c r="H1960" t="s"/>
      <c r="I1960" t="s"/>
      <c r="J1960" t="n">
        <v>0</v>
      </c>
      <c r="K1960" t="n">
        <v>0</v>
      </c>
      <c r="L1960" t="n">
        <v>1</v>
      </c>
      <c r="M1960" t="n">
        <v>0</v>
      </c>
    </row>
    <row r="1961" spans="1:13">
      <c r="A1961" s="1">
        <f>HYPERLINK("http://www.twitter.com/NathanBLawrence/status/992261946421399552", "992261946421399552")</f>
        <v/>
      </c>
      <c r="B1961" s="2" t="n">
        <v>43224.19280092593</v>
      </c>
      <c r="C1961" t="n">
        <v>1</v>
      </c>
      <c r="D1961" t="n">
        <v>0</v>
      </c>
      <c r="E1961" t="s">
        <v>1940</v>
      </c>
      <c r="F1961" t="s"/>
      <c r="G1961" t="s"/>
      <c r="H1961" t="s"/>
      <c r="I1961" t="s"/>
      <c r="J1961" t="n">
        <v>0.2263</v>
      </c>
      <c r="K1961" t="n">
        <v>0.113</v>
      </c>
      <c r="L1961" t="n">
        <v>0.747</v>
      </c>
      <c r="M1961" t="n">
        <v>0.14</v>
      </c>
    </row>
    <row r="1962" spans="1:13">
      <c r="A1962" s="1">
        <f>HYPERLINK("http://www.twitter.com/NathanBLawrence/status/992261523098619904", "992261523098619904")</f>
        <v/>
      </c>
      <c r="B1962" s="2" t="n">
        <v>43224.19163194444</v>
      </c>
      <c r="C1962" t="n">
        <v>0</v>
      </c>
      <c r="D1962" t="n">
        <v>11</v>
      </c>
      <c r="E1962" t="s">
        <v>1941</v>
      </c>
      <c r="F1962">
        <f>HYPERLINK("http://pbs.twimg.com/media/DcTIzzNW0AAlw3z.jpg", "http://pbs.twimg.com/media/DcTIzzNW0AAlw3z.jpg")</f>
        <v/>
      </c>
      <c r="G1962" t="s"/>
      <c r="H1962" t="s"/>
      <c r="I1962" t="s"/>
      <c r="J1962" t="n">
        <v>-0.3034</v>
      </c>
      <c r="K1962" t="n">
        <v>0.238</v>
      </c>
      <c r="L1962" t="n">
        <v>0.5580000000000001</v>
      </c>
      <c r="M1962" t="n">
        <v>0.204</v>
      </c>
    </row>
    <row r="1963" spans="1:13">
      <c r="A1963" s="1">
        <f>HYPERLINK("http://www.twitter.com/NathanBLawrence/status/992261481356918784", "992261481356918784")</f>
        <v/>
      </c>
      <c r="B1963" s="2" t="n">
        <v>43224.1915162037</v>
      </c>
      <c r="C1963" t="n">
        <v>0</v>
      </c>
      <c r="D1963" t="n">
        <v>14</v>
      </c>
      <c r="E1963" t="s">
        <v>1942</v>
      </c>
      <c r="F1963" t="s"/>
      <c r="G1963" t="s"/>
      <c r="H1963" t="s"/>
      <c r="I1963" t="s"/>
      <c r="J1963" t="n">
        <v>-0.3818</v>
      </c>
      <c r="K1963" t="n">
        <v>0.115</v>
      </c>
      <c r="L1963" t="n">
        <v>0.885</v>
      </c>
      <c r="M1963" t="n">
        <v>0</v>
      </c>
    </row>
    <row r="1964" spans="1:13">
      <c r="A1964" s="1">
        <f>HYPERLINK("http://www.twitter.com/NathanBLawrence/status/992261450948263936", "992261450948263936")</f>
        <v/>
      </c>
      <c r="B1964" s="2" t="n">
        <v>43224.19142361111</v>
      </c>
      <c r="C1964" t="n">
        <v>0</v>
      </c>
      <c r="D1964" t="n">
        <v>148</v>
      </c>
      <c r="E1964" t="s">
        <v>1943</v>
      </c>
      <c r="F1964">
        <f>HYPERLINK("http://pbs.twimg.com/media/DcSxq4BVAAAnIM6.jpg", "http://pbs.twimg.com/media/DcSxq4BVAAAnIM6.jpg")</f>
        <v/>
      </c>
      <c r="G1964" t="s"/>
      <c r="H1964" t="s"/>
      <c r="I1964" t="s"/>
      <c r="J1964" t="n">
        <v>-0.4466</v>
      </c>
      <c r="K1964" t="n">
        <v>0.134</v>
      </c>
      <c r="L1964" t="n">
        <v>0.866</v>
      </c>
      <c r="M1964" t="n">
        <v>0</v>
      </c>
    </row>
    <row r="1965" spans="1:13">
      <c r="A1965" s="1">
        <f>HYPERLINK("http://www.twitter.com/NathanBLawrence/status/992203297007251456", "992203297007251456")</f>
        <v/>
      </c>
      <c r="B1965" s="2" t="n">
        <v>43224.03094907408</v>
      </c>
      <c r="C1965" t="n">
        <v>0</v>
      </c>
      <c r="D1965" t="n">
        <v>11</v>
      </c>
      <c r="E1965" t="s">
        <v>1944</v>
      </c>
      <c r="F1965" t="s"/>
      <c r="G1965" t="s"/>
      <c r="H1965" t="s"/>
      <c r="I1965" t="s"/>
      <c r="J1965" t="n">
        <v>0</v>
      </c>
      <c r="K1965" t="n">
        <v>0</v>
      </c>
      <c r="L1965" t="n">
        <v>1</v>
      </c>
      <c r="M1965" t="n">
        <v>0</v>
      </c>
    </row>
    <row r="1966" spans="1:13">
      <c r="A1966" s="1">
        <f>HYPERLINK("http://www.twitter.com/NathanBLawrence/status/992201322198913025", "992201322198913025")</f>
        <v/>
      </c>
      <c r="B1966" s="2" t="n">
        <v>43224.02550925926</v>
      </c>
      <c r="C1966" t="n">
        <v>2</v>
      </c>
      <c r="D1966" t="n">
        <v>0</v>
      </c>
      <c r="E1966" t="s">
        <v>1945</v>
      </c>
      <c r="F1966" t="s"/>
      <c r="G1966" t="s"/>
      <c r="H1966" t="s"/>
      <c r="I1966" t="s"/>
      <c r="J1966" t="n">
        <v>0.5719</v>
      </c>
      <c r="K1966" t="n">
        <v>0.106</v>
      </c>
      <c r="L1966" t="n">
        <v>0.711</v>
      </c>
      <c r="M1966" t="n">
        <v>0.183</v>
      </c>
    </row>
    <row r="1967" spans="1:13">
      <c r="A1967" s="1">
        <f>HYPERLINK("http://www.twitter.com/NathanBLawrence/status/992200857415536640", "992200857415536640")</f>
        <v/>
      </c>
      <c r="B1967" s="2" t="n">
        <v>43224.02422453704</v>
      </c>
      <c r="C1967" t="n">
        <v>4</v>
      </c>
      <c r="D1967" t="n">
        <v>1</v>
      </c>
      <c r="E1967" t="s">
        <v>1946</v>
      </c>
      <c r="F1967">
        <f>HYPERLINK("http://pbs.twimg.com/media/DcUBa0XWAAE7XAW.jpg", "http://pbs.twimg.com/media/DcUBa0XWAAE7XAW.jpg")</f>
        <v/>
      </c>
      <c r="G1967" t="s"/>
      <c r="H1967" t="s"/>
      <c r="I1967" t="s"/>
      <c r="J1967" t="n">
        <v>0</v>
      </c>
      <c r="K1967" t="n">
        <v>0</v>
      </c>
      <c r="L1967" t="n">
        <v>1</v>
      </c>
      <c r="M1967" t="n">
        <v>0</v>
      </c>
    </row>
    <row r="1968" spans="1:13">
      <c r="A1968" s="1">
        <f>HYPERLINK("http://www.twitter.com/NathanBLawrence/status/992194472686563333", "992194472686563333")</f>
        <v/>
      </c>
      <c r="B1968" s="2" t="n">
        <v>43224.0066087963</v>
      </c>
      <c r="C1968" t="n">
        <v>0</v>
      </c>
      <c r="D1968" t="n">
        <v>26</v>
      </c>
      <c r="E1968" t="s">
        <v>1920</v>
      </c>
      <c r="F1968">
        <f>HYPERLINK("http://pbs.twimg.com/media/DcT7gLkW0AAKtQB.jpg", "http://pbs.twimg.com/media/DcT7gLkW0AAKtQB.jpg")</f>
        <v/>
      </c>
      <c r="G1968" t="s"/>
      <c r="H1968" t="s"/>
      <c r="I1968" t="s"/>
      <c r="J1968" t="n">
        <v>0.2023</v>
      </c>
      <c r="K1968" t="n">
        <v>0</v>
      </c>
      <c r="L1968" t="n">
        <v>0.917</v>
      </c>
      <c r="M1968" t="n">
        <v>0.083</v>
      </c>
    </row>
    <row r="1969" spans="1:13">
      <c r="A1969" s="1">
        <f>HYPERLINK("http://www.twitter.com/NathanBLawrence/status/992194427098730496", "992194427098730496")</f>
        <v/>
      </c>
      <c r="B1969" s="2" t="n">
        <v>43224.00648148148</v>
      </c>
      <c r="C1969" t="n">
        <v>0</v>
      </c>
      <c r="D1969" t="n">
        <v>5</v>
      </c>
      <c r="E1969" t="s">
        <v>1947</v>
      </c>
      <c r="F1969" t="s"/>
      <c r="G1969" t="s"/>
      <c r="H1969" t="s"/>
      <c r="I1969" t="s"/>
      <c r="J1969" t="n">
        <v>-0.1531</v>
      </c>
      <c r="K1969" t="n">
        <v>0.125</v>
      </c>
      <c r="L1969" t="n">
        <v>0.735</v>
      </c>
      <c r="M1969" t="n">
        <v>0.14</v>
      </c>
    </row>
    <row r="1970" spans="1:13">
      <c r="A1970" s="1">
        <f>HYPERLINK("http://www.twitter.com/NathanBLawrence/status/992194353408958464", "992194353408958464")</f>
        <v/>
      </c>
      <c r="B1970" s="2" t="n">
        <v>43224.00627314814</v>
      </c>
      <c r="C1970" t="n">
        <v>34</v>
      </c>
      <c r="D1970" t="n">
        <v>26</v>
      </c>
      <c r="E1970" t="s">
        <v>1948</v>
      </c>
      <c r="F1970">
        <f>HYPERLINK("http://pbs.twimg.com/media/DcT7gLkW0AAKtQB.jpg", "http://pbs.twimg.com/media/DcT7gLkW0AAKtQB.jpg")</f>
        <v/>
      </c>
      <c r="G1970" t="s"/>
      <c r="H1970" t="s"/>
      <c r="I1970" t="s"/>
      <c r="J1970" t="n">
        <v>-0.5622</v>
      </c>
      <c r="K1970" t="n">
        <v>0.126</v>
      </c>
      <c r="L1970" t="n">
        <v>0.833</v>
      </c>
      <c r="M1970" t="n">
        <v>0.042</v>
      </c>
    </row>
    <row r="1971" spans="1:13">
      <c r="A1971" s="1">
        <f>HYPERLINK("http://www.twitter.com/NathanBLawrence/status/992192370669244416", "992192370669244416")</f>
        <v/>
      </c>
      <c r="B1971" s="2" t="n">
        <v>43224.00079861111</v>
      </c>
      <c r="C1971" t="n">
        <v>0</v>
      </c>
      <c r="D1971" t="n">
        <v>2</v>
      </c>
      <c r="E1971" t="s">
        <v>1949</v>
      </c>
      <c r="F1971" t="s"/>
      <c r="G1971" t="s"/>
      <c r="H1971" t="s"/>
      <c r="I1971" t="s"/>
      <c r="J1971" t="n">
        <v>0.5994</v>
      </c>
      <c r="K1971" t="n">
        <v>0</v>
      </c>
      <c r="L1971" t="n">
        <v>0.843</v>
      </c>
      <c r="M1971" t="n">
        <v>0.157</v>
      </c>
    </row>
    <row r="1972" spans="1:13">
      <c r="A1972" s="1">
        <f>HYPERLINK("http://www.twitter.com/NathanBLawrence/status/992192309432373248", "992192309432373248")</f>
        <v/>
      </c>
      <c r="B1972" s="2" t="n">
        <v>43224.00063657408</v>
      </c>
      <c r="C1972" t="n">
        <v>7</v>
      </c>
      <c r="D1972" t="n">
        <v>5</v>
      </c>
      <c r="E1972" t="s">
        <v>1950</v>
      </c>
      <c r="F1972" t="s"/>
      <c r="G1972" t="s"/>
      <c r="H1972" t="s"/>
      <c r="I1972" t="s"/>
      <c r="J1972" t="n">
        <v>-0.7897999999999999</v>
      </c>
      <c r="K1972" t="n">
        <v>0.215</v>
      </c>
      <c r="L1972" t="n">
        <v>0.702</v>
      </c>
      <c r="M1972" t="n">
        <v>0.083</v>
      </c>
    </row>
    <row r="1973" spans="1:13">
      <c r="A1973" s="1">
        <f>HYPERLINK("http://www.twitter.com/NathanBLawrence/status/992191802923995141", "992191802923995141")</f>
        <v/>
      </c>
      <c r="B1973" s="2" t="n">
        <v>43223.99923611111</v>
      </c>
      <c r="C1973" t="n">
        <v>0</v>
      </c>
      <c r="D1973" t="n">
        <v>46</v>
      </c>
      <c r="E1973" t="s">
        <v>1951</v>
      </c>
      <c r="F1973">
        <f>HYPERLINK("http://pbs.twimg.com/media/DcT1233XUAEvbnQ.jpg", "http://pbs.twimg.com/media/DcT1233XUAEvbnQ.jpg")</f>
        <v/>
      </c>
      <c r="G1973" t="s"/>
      <c r="H1973" t="s"/>
      <c r="I1973" t="s"/>
      <c r="J1973" t="n">
        <v>0.7783</v>
      </c>
      <c r="K1973" t="n">
        <v>0</v>
      </c>
      <c r="L1973" t="n">
        <v>0.673</v>
      </c>
      <c r="M1973" t="n">
        <v>0.327</v>
      </c>
    </row>
    <row r="1974" spans="1:13">
      <c r="A1974" s="1">
        <f>HYPERLINK("http://www.twitter.com/NathanBLawrence/status/992153124445016064", "992153124445016064")</f>
        <v/>
      </c>
      <c r="B1974" s="2" t="n">
        <v>43223.8925</v>
      </c>
      <c r="C1974" t="n">
        <v>0</v>
      </c>
      <c r="D1974" t="n">
        <v>10</v>
      </c>
      <c r="E1974" t="s">
        <v>1952</v>
      </c>
      <c r="F1974">
        <f>HYPERLINK("http://pbs.twimg.com/media/DcS1hh5VQAAPLoc.jpg", "http://pbs.twimg.com/media/DcS1hh5VQAAPLoc.jpg")</f>
        <v/>
      </c>
      <c r="G1974" t="s"/>
      <c r="H1974" t="s"/>
      <c r="I1974" t="s"/>
      <c r="J1974" t="n">
        <v>0</v>
      </c>
      <c r="K1974" t="n">
        <v>0</v>
      </c>
      <c r="L1974" t="n">
        <v>1</v>
      </c>
      <c r="M1974" t="n">
        <v>0</v>
      </c>
    </row>
    <row r="1975" spans="1:13">
      <c r="A1975" s="1">
        <f>HYPERLINK("http://www.twitter.com/NathanBLawrence/status/992152751445454848", "992152751445454848")</f>
        <v/>
      </c>
      <c r="B1975" s="2" t="n">
        <v>43223.89146990741</v>
      </c>
      <c r="C1975" t="n">
        <v>0</v>
      </c>
      <c r="D1975" t="n">
        <v>11</v>
      </c>
      <c r="E1975" t="s">
        <v>1953</v>
      </c>
      <c r="F1975">
        <f>HYPERLINK("http://pbs.twimg.com/media/DcS1vJaVAAAYIwq.jpg", "http://pbs.twimg.com/media/DcS1vJaVAAAYIwq.jpg")</f>
        <v/>
      </c>
      <c r="G1975" t="s"/>
      <c r="H1975" t="s"/>
      <c r="I1975" t="s"/>
      <c r="J1975" t="n">
        <v>-0.2103</v>
      </c>
      <c r="K1975" t="n">
        <v>0.233</v>
      </c>
      <c r="L1975" t="n">
        <v>0.5629999999999999</v>
      </c>
      <c r="M1975" t="n">
        <v>0.204</v>
      </c>
    </row>
    <row r="1976" spans="1:13">
      <c r="A1976" s="1">
        <f>HYPERLINK("http://www.twitter.com/NathanBLawrence/status/992117648275230720", "992117648275230720")</f>
        <v/>
      </c>
      <c r="B1976" s="2" t="n">
        <v>43223.79460648148</v>
      </c>
      <c r="C1976" t="n">
        <v>13</v>
      </c>
      <c r="D1976" t="n">
        <v>11</v>
      </c>
      <c r="E1976" t="s">
        <v>1954</v>
      </c>
      <c r="F1976">
        <f>HYPERLINK("http://pbs.twimg.com/media/DcS1vJaVAAAYIwq.jpg", "http://pbs.twimg.com/media/DcS1vJaVAAAYIwq.jpg")</f>
        <v/>
      </c>
      <c r="G1976" t="s"/>
      <c r="H1976" t="s"/>
      <c r="I1976" t="s"/>
      <c r="J1976" t="n">
        <v>-0.1779</v>
      </c>
      <c r="K1976" t="n">
        <v>0.191</v>
      </c>
      <c r="L1976" t="n">
        <v>0.63</v>
      </c>
      <c r="M1976" t="n">
        <v>0.179</v>
      </c>
    </row>
    <row r="1977" spans="1:13">
      <c r="A1977" s="1">
        <f>HYPERLINK("http://www.twitter.com/NathanBLawrence/status/992109701688152065", "992109701688152065")</f>
        <v/>
      </c>
      <c r="B1977" s="2" t="n">
        <v>43223.77268518518</v>
      </c>
      <c r="C1977" t="n">
        <v>0</v>
      </c>
      <c r="D1977" t="n">
        <v>13805</v>
      </c>
      <c r="E1977" t="s">
        <v>1955</v>
      </c>
      <c r="F1977" t="s"/>
      <c r="G1977" t="s"/>
      <c r="H1977" t="s"/>
      <c r="I1977" t="s"/>
      <c r="J1977" t="n">
        <v>0.2023</v>
      </c>
      <c r="K1977" t="n">
        <v>0</v>
      </c>
      <c r="L1977" t="n">
        <v>0.917</v>
      </c>
      <c r="M1977" t="n">
        <v>0.083</v>
      </c>
    </row>
    <row r="1978" spans="1:13">
      <c r="A1978" s="1">
        <f>HYPERLINK("http://www.twitter.com/NathanBLawrence/status/992098704239742977", "992098704239742977")</f>
        <v/>
      </c>
      <c r="B1978" s="2" t="n">
        <v>43223.74233796296</v>
      </c>
      <c r="C1978" t="n">
        <v>0</v>
      </c>
      <c r="D1978" t="n">
        <v>950</v>
      </c>
      <c r="E1978" t="s">
        <v>1956</v>
      </c>
      <c r="F1978">
        <f>HYPERLINK("http://pbs.twimg.com/media/DcPjLLIVAAA5SMA.jpg", "http://pbs.twimg.com/media/DcPjLLIVAAA5SMA.jpg")</f>
        <v/>
      </c>
      <c r="G1978" t="s"/>
      <c r="H1978" t="s"/>
      <c r="I1978" t="s"/>
      <c r="J1978" t="n">
        <v>0.5859</v>
      </c>
      <c r="K1978" t="n">
        <v>0</v>
      </c>
      <c r="L1978" t="n">
        <v>0.858</v>
      </c>
      <c r="M1978" t="n">
        <v>0.142</v>
      </c>
    </row>
    <row r="1979" spans="1:13">
      <c r="A1979" s="1">
        <f>HYPERLINK("http://www.twitter.com/NathanBLawrence/status/992098513973489664", "992098513973489664")</f>
        <v/>
      </c>
      <c r="B1979" s="2" t="n">
        <v>43223.74180555555</v>
      </c>
      <c r="C1979" t="n">
        <v>1</v>
      </c>
      <c r="D1979" t="n">
        <v>0</v>
      </c>
      <c r="E1979" t="s">
        <v>1957</v>
      </c>
      <c r="F1979" t="s"/>
      <c r="G1979" t="s"/>
      <c r="H1979" t="s"/>
      <c r="I1979" t="s"/>
      <c r="J1979" t="n">
        <v>0.4215</v>
      </c>
      <c r="K1979" t="n">
        <v>0</v>
      </c>
      <c r="L1979" t="n">
        <v>0.797</v>
      </c>
      <c r="M1979" t="n">
        <v>0.203</v>
      </c>
    </row>
    <row r="1980" spans="1:13">
      <c r="A1980" s="1">
        <f>HYPERLINK("http://www.twitter.com/NathanBLawrence/status/992078601989345280", "992078601989345280")</f>
        <v/>
      </c>
      <c r="B1980" s="2" t="n">
        <v>43223.68686342592</v>
      </c>
      <c r="C1980" t="n">
        <v>3</v>
      </c>
      <c r="D1980" t="n">
        <v>0</v>
      </c>
      <c r="E1980" t="s">
        <v>1958</v>
      </c>
      <c r="F1980" t="s"/>
      <c r="G1980" t="s"/>
      <c r="H1980" t="s"/>
      <c r="I1980" t="s"/>
      <c r="J1980" t="n">
        <v>0</v>
      </c>
      <c r="K1980" t="n">
        <v>0</v>
      </c>
      <c r="L1980" t="n">
        <v>1</v>
      </c>
      <c r="M1980" t="n">
        <v>0</v>
      </c>
    </row>
    <row r="1981" spans="1:13">
      <c r="A1981" s="1">
        <f>HYPERLINK("http://www.twitter.com/NathanBLawrence/status/992075855110332416", "992075855110332416")</f>
        <v/>
      </c>
      <c r="B1981" s="2" t="n">
        <v>43223.67928240741</v>
      </c>
      <c r="C1981" t="n">
        <v>0</v>
      </c>
      <c r="D1981" t="n">
        <v>1</v>
      </c>
      <c r="E1981" t="s">
        <v>1959</v>
      </c>
      <c r="F1981" t="s"/>
      <c r="G1981" t="s"/>
      <c r="H1981" t="s"/>
      <c r="I1981" t="s"/>
      <c r="J1981" t="n">
        <v>0</v>
      </c>
      <c r="K1981" t="n">
        <v>0</v>
      </c>
      <c r="L1981" t="n">
        <v>1</v>
      </c>
      <c r="M1981" t="n">
        <v>0</v>
      </c>
    </row>
    <row r="1982" spans="1:13">
      <c r="A1982" s="1">
        <f>HYPERLINK("http://www.twitter.com/NathanBLawrence/status/992075763028459520", "992075763028459520")</f>
        <v/>
      </c>
      <c r="B1982" s="2" t="n">
        <v>43223.67902777778</v>
      </c>
      <c r="C1982" t="n">
        <v>1</v>
      </c>
      <c r="D1982" t="n">
        <v>1</v>
      </c>
      <c r="E1982" t="s">
        <v>1960</v>
      </c>
      <c r="F1982" t="s"/>
      <c r="G1982" t="s"/>
      <c r="H1982" t="s"/>
      <c r="I1982" t="s"/>
      <c r="J1982" t="n">
        <v>-0.2846</v>
      </c>
      <c r="K1982" t="n">
        <v>0.061</v>
      </c>
      <c r="L1982" t="n">
        <v>0.901</v>
      </c>
      <c r="M1982" t="n">
        <v>0.038</v>
      </c>
    </row>
    <row r="1983" spans="1:13">
      <c r="A1983" s="1">
        <f>HYPERLINK("http://www.twitter.com/NathanBLawrence/status/992075424405577728", "992075424405577728")</f>
        <v/>
      </c>
      <c r="B1983" s="2" t="n">
        <v>43223.67809027778</v>
      </c>
      <c r="C1983" t="n">
        <v>0</v>
      </c>
      <c r="D1983" t="n">
        <v>13</v>
      </c>
      <c r="E1983" t="s">
        <v>1961</v>
      </c>
      <c r="F1983" t="s"/>
      <c r="G1983" t="s"/>
      <c r="H1983" t="s"/>
      <c r="I1983" t="s"/>
      <c r="J1983" t="n">
        <v>0.7579</v>
      </c>
      <c r="K1983" t="n">
        <v>0.055</v>
      </c>
      <c r="L1983" t="n">
        <v>0.6909999999999999</v>
      </c>
      <c r="M1983" t="n">
        <v>0.255</v>
      </c>
    </row>
    <row r="1984" spans="1:13">
      <c r="A1984" s="1">
        <f>HYPERLINK("http://www.twitter.com/NathanBLawrence/status/992075332361519104", "992075332361519104")</f>
        <v/>
      </c>
      <c r="B1984" s="2" t="n">
        <v>43223.67783564814</v>
      </c>
      <c r="C1984" t="n">
        <v>12</v>
      </c>
      <c r="D1984" t="n">
        <v>13</v>
      </c>
      <c r="E1984" t="s">
        <v>1962</v>
      </c>
      <c r="F1984" t="s"/>
      <c r="G1984" t="s"/>
      <c r="H1984" t="s"/>
      <c r="I1984" t="s"/>
      <c r="J1984" t="n">
        <v>0.5994</v>
      </c>
      <c r="K1984" t="n">
        <v>0.08500000000000001</v>
      </c>
      <c r="L1984" t="n">
        <v>0.769</v>
      </c>
      <c r="M1984" t="n">
        <v>0.146</v>
      </c>
    </row>
    <row r="1985" spans="1:13">
      <c r="A1985" s="1">
        <f>HYPERLINK("http://www.twitter.com/NathanBLawrence/status/992074473431076866", "992074473431076866")</f>
        <v/>
      </c>
      <c r="B1985" s="2" t="n">
        <v>43223.67546296296</v>
      </c>
      <c r="C1985" t="n">
        <v>0</v>
      </c>
      <c r="D1985" t="n">
        <v>4</v>
      </c>
      <c r="E1985" t="s">
        <v>1963</v>
      </c>
      <c r="F1985" t="s"/>
      <c r="G1985" t="s"/>
      <c r="H1985" t="s"/>
      <c r="I1985" t="s"/>
      <c r="J1985" t="n">
        <v>-0.6114000000000001</v>
      </c>
      <c r="K1985" t="n">
        <v>0.285</v>
      </c>
      <c r="L1985" t="n">
        <v>0.715</v>
      </c>
      <c r="M1985" t="n">
        <v>0</v>
      </c>
    </row>
    <row r="1986" spans="1:13">
      <c r="A1986" s="1">
        <f>HYPERLINK("http://www.twitter.com/NathanBLawrence/status/992074325447663624", "992074325447663624")</f>
        <v/>
      </c>
      <c r="B1986" s="2" t="n">
        <v>43223.67505787037</v>
      </c>
      <c r="C1986" t="n">
        <v>0</v>
      </c>
      <c r="D1986" t="n">
        <v>8</v>
      </c>
      <c r="E1986" t="s">
        <v>1964</v>
      </c>
      <c r="F1986" t="s"/>
      <c r="G1986" t="s"/>
      <c r="H1986" t="s"/>
      <c r="I1986" t="s"/>
      <c r="J1986" t="n">
        <v>0.9199000000000001</v>
      </c>
      <c r="K1986" t="n">
        <v>0.081</v>
      </c>
      <c r="L1986" t="n">
        <v>0.448</v>
      </c>
      <c r="M1986" t="n">
        <v>0.471</v>
      </c>
    </row>
    <row r="1987" spans="1:13">
      <c r="A1987" s="1">
        <f>HYPERLINK("http://www.twitter.com/NathanBLawrence/status/992074256216416256", "992074256216416256")</f>
        <v/>
      </c>
      <c r="B1987" s="2" t="n">
        <v>43223.67487268519</v>
      </c>
      <c r="C1987" t="n">
        <v>5</v>
      </c>
      <c r="D1987" t="n">
        <v>1</v>
      </c>
      <c r="E1987" t="s">
        <v>1965</v>
      </c>
      <c r="F1987" t="s"/>
      <c r="G1987" t="s"/>
      <c r="H1987" t="s"/>
      <c r="I1987" t="s"/>
      <c r="J1987" t="n">
        <v>0.1655</v>
      </c>
      <c r="K1987" t="n">
        <v>0</v>
      </c>
      <c r="L1987" t="n">
        <v>0.927</v>
      </c>
      <c r="M1987" t="n">
        <v>0.073</v>
      </c>
    </row>
    <row r="1988" spans="1:13">
      <c r="A1988" s="1">
        <f>HYPERLINK("http://www.twitter.com/NathanBLawrence/status/992073869216370688", "992073869216370688")</f>
        <v/>
      </c>
      <c r="B1988" s="2" t="n">
        <v>43223.67379629629</v>
      </c>
      <c r="C1988" t="n">
        <v>9</v>
      </c>
      <c r="D1988" t="n">
        <v>8</v>
      </c>
      <c r="E1988" t="s">
        <v>1966</v>
      </c>
      <c r="F1988" t="s"/>
      <c r="G1988" t="s"/>
      <c r="H1988" t="s"/>
      <c r="I1988" t="s"/>
      <c r="J1988" t="n">
        <v>0.9737</v>
      </c>
      <c r="K1988" t="n">
        <v>0.042</v>
      </c>
      <c r="L1988" t="n">
        <v>0.532</v>
      </c>
      <c r="M1988" t="n">
        <v>0.426</v>
      </c>
    </row>
    <row r="1989" spans="1:13">
      <c r="A1989" s="1">
        <f>HYPERLINK("http://www.twitter.com/NathanBLawrence/status/992073128070270976", "992073128070270976")</f>
        <v/>
      </c>
      <c r="B1989" s="2" t="n">
        <v>43223.67175925926</v>
      </c>
      <c r="C1989" t="n">
        <v>0</v>
      </c>
      <c r="D1989" t="n">
        <v>16</v>
      </c>
      <c r="E1989" t="s">
        <v>1967</v>
      </c>
      <c r="F1989">
        <f>HYPERLINK("http://pbs.twimg.com/media/DcSNIx0WAAAVRHm.jpg", "http://pbs.twimg.com/media/DcSNIx0WAAAVRHm.jpg")</f>
        <v/>
      </c>
      <c r="G1989" t="s"/>
      <c r="H1989" t="s"/>
      <c r="I1989" t="s"/>
      <c r="J1989" t="n">
        <v>-0.631</v>
      </c>
      <c r="K1989" t="n">
        <v>0.159</v>
      </c>
      <c r="L1989" t="n">
        <v>0.841</v>
      </c>
      <c r="M1989" t="n">
        <v>0</v>
      </c>
    </row>
    <row r="1990" spans="1:13">
      <c r="A1990" s="1">
        <f>HYPERLINK("http://www.twitter.com/NathanBLawrence/status/992073041659260928", "992073041659260928")</f>
        <v/>
      </c>
      <c r="B1990" s="2" t="n">
        <v>43223.67151620371</v>
      </c>
      <c r="C1990" t="n">
        <v>0</v>
      </c>
      <c r="D1990" t="n">
        <v>1998</v>
      </c>
      <c r="E1990" t="s">
        <v>1968</v>
      </c>
      <c r="F1990" t="s"/>
      <c r="G1990" t="s"/>
      <c r="H1990" t="s"/>
      <c r="I1990" t="s"/>
      <c r="J1990" t="n">
        <v>-0.5859</v>
      </c>
      <c r="K1990" t="n">
        <v>0.242</v>
      </c>
      <c r="L1990" t="n">
        <v>0.758</v>
      </c>
      <c r="M1990" t="n">
        <v>0</v>
      </c>
    </row>
    <row r="1991" spans="1:13">
      <c r="A1991" s="1">
        <f>HYPERLINK("http://www.twitter.com/NathanBLawrence/status/992073025083314176", "992073025083314176")</f>
        <v/>
      </c>
      <c r="B1991" s="2" t="n">
        <v>43223.67146990741</v>
      </c>
      <c r="C1991" t="n">
        <v>0</v>
      </c>
      <c r="D1991" t="n">
        <v>2906</v>
      </c>
      <c r="E1991" t="s">
        <v>1969</v>
      </c>
      <c r="F1991" t="s"/>
      <c r="G1991" t="s"/>
      <c r="H1991" t="s"/>
      <c r="I1991" t="s"/>
      <c r="J1991" t="n">
        <v>0.0772</v>
      </c>
      <c r="K1991" t="n">
        <v>0.082</v>
      </c>
      <c r="L1991" t="n">
        <v>0.823</v>
      </c>
      <c r="M1991" t="n">
        <v>0.095</v>
      </c>
    </row>
    <row r="1992" spans="1:13">
      <c r="A1992" s="1">
        <f>HYPERLINK("http://www.twitter.com/NathanBLawrence/status/992073005688815616", "992073005688815616")</f>
        <v/>
      </c>
      <c r="B1992" s="2" t="n">
        <v>43223.67142361111</v>
      </c>
      <c r="C1992" t="n">
        <v>21</v>
      </c>
      <c r="D1992" t="n">
        <v>16</v>
      </c>
      <c r="E1992" t="s">
        <v>1970</v>
      </c>
      <c r="F1992">
        <f>HYPERLINK("http://pbs.twimg.com/media/DcSNIx0WAAAVRHm.jpg", "http://pbs.twimg.com/media/DcSNIx0WAAAVRHm.jpg")</f>
        <v/>
      </c>
      <c r="G1992" t="s"/>
      <c r="H1992" t="s"/>
      <c r="I1992" t="s"/>
      <c r="J1992" t="n">
        <v>-0.859</v>
      </c>
      <c r="K1992" t="n">
        <v>0.175</v>
      </c>
      <c r="L1992" t="n">
        <v>0.825</v>
      </c>
      <c r="M1992" t="n">
        <v>0</v>
      </c>
    </row>
    <row r="1993" spans="1:13">
      <c r="A1993" s="1">
        <f>HYPERLINK("http://www.twitter.com/NathanBLawrence/status/992071806898130944", "992071806898130944")</f>
        <v/>
      </c>
      <c r="B1993" s="2" t="n">
        <v>43223.66811342593</v>
      </c>
      <c r="C1993" t="n">
        <v>0</v>
      </c>
      <c r="D1993" t="n">
        <v>15</v>
      </c>
      <c r="E1993" t="s">
        <v>1971</v>
      </c>
      <c r="F1993" t="s"/>
      <c r="G1993" t="s"/>
      <c r="H1993" t="s"/>
      <c r="I1993" t="s"/>
      <c r="J1993" t="n">
        <v>0</v>
      </c>
      <c r="K1993" t="n">
        <v>0</v>
      </c>
      <c r="L1993" t="n">
        <v>1</v>
      </c>
      <c r="M1993" t="n">
        <v>0</v>
      </c>
    </row>
    <row r="1994" spans="1:13">
      <c r="A1994" s="1">
        <f>HYPERLINK("http://www.twitter.com/NathanBLawrence/status/992071730758868994", "992071730758868994")</f>
        <v/>
      </c>
      <c r="B1994" s="2" t="n">
        <v>43223.6679050926</v>
      </c>
      <c r="C1994" t="n">
        <v>0</v>
      </c>
      <c r="D1994" t="n">
        <v>10</v>
      </c>
      <c r="E1994" t="s">
        <v>1972</v>
      </c>
      <c r="F1994" t="s"/>
      <c r="G1994" t="s"/>
      <c r="H1994" t="s"/>
      <c r="I1994" t="s"/>
      <c r="J1994" t="n">
        <v>0.8074</v>
      </c>
      <c r="K1994" t="n">
        <v>0</v>
      </c>
      <c r="L1994" t="n">
        <v>0.742</v>
      </c>
      <c r="M1994" t="n">
        <v>0.258</v>
      </c>
    </row>
    <row r="1995" spans="1:13">
      <c r="A1995" s="1">
        <f>HYPERLINK("http://www.twitter.com/NathanBLawrence/status/992066750308110336", "992066750308110336")</f>
        <v/>
      </c>
      <c r="B1995" s="2" t="n">
        <v>43223.65415509259</v>
      </c>
      <c r="C1995" t="n">
        <v>0</v>
      </c>
      <c r="D1995" t="n">
        <v>8</v>
      </c>
      <c r="E1995" t="s">
        <v>1973</v>
      </c>
      <c r="F1995">
        <f>HYPERLINK("http://pbs.twimg.com/media/DcSBzJBUwAANLwC.jpg", "http://pbs.twimg.com/media/DcSBzJBUwAANLwC.jpg")</f>
        <v/>
      </c>
      <c r="G1995" t="s"/>
      <c r="H1995" t="s"/>
      <c r="I1995" t="s"/>
      <c r="J1995" t="n">
        <v>-0.7783</v>
      </c>
      <c r="K1995" t="n">
        <v>0.254</v>
      </c>
      <c r="L1995" t="n">
        <v>0.746</v>
      </c>
      <c r="M1995" t="n">
        <v>0</v>
      </c>
    </row>
    <row r="1996" spans="1:13">
      <c r="A1996" s="1">
        <f>HYPERLINK("http://www.twitter.com/NathanBLawrence/status/992053633301786625", "992053633301786625")</f>
        <v/>
      </c>
      <c r="B1996" s="2" t="n">
        <v>43223.61796296296</v>
      </c>
      <c r="C1996" t="n">
        <v>0</v>
      </c>
      <c r="D1996" t="n">
        <v>9</v>
      </c>
      <c r="E1996" t="s">
        <v>1974</v>
      </c>
      <c r="F1996">
        <f>HYPERLINK("http://pbs.twimg.com/media/DcR5-ruW4AAKv--.jpg", "http://pbs.twimg.com/media/DcR5-ruW4AAKv--.jpg")</f>
        <v/>
      </c>
      <c r="G1996" t="s"/>
      <c r="H1996" t="s"/>
      <c r="I1996" t="s"/>
      <c r="J1996" t="n">
        <v>-0.5106000000000001</v>
      </c>
      <c r="K1996" t="n">
        <v>0.217</v>
      </c>
      <c r="L1996" t="n">
        <v>0.6860000000000001</v>
      </c>
      <c r="M1996" t="n">
        <v>0.097</v>
      </c>
    </row>
    <row r="1997" spans="1:13">
      <c r="A1997" s="1">
        <f>HYPERLINK("http://www.twitter.com/NathanBLawrence/status/992051944154914821", "992051944154914821")</f>
        <v/>
      </c>
      <c r="B1997" s="2" t="n">
        <v>43223.61329861111</v>
      </c>
      <c r="C1997" t="n">
        <v>11</v>
      </c>
      <c r="D1997" t="n">
        <v>9</v>
      </c>
      <c r="E1997" t="s">
        <v>1975</v>
      </c>
      <c r="F1997">
        <f>HYPERLINK("http://pbs.twimg.com/media/DcR5-ruW4AAKv--.jpg", "http://pbs.twimg.com/media/DcR5-ruW4AAKv--.jpg")</f>
        <v/>
      </c>
      <c r="G1997" t="s"/>
      <c r="H1997" t="s"/>
      <c r="I1997" t="s"/>
      <c r="J1997" t="n">
        <v>-0.3076</v>
      </c>
      <c r="K1997" t="n">
        <v>0.141</v>
      </c>
      <c r="L1997" t="n">
        <v>0.744</v>
      </c>
      <c r="M1997" t="n">
        <v>0.115</v>
      </c>
    </row>
    <row r="1998" spans="1:13">
      <c r="A1998" s="1">
        <f>HYPERLINK("http://www.twitter.com/NathanBLawrence/status/992041632957648897", "992041632957648897")</f>
        <v/>
      </c>
      <c r="B1998" s="2" t="n">
        <v>43223.58484953704</v>
      </c>
      <c r="C1998" t="n">
        <v>0</v>
      </c>
      <c r="D1998" t="n">
        <v>4</v>
      </c>
      <c r="E1998" t="s">
        <v>1976</v>
      </c>
      <c r="F1998" t="s"/>
      <c r="G1998" t="s"/>
      <c r="H1998" t="s"/>
      <c r="I1998" t="s"/>
      <c r="J1998" t="n">
        <v>0.8993</v>
      </c>
      <c r="K1998" t="n">
        <v>0</v>
      </c>
      <c r="L1998" t="n">
        <v>0.539</v>
      </c>
      <c r="M1998" t="n">
        <v>0.461</v>
      </c>
    </row>
    <row r="1999" spans="1:13">
      <c r="A1999" s="1">
        <f>HYPERLINK("http://www.twitter.com/NathanBLawrence/status/992041442959941638", "992041442959941638")</f>
        <v/>
      </c>
      <c r="B1999" s="2" t="n">
        <v>43223.58431712963</v>
      </c>
      <c r="C1999" t="n">
        <v>0</v>
      </c>
      <c r="D1999" t="n">
        <v>9</v>
      </c>
      <c r="E1999" t="s">
        <v>1977</v>
      </c>
      <c r="F1999" t="s"/>
      <c r="G1999" t="s"/>
      <c r="H1999" t="s"/>
      <c r="I1999" t="s"/>
      <c r="J1999" t="n">
        <v>-0.5423</v>
      </c>
      <c r="K1999" t="n">
        <v>0.137</v>
      </c>
      <c r="L1999" t="n">
        <v>0.863</v>
      </c>
      <c r="M1999" t="n">
        <v>0</v>
      </c>
    </row>
    <row r="2000" spans="1:13">
      <c r="A2000" s="1">
        <f>HYPERLINK("http://www.twitter.com/NathanBLawrence/status/992041355701620741", "992041355701620741")</f>
        <v/>
      </c>
      <c r="B2000" s="2" t="n">
        <v>43223.58408564814</v>
      </c>
      <c r="C2000" t="n">
        <v>0</v>
      </c>
      <c r="D2000" t="n">
        <v>4</v>
      </c>
      <c r="E2000" t="s">
        <v>1978</v>
      </c>
      <c r="F2000" t="s"/>
      <c r="G2000" t="s"/>
      <c r="H2000" t="s"/>
      <c r="I2000" t="s"/>
      <c r="J2000" t="n">
        <v>-0.5583</v>
      </c>
      <c r="K2000" t="n">
        <v>0.167</v>
      </c>
      <c r="L2000" t="n">
        <v>0.833</v>
      </c>
      <c r="M2000" t="n">
        <v>0</v>
      </c>
    </row>
    <row r="2001" spans="1:13">
      <c r="A2001" s="1">
        <f>HYPERLINK("http://www.twitter.com/NathanBLawrence/status/992041344800559104", "992041344800559104")</f>
        <v/>
      </c>
      <c r="B2001" s="2" t="n">
        <v>43223.58405092593</v>
      </c>
      <c r="C2001" t="n">
        <v>0</v>
      </c>
      <c r="D2001" t="n">
        <v>4</v>
      </c>
      <c r="E2001" t="s">
        <v>1979</v>
      </c>
      <c r="F2001" t="s"/>
      <c r="G2001" t="s"/>
      <c r="H2001" t="s"/>
      <c r="I2001" t="s"/>
      <c r="J2001" t="n">
        <v>-0.296</v>
      </c>
      <c r="K2001" t="n">
        <v>0.099</v>
      </c>
      <c r="L2001" t="n">
        <v>0.901</v>
      </c>
      <c r="M2001" t="n">
        <v>0</v>
      </c>
    </row>
    <row r="2002" spans="1:13">
      <c r="A2002" s="1">
        <f>HYPERLINK("http://www.twitter.com/NathanBLawrence/status/992041317315248128", "992041317315248128")</f>
        <v/>
      </c>
      <c r="B2002" s="2" t="n">
        <v>43223.58396990741</v>
      </c>
      <c r="C2002" t="n">
        <v>0</v>
      </c>
      <c r="D2002" t="n">
        <v>1</v>
      </c>
      <c r="E2002" t="s">
        <v>1980</v>
      </c>
      <c r="F2002" t="s"/>
      <c r="G2002" t="s"/>
      <c r="H2002" t="s"/>
      <c r="I2002" t="s"/>
      <c r="J2002" t="n">
        <v>0.3612</v>
      </c>
      <c r="K2002" t="n">
        <v>0</v>
      </c>
      <c r="L2002" t="n">
        <v>0.762</v>
      </c>
      <c r="M2002" t="n">
        <v>0.238</v>
      </c>
    </row>
    <row r="2003" spans="1:13">
      <c r="A2003" s="1">
        <f>HYPERLINK("http://www.twitter.com/NathanBLawrence/status/992041290983501826", "992041290983501826")</f>
        <v/>
      </c>
      <c r="B2003" s="2" t="n">
        <v>43223.58390046296</v>
      </c>
      <c r="C2003" t="n">
        <v>0</v>
      </c>
      <c r="D2003" t="n">
        <v>5</v>
      </c>
      <c r="E2003" t="s">
        <v>1981</v>
      </c>
      <c r="F2003" t="s"/>
      <c r="G2003" t="s"/>
      <c r="H2003" t="s"/>
      <c r="I2003" t="s"/>
      <c r="J2003" t="n">
        <v>0.4753</v>
      </c>
      <c r="K2003" t="n">
        <v>0</v>
      </c>
      <c r="L2003" t="n">
        <v>0.86</v>
      </c>
      <c r="M2003" t="n">
        <v>0.14</v>
      </c>
    </row>
    <row r="2004" spans="1:13">
      <c r="A2004" s="1">
        <f>HYPERLINK("http://www.twitter.com/NathanBLawrence/status/992041269168877570", "992041269168877570")</f>
        <v/>
      </c>
      <c r="B2004" s="2" t="n">
        <v>43223.58384259259</v>
      </c>
      <c r="C2004" t="n">
        <v>0</v>
      </c>
      <c r="D2004" t="n">
        <v>1</v>
      </c>
      <c r="E2004" t="s">
        <v>1982</v>
      </c>
      <c r="F2004" t="s"/>
      <c r="G2004" t="s"/>
      <c r="H2004" t="s"/>
      <c r="I2004" t="s"/>
      <c r="J2004" t="n">
        <v>0</v>
      </c>
      <c r="K2004" t="n">
        <v>0</v>
      </c>
      <c r="L2004" t="n">
        <v>1</v>
      </c>
      <c r="M2004" t="n">
        <v>0</v>
      </c>
    </row>
    <row r="2005" spans="1:13">
      <c r="A2005" s="1">
        <f>HYPERLINK("http://www.twitter.com/NathanBLawrence/status/992041241129947142", "992041241129947142")</f>
        <v/>
      </c>
      <c r="B2005" s="2" t="n">
        <v>43223.58376157407</v>
      </c>
      <c r="C2005" t="n">
        <v>0</v>
      </c>
      <c r="D2005" t="n">
        <v>1</v>
      </c>
      <c r="E2005" t="s">
        <v>1983</v>
      </c>
      <c r="F2005" t="s"/>
      <c r="G2005" t="s"/>
      <c r="H2005" t="s"/>
      <c r="I2005" t="s"/>
      <c r="J2005" t="n">
        <v>0</v>
      </c>
      <c r="K2005" t="n">
        <v>0</v>
      </c>
      <c r="L2005" t="n">
        <v>1</v>
      </c>
      <c r="M2005" t="n">
        <v>0</v>
      </c>
    </row>
    <row r="2006" spans="1:13">
      <c r="A2006" s="1">
        <f>HYPERLINK("http://www.twitter.com/NathanBLawrence/status/992041198859759616", "992041198859759616")</f>
        <v/>
      </c>
      <c r="B2006" s="2" t="n">
        <v>43223.58364583334</v>
      </c>
      <c r="C2006" t="n">
        <v>0</v>
      </c>
      <c r="D2006" t="n">
        <v>3</v>
      </c>
      <c r="E2006" t="s">
        <v>1984</v>
      </c>
      <c r="F2006">
        <f>HYPERLINK("http://pbs.twimg.com/media/DcRVyiKV0AAc4WP.jpg", "http://pbs.twimg.com/media/DcRVyiKV0AAc4WP.jpg")</f>
        <v/>
      </c>
      <c r="G2006" t="s"/>
      <c r="H2006" t="s"/>
      <c r="I2006" t="s"/>
      <c r="J2006" t="n">
        <v>0</v>
      </c>
      <c r="K2006" t="n">
        <v>0</v>
      </c>
      <c r="L2006" t="n">
        <v>1</v>
      </c>
      <c r="M2006" t="n">
        <v>0</v>
      </c>
    </row>
    <row r="2007" spans="1:13">
      <c r="A2007" s="1">
        <f>HYPERLINK("http://www.twitter.com/NathanBLawrence/status/992039953151528960", "992039953151528960")</f>
        <v/>
      </c>
      <c r="B2007" s="2" t="n">
        <v>43223.58020833333</v>
      </c>
      <c r="C2007" t="n">
        <v>0</v>
      </c>
      <c r="D2007" t="n">
        <v>5</v>
      </c>
      <c r="E2007" t="s">
        <v>1985</v>
      </c>
      <c r="F2007" t="s"/>
      <c r="G2007" t="s"/>
      <c r="H2007" t="s"/>
      <c r="I2007" t="s"/>
      <c r="J2007" t="n">
        <v>-0.6625</v>
      </c>
      <c r="K2007" t="n">
        <v>0.174</v>
      </c>
      <c r="L2007" t="n">
        <v>0.826</v>
      </c>
      <c r="M2007" t="n">
        <v>0</v>
      </c>
    </row>
    <row r="2008" spans="1:13">
      <c r="A2008" s="1">
        <f>HYPERLINK("http://www.twitter.com/NathanBLawrence/status/992039939192840193", "992039939192840193")</f>
        <v/>
      </c>
      <c r="B2008" s="2" t="n">
        <v>43223.58017361111</v>
      </c>
      <c r="C2008" t="n">
        <v>0</v>
      </c>
      <c r="D2008" t="n">
        <v>1</v>
      </c>
      <c r="E2008" t="s">
        <v>1986</v>
      </c>
      <c r="F2008" t="s"/>
      <c r="G2008" t="s"/>
      <c r="H2008" t="s"/>
      <c r="I2008" t="s"/>
      <c r="J2008" t="n">
        <v>0</v>
      </c>
      <c r="K2008" t="n">
        <v>0</v>
      </c>
      <c r="L2008" t="n">
        <v>1</v>
      </c>
      <c r="M2008" t="n">
        <v>0</v>
      </c>
    </row>
    <row r="2009" spans="1:13">
      <c r="A2009" s="1">
        <f>HYPERLINK("http://www.twitter.com/NathanBLawrence/status/992039918707920896", "992039918707920896")</f>
        <v/>
      </c>
      <c r="B2009" s="2" t="n">
        <v>43223.58011574074</v>
      </c>
      <c r="C2009" t="n">
        <v>0</v>
      </c>
      <c r="D2009" t="n">
        <v>4</v>
      </c>
      <c r="E2009" t="s">
        <v>1987</v>
      </c>
      <c r="F2009" t="s"/>
      <c r="G2009" t="s"/>
      <c r="H2009" t="s"/>
      <c r="I2009" t="s"/>
      <c r="J2009" t="n">
        <v>0</v>
      </c>
      <c r="K2009" t="n">
        <v>0</v>
      </c>
      <c r="L2009" t="n">
        <v>1</v>
      </c>
      <c r="M2009" t="n">
        <v>0</v>
      </c>
    </row>
    <row r="2010" spans="1:13">
      <c r="A2010" s="1">
        <f>HYPERLINK("http://www.twitter.com/NathanBLawrence/status/992039854727974912", "992039854727974912")</f>
        <v/>
      </c>
      <c r="B2010" s="2" t="n">
        <v>43223.57994212963</v>
      </c>
      <c r="C2010" t="n">
        <v>0</v>
      </c>
      <c r="D2010" t="n">
        <v>3</v>
      </c>
      <c r="E2010" t="s">
        <v>1988</v>
      </c>
      <c r="F2010" t="s"/>
      <c r="G2010" t="s"/>
      <c r="H2010" t="s"/>
      <c r="I2010" t="s"/>
      <c r="J2010" t="n">
        <v>0.3182</v>
      </c>
      <c r="K2010" t="n">
        <v>0.112</v>
      </c>
      <c r="L2010" t="n">
        <v>0.717</v>
      </c>
      <c r="M2010" t="n">
        <v>0.17</v>
      </c>
    </row>
    <row r="2011" spans="1:13">
      <c r="A2011" s="1">
        <f>HYPERLINK("http://www.twitter.com/NathanBLawrence/status/992039575920013312", "992039575920013312")</f>
        <v/>
      </c>
      <c r="B2011" s="2" t="n">
        <v>43223.57916666667</v>
      </c>
      <c r="C2011" t="n">
        <v>0</v>
      </c>
      <c r="D2011" t="n">
        <v>5</v>
      </c>
      <c r="E2011" t="s">
        <v>1989</v>
      </c>
      <c r="F2011" t="s"/>
      <c r="G2011" t="s"/>
      <c r="H2011" t="s"/>
      <c r="I2011" t="s"/>
      <c r="J2011" t="n">
        <v>-0.4482</v>
      </c>
      <c r="K2011" t="n">
        <v>0.128</v>
      </c>
      <c r="L2011" t="n">
        <v>0.872</v>
      </c>
      <c r="M2011" t="n">
        <v>0</v>
      </c>
    </row>
    <row r="2012" spans="1:13">
      <c r="A2012" s="1">
        <f>HYPERLINK("http://www.twitter.com/NathanBLawrence/status/992039489219584000", "992039489219584000")</f>
        <v/>
      </c>
      <c r="B2012" s="2" t="n">
        <v>43223.57893518519</v>
      </c>
      <c r="C2012" t="n">
        <v>0</v>
      </c>
      <c r="D2012" t="n">
        <v>6</v>
      </c>
      <c r="E2012" t="s">
        <v>1990</v>
      </c>
      <c r="F2012" t="s"/>
      <c r="G2012" t="s"/>
      <c r="H2012" t="s"/>
      <c r="I2012" t="s"/>
      <c r="J2012" t="n">
        <v>-0.5266999999999999</v>
      </c>
      <c r="K2012" t="n">
        <v>0.139</v>
      </c>
      <c r="L2012" t="n">
        <v>0.861</v>
      </c>
      <c r="M2012" t="n">
        <v>0</v>
      </c>
    </row>
    <row r="2013" spans="1:13">
      <c r="A2013" s="1">
        <f>HYPERLINK("http://www.twitter.com/NathanBLawrence/status/992039455862214656", "992039455862214656")</f>
        <v/>
      </c>
      <c r="B2013" s="2" t="n">
        <v>43223.57884259259</v>
      </c>
      <c r="C2013" t="n">
        <v>0</v>
      </c>
      <c r="D2013" t="n">
        <v>10</v>
      </c>
      <c r="E2013" t="s">
        <v>1991</v>
      </c>
      <c r="F2013" t="s"/>
      <c r="G2013" t="s"/>
      <c r="H2013" t="s"/>
      <c r="I2013" t="s"/>
      <c r="J2013" t="n">
        <v>0</v>
      </c>
      <c r="K2013" t="n">
        <v>0</v>
      </c>
      <c r="L2013" t="n">
        <v>1</v>
      </c>
      <c r="M2013" t="n">
        <v>0</v>
      </c>
    </row>
    <row r="2014" spans="1:13">
      <c r="A2014" s="1">
        <f>HYPERLINK("http://www.twitter.com/NathanBLawrence/status/992039413730463744", "992039413730463744")</f>
        <v/>
      </c>
      <c r="B2014" s="2" t="n">
        <v>43223.57872685185</v>
      </c>
      <c r="C2014" t="n">
        <v>0</v>
      </c>
      <c r="D2014" t="n">
        <v>4</v>
      </c>
      <c r="E2014" t="s">
        <v>1992</v>
      </c>
      <c r="F2014" t="s"/>
      <c r="G2014" t="s"/>
      <c r="H2014" t="s"/>
      <c r="I2014" t="s"/>
      <c r="J2014" t="n">
        <v>0.4184</v>
      </c>
      <c r="K2014" t="n">
        <v>0</v>
      </c>
      <c r="L2014" t="n">
        <v>0.798</v>
      </c>
      <c r="M2014" t="n">
        <v>0.202</v>
      </c>
    </row>
    <row r="2015" spans="1:13">
      <c r="A2015" s="1">
        <f>HYPERLINK("http://www.twitter.com/NathanBLawrence/status/991912985357705217", "991912985357705217")</f>
        <v/>
      </c>
      <c r="B2015" s="2" t="n">
        <v>43223.22984953703</v>
      </c>
      <c r="C2015" t="n">
        <v>0</v>
      </c>
      <c r="D2015" t="n">
        <v>1</v>
      </c>
      <c r="E2015" t="s">
        <v>1993</v>
      </c>
      <c r="F2015" t="s"/>
      <c r="G2015" t="s"/>
      <c r="H2015" t="s"/>
      <c r="I2015" t="s"/>
      <c r="J2015" t="n">
        <v>0.4404</v>
      </c>
      <c r="K2015" t="n">
        <v>0</v>
      </c>
      <c r="L2015" t="n">
        <v>0.861</v>
      </c>
      <c r="M2015" t="n">
        <v>0.139</v>
      </c>
    </row>
    <row r="2016" spans="1:13">
      <c r="A2016" s="1">
        <f>HYPERLINK("http://www.twitter.com/NathanBLawrence/status/991906320767840256", "991906320767840256")</f>
        <v/>
      </c>
      <c r="B2016" s="2" t="n">
        <v>43223.21145833333</v>
      </c>
      <c r="C2016" t="n">
        <v>2</v>
      </c>
      <c r="D2016" t="n">
        <v>0</v>
      </c>
      <c r="E2016" t="s">
        <v>1994</v>
      </c>
      <c r="F2016">
        <f>HYPERLINK("http://pbs.twimg.com/media/DcP1iQ3WkAAXLOn.jpg", "http://pbs.twimg.com/media/DcP1iQ3WkAAXLOn.jpg")</f>
        <v/>
      </c>
      <c r="G2016" t="s"/>
      <c r="H2016" t="s"/>
      <c r="I2016" t="s"/>
      <c r="J2016" t="n">
        <v>-0.3182</v>
      </c>
      <c r="K2016" t="n">
        <v>0.224</v>
      </c>
      <c r="L2016" t="n">
        <v>0.594</v>
      </c>
      <c r="M2016" t="n">
        <v>0.182</v>
      </c>
    </row>
    <row r="2017" spans="1:13">
      <c r="A2017" s="1">
        <f>HYPERLINK("http://www.twitter.com/NathanBLawrence/status/991896556780572673", "991896556780572673")</f>
        <v/>
      </c>
      <c r="B2017" s="2" t="n">
        <v>43223.18451388889</v>
      </c>
      <c r="C2017" t="n">
        <v>0</v>
      </c>
      <c r="D2017" t="n">
        <v>4</v>
      </c>
      <c r="E2017" t="s">
        <v>1995</v>
      </c>
      <c r="F2017" t="s"/>
      <c r="G2017" t="s"/>
      <c r="H2017" t="s"/>
      <c r="I2017" t="s"/>
      <c r="J2017" t="n">
        <v>0.1027</v>
      </c>
      <c r="K2017" t="n">
        <v>0</v>
      </c>
      <c r="L2017" t="n">
        <v>0.924</v>
      </c>
      <c r="M2017" t="n">
        <v>0.076</v>
      </c>
    </row>
    <row r="2018" spans="1:13">
      <c r="A2018" s="1">
        <f>HYPERLINK("http://www.twitter.com/NathanBLawrence/status/991896538761723904", "991896538761723904")</f>
        <v/>
      </c>
      <c r="B2018" s="2" t="n">
        <v>43223.18446759259</v>
      </c>
      <c r="C2018" t="n">
        <v>0</v>
      </c>
      <c r="D2018" t="n">
        <v>4</v>
      </c>
      <c r="E2018" t="s">
        <v>1996</v>
      </c>
      <c r="F2018" t="s"/>
      <c r="G2018" t="s"/>
      <c r="H2018" t="s"/>
      <c r="I2018" t="s"/>
      <c r="J2018" t="n">
        <v>0</v>
      </c>
      <c r="K2018" t="n">
        <v>0</v>
      </c>
      <c r="L2018" t="n">
        <v>1</v>
      </c>
      <c r="M2018" t="n">
        <v>0</v>
      </c>
    </row>
    <row r="2019" spans="1:13">
      <c r="A2019" s="1">
        <f>HYPERLINK("http://www.twitter.com/NathanBLawrence/status/991896497502543872", "991896497502543872")</f>
        <v/>
      </c>
      <c r="B2019" s="2" t="n">
        <v>43223.18435185185</v>
      </c>
      <c r="C2019" t="n">
        <v>0</v>
      </c>
      <c r="D2019" t="n">
        <v>3</v>
      </c>
      <c r="E2019" t="s">
        <v>1997</v>
      </c>
      <c r="F2019" t="s"/>
      <c r="G2019" t="s"/>
      <c r="H2019" t="s"/>
      <c r="I2019" t="s"/>
      <c r="J2019" t="n">
        <v>0</v>
      </c>
      <c r="K2019" t="n">
        <v>0</v>
      </c>
      <c r="L2019" t="n">
        <v>1</v>
      </c>
      <c r="M2019" t="n">
        <v>0</v>
      </c>
    </row>
    <row r="2020" spans="1:13">
      <c r="A2020" s="1">
        <f>HYPERLINK("http://www.twitter.com/NathanBLawrence/status/991896430301384706", "991896430301384706")</f>
        <v/>
      </c>
      <c r="B2020" s="2" t="n">
        <v>43223.18416666667</v>
      </c>
      <c r="C2020" t="n">
        <v>0</v>
      </c>
      <c r="D2020" t="n">
        <v>3</v>
      </c>
      <c r="E2020" t="s">
        <v>1998</v>
      </c>
      <c r="F2020" t="s"/>
      <c r="G2020" t="s"/>
      <c r="H2020" t="s"/>
      <c r="I2020" t="s"/>
      <c r="J2020" t="n">
        <v>0</v>
      </c>
      <c r="K2020" t="n">
        <v>0</v>
      </c>
      <c r="L2020" t="n">
        <v>1</v>
      </c>
      <c r="M2020" t="n">
        <v>0</v>
      </c>
    </row>
    <row r="2021" spans="1:13">
      <c r="A2021" s="1">
        <f>HYPERLINK("http://www.twitter.com/NathanBLawrence/status/991894887913140224", "991894887913140224")</f>
        <v/>
      </c>
      <c r="B2021" s="2" t="n">
        <v>43223.17990740741</v>
      </c>
      <c r="C2021" t="n">
        <v>0</v>
      </c>
      <c r="D2021" t="n">
        <v>5</v>
      </c>
      <c r="E2021" t="s">
        <v>1999</v>
      </c>
      <c r="F2021" t="s"/>
      <c r="G2021" t="s"/>
      <c r="H2021" t="s"/>
      <c r="I2021" t="s"/>
      <c r="J2021" t="n">
        <v>-0.2732</v>
      </c>
      <c r="K2021" t="n">
        <v>0.13</v>
      </c>
      <c r="L2021" t="n">
        <v>0.87</v>
      </c>
      <c r="M2021" t="n">
        <v>0</v>
      </c>
    </row>
    <row r="2022" spans="1:13">
      <c r="A2022" s="1">
        <f>HYPERLINK("http://www.twitter.com/NathanBLawrence/status/991894860893339649", "991894860893339649")</f>
        <v/>
      </c>
      <c r="B2022" s="2" t="n">
        <v>43223.17983796296</v>
      </c>
      <c r="C2022" t="n">
        <v>0</v>
      </c>
      <c r="D2022" t="n">
        <v>3</v>
      </c>
      <c r="E2022" t="s">
        <v>2000</v>
      </c>
      <c r="F2022" t="s"/>
      <c r="G2022" t="s"/>
      <c r="H2022" t="s"/>
      <c r="I2022" t="s"/>
      <c r="J2022" t="n">
        <v>0</v>
      </c>
      <c r="K2022" t="n">
        <v>0</v>
      </c>
      <c r="L2022" t="n">
        <v>1</v>
      </c>
      <c r="M2022" t="n">
        <v>0</v>
      </c>
    </row>
    <row r="2023" spans="1:13">
      <c r="A2023" s="1">
        <f>HYPERLINK("http://www.twitter.com/NathanBLawrence/status/991894845160648704", "991894845160648704")</f>
        <v/>
      </c>
      <c r="B2023" s="2" t="n">
        <v>43223.17979166667</v>
      </c>
      <c r="C2023" t="n">
        <v>0</v>
      </c>
      <c r="D2023" t="n">
        <v>11</v>
      </c>
      <c r="E2023" t="s">
        <v>2001</v>
      </c>
      <c r="F2023" t="s"/>
      <c r="G2023" t="s"/>
      <c r="H2023" t="s"/>
      <c r="I2023" t="s"/>
      <c r="J2023" t="n">
        <v>0</v>
      </c>
      <c r="K2023" t="n">
        <v>0</v>
      </c>
      <c r="L2023" t="n">
        <v>1</v>
      </c>
      <c r="M2023" t="n">
        <v>0</v>
      </c>
    </row>
    <row r="2024" spans="1:13">
      <c r="A2024" s="1">
        <f>HYPERLINK("http://www.twitter.com/NathanBLawrence/status/991894824528809984", "991894824528809984")</f>
        <v/>
      </c>
      <c r="B2024" s="2" t="n">
        <v>43223.1797337963</v>
      </c>
      <c r="C2024" t="n">
        <v>0</v>
      </c>
      <c r="D2024" t="n">
        <v>4</v>
      </c>
      <c r="E2024" t="s">
        <v>2002</v>
      </c>
      <c r="F2024" t="s"/>
      <c r="G2024" t="s"/>
      <c r="H2024" t="s"/>
      <c r="I2024" t="s"/>
      <c r="J2024" t="n">
        <v>-0.0772</v>
      </c>
      <c r="K2024" t="n">
        <v>0.106</v>
      </c>
      <c r="L2024" t="n">
        <v>0.798</v>
      </c>
      <c r="M2024" t="n">
        <v>0.095</v>
      </c>
    </row>
    <row r="2025" spans="1:13">
      <c r="A2025" s="1">
        <f>HYPERLINK("http://www.twitter.com/NathanBLawrence/status/991894807479021569", "991894807479021569")</f>
        <v/>
      </c>
      <c r="B2025" s="2" t="n">
        <v>43223.1796875</v>
      </c>
      <c r="C2025" t="n">
        <v>0</v>
      </c>
      <c r="D2025" t="n">
        <v>32</v>
      </c>
      <c r="E2025" t="s">
        <v>2003</v>
      </c>
      <c r="F2025">
        <f>HYPERLINK("http://pbs.twimg.com/media/DcI5eIGU8AAz6RV.jpg", "http://pbs.twimg.com/media/DcI5eIGU8AAz6RV.jpg")</f>
        <v/>
      </c>
      <c r="G2025" t="s"/>
      <c r="H2025" t="s"/>
      <c r="I2025" t="s"/>
      <c r="J2025" t="n">
        <v>0.7088</v>
      </c>
      <c r="K2025" t="n">
        <v>0</v>
      </c>
      <c r="L2025" t="n">
        <v>0.731</v>
      </c>
      <c r="M2025" t="n">
        <v>0.269</v>
      </c>
    </row>
    <row r="2026" spans="1:13">
      <c r="A2026" s="1">
        <f>HYPERLINK("http://www.twitter.com/NathanBLawrence/status/991894781243592704", "991894781243592704")</f>
        <v/>
      </c>
      <c r="B2026" s="2" t="n">
        <v>43223.17961805555</v>
      </c>
      <c r="C2026" t="n">
        <v>0</v>
      </c>
      <c r="D2026" t="n">
        <v>8</v>
      </c>
      <c r="E2026" t="s">
        <v>2004</v>
      </c>
      <c r="F2026" t="s"/>
      <c r="G2026" t="s"/>
      <c r="H2026" t="s"/>
      <c r="I2026" t="s"/>
      <c r="J2026" t="n">
        <v>-0.1027</v>
      </c>
      <c r="K2026" t="n">
        <v>0.065</v>
      </c>
      <c r="L2026" t="n">
        <v>0.9350000000000001</v>
      </c>
      <c r="M2026" t="n">
        <v>0</v>
      </c>
    </row>
    <row r="2027" spans="1:13">
      <c r="A2027" s="1">
        <f>HYPERLINK("http://www.twitter.com/NathanBLawrence/status/991894719285227521", "991894719285227521")</f>
        <v/>
      </c>
      <c r="B2027" s="2" t="n">
        <v>43223.17944444445</v>
      </c>
      <c r="C2027" t="n">
        <v>0</v>
      </c>
      <c r="D2027" t="n">
        <v>3</v>
      </c>
      <c r="E2027" t="s">
        <v>2005</v>
      </c>
      <c r="F2027" t="s"/>
      <c r="G2027" t="s"/>
      <c r="H2027" t="s"/>
      <c r="I2027" t="s"/>
      <c r="J2027" t="n">
        <v>0.4588</v>
      </c>
      <c r="K2027" t="n">
        <v>0</v>
      </c>
      <c r="L2027" t="n">
        <v>0.85</v>
      </c>
      <c r="M2027" t="n">
        <v>0.15</v>
      </c>
    </row>
    <row r="2028" spans="1:13">
      <c r="A2028" s="1">
        <f>HYPERLINK("http://www.twitter.com/NathanBLawrence/status/991894681704325120", "991894681704325120")</f>
        <v/>
      </c>
      <c r="B2028" s="2" t="n">
        <v>43223.17934027778</v>
      </c>
      <c r="C2028" t="n">
        <v>0</v>
      </c>
      <c r="D2028" t="n">
        <v>16</v>
      </c>
      <c r="E2028" t="s">
        <v>2001</v>
      </c>
      <c r="F2028" t="s"/>
      <c r="G2028" t="s"/>
      <c r="H2028" t="s"/>
      <c r="I2028" t="s"/>
      <c r="J2028" t="n">
        <v>0</v>
      </c>
      <c r="K2028" t="n">
        <v>0</v>
      </c>
      <c r="L2028" t="n">
        <v>1</v>
      </c>
      <c r="M2028" t="n">
        <v>0</v>
      </c>
    </row>
    <row r="2029" spans="1:13">
      <c r="A2029" s="1">
        <f>HYPERLINK("http://www.twitter.com/NathanBLawrence/status/991894558157033472", "991894558157033472")</f>
        <v/>
      </c>
      <c r="B2029" s="2" t="n">
        <v>43223.17899305555</v>
      </c>
      <c r="C2029" t="n">
        <v>0</v>
      </c>
      <c r="D2029" t="n">
        <v>8</v>
      </c>
      <c r="E2029" t="s">
        <v>2006</v>
      </c>
      <c r="F2029" t="s"/>
      <c r="G2029" t="s"/>
      <c r="H2029" t="s"/>
      <c r="I2029" t="s"/>
      <c r="J2029" t="n">
        <v>0.3612</v>
      </c>
      <c r="K2029" t="n">
        <v>0</v>
      </c>
      <c r="L2029" t="n">
        <v>0.894</v>
      </c>
      <c r="M2029" t="n">
        <v>0.106</v>
      </c>
    </row>
    <row r="2030" spans="1:13">
      <c r="A2030" s="1">
        <f>HYPERLINK("http://www.twitter.com/NathanBLawrence/status/991894540654170112", "991894540654170112")</f>
        <v/>
      </c>
      <c r="B2030" s="2" t="n">
        <v>43223.17894675926</v>
      </c>
      <c r="C2030" t="n">
        <v>0</v>
      </c>
      <c r="D2030" t="n">
        <v>9</v>
      </c>
      <c r="E2030" t="s">
        <v>2007</v>
      </c>
      <c r="F2030" t="s"/>
      <c r="G2030" t="s"/>
      <c r="H2030" t="s"/>
      <c r="I2030" t="s"/>
      <c r="J2030" t="n">
        <v>0.5093</v>
      </c>
      <c r="K2030" t="n">
        <v>0</v>
      </c>
      <c r="L2030" t="n">
        <v>0.843</v>
      </c>
      <c r="M2030" t="n">
        <v>0.157</v>
      </c>
    </row>
    <row r="2031" spans="1:13">
      <c r="A2031" s="1">
        <f>HYPERLINK("http://www.twitter.com/NathanBLawrence/status/991894521494487041", "991894521494487041")</f>
        <v/>
      </c>
      <c r="B2031" s="2" t="n">
        <v>43223.17890046296</v>
      </c>
      <c r="C2031" t="n">
        <v>0</v>
      </c>
      <c r="D2031" t="n">
        <v>9</v>
      </c>
      <c r="E2031" t="s">
        <v>2008</v>
      </c>
      <c r="F2031" t="s"/>
      <c r="G2031" t="s"/>
      <c r="H2031" t="s"/>
      <c r="I2031" t="s"/>
      <c r="J2031" t="n">
        <v>0.4019</v>
      </c>
      <c r="K2031" t="n">
        <v>0.056</v>
      </c>
      <c r="L2031" t="n">
        <v>0.8149999999999999</v>
      </c>
      <c r="M2031" t="n">
        <v>0.129</v>
      </c>
    </row>
    <row r="2032" spans="1:13">
      <c r="A2032" s="1">
        <f>HYPERLINK("http://www.twitter.com/NathanBLawrence/status/991894500506324992", "991894500506324992")</f>
        <v/>
      </c>
      <c r="B2032" s="2" t="n">
        <v>43223.17884259259</v>
      </c>
      <c r="C2032" t="n">
        <v>0</v>
      </c>
      <c r="D2032" t="n">
        <v>4</v>
      </c>
      <c r="E2032" t="s">
        <v>2009</v>
      </c>
      <c r="F2032">
        <f>HYPERLINK("http://pbs.twimg.com/media/DcOYXIIVMAAvbeO.jpg", "http://pbs.twimg.com/media/DcOYXIIVMAAvbeO.jpg")</f>
        <v/>
      </c>
      <c r="G2032" t="s"/>
      <c r="H2032" t="s"/>
      <c r="I2032" t="s"/>
      <c r="J2032" t="n">
        <v>0.4199</v>
      </c>
      <c r="K2032" t="n">
        <v>0</v>
      </c>
      <c r="L2032" t="n">
        <v>0.872</v>
      </c>
      <c r="M2032" t="n">
        <v>0.128</v>
      </c>
    </row>
    <row r="2033" spans="1:13">
      <c r="A2033" s="1">
        <f>HYPERLINK("http://www.twitter.com/NathanBLawrence/status/991894327507996672", "991894327507996672")</f>
        <v/>
      </c>
      <c r="B2033" s="2" t="n">
        <v>43223.17835648148</v>
      </c>
      <c r="C2033" t="n">
        <v>0</v>
      </c>
      <c r="D2033" t="n">
        <v>9</v>
      </c>
      <c r="E2033" t="s">
        <v>2010</v>
      </c>
      <c r="F2033" t="s"/>
      <c r="G2033" t="s"/>
      <c r="H2033" t="s"/>
      <c r="I2033" t="s"/>
      <c r="J2033" t="n">
        <v>0</v>
      </c>
      <c r="K2033" t="n">
        <v>0</v>
      </c>
      <c r="L2033" t="n">
        <v>1</v>
      </c>
      <c r="M2033" t="n">
        <v>0</v>
      </c>
    </row>
    <row r="2034" spans="1:13">
      <c r="A2034" s="1">
        <f>HYPERLINK("http://www.twitter.com/NathanBLawrence/status/991894222050492417", "991894222050492417")</f>
        <v/>
      </c>
      <c r="B2034" s="2" t="n">
        <v>43223.17806712963</v>
      </c>
      <c r="C2034" t="n">
        <v>0</v>
      </c>
      <c r="D2034" t="n">
        <v>13</v>
      </c>
      <c r="E2034" t="s">
        <v>2011</v>
      </c>
      <c r="F2034" t="s"/>
      <c r="G2034" t="s"/>
      <c r="H2034" t="s"/>
      <c r="I2034" t="s"/>
      <c r="J2034" t="n">
        <v>-0.3182</v>
      </c>
      <c r="K2034" t="n">
        <v>0.272</v>
      </c>
      <c r="L2034" t="n">
        <v>0.553</v>
      </c>
      <c r="M2034" t="n">
        <v>0.174</v>
      </c>
    </row>
    <row r="2035" spans="1:13">
      <c r="A2035" s="1">
        <f>HYPERLINK("http://www.twitter.com/NathanBLawrence/status/991894211984314368", "991894211984314368")</f>
        <v/>
      </c>
      <c r="B2035" s="2" t="n">
        <v>43223.17804398148</v>
      </c>
      <c r="C2035" t="n">
        <v>0</v>
      </c>
      <c r="D2035" t="n">
        <v>77</v>
      </c>
      <c r="E2035" t="s">
        <v>2012</v>
      </c>
      <c r="F2035" t="s"/>
      <c r="G2035" t="s"/>
      <c r="H2035" t="s"/>
      <c r="I2035" t="s"/>
      <c r="J2035" t="n">
        <v>-0.34</v>
      </c>
      <c r="K2035" t="n">
        <v>0.08799999999999999</v>
      </c>
      <c r="L2035" t="n">
        <v>0.912</v>
      </c>
      <c r="M2035" t="n">
        <v>0</v>
      </c>
    </row>
    <row r="2036" spans="1:13">
      <c r="A2036" s="1">
        <f>HYPERLINK("http://www.twitter.com/NathanBLawrence/status/991891864906158080", "991891864906158080")</f>
        <v/>
      </c>
      <c r="B2036" s="2" t="n">
        <v>43223.1715625</v>
      </c>
      <c r="C2036" t="n">
        <v>3</v>
      </c>
      <c r="D2036" t="n">
        <v>1</v>
      </c>
      <c r="E2036" t="s">
        <v>2013</v>
      </c>
      <c r="F2036" t="s"/>
      <c r="G2036" t="s"/>
      <c r="H2036" t="s"/>
      <c r="I2036" t="s"/>
      <c r="J2036" t="n">
        <v>0</v>
      </c>
      <c r="K2036" t="n">
        <v>0</v>
      </c>
      <c r="L2036" t="n">
        <v>1</v>
      </c>
      <c r="M2036" t="n">
        <v>0</v>
      </c>
    </row>
    <row r="2037" spans="1:13">
      <c r="A2037" s="1">
        <f>HYPERLINK("http://www.twitter.com/NathanBLawrence/status/991890634855329792", "991890634855329792")</f>
        <v/>
      </c>
      <c r="B2037" s="2" t="n">
        <v>43223.1681712963</v>
      </c>
      <c r="C2037" t="n">
        <v>1</v>
      </c>
      <c r="D2037" t="n">
        <v>0</v>
      </c>
      <c r="E2037" t="s">
        <v>2014</v>
      </c>
      <c r="F2037" t="s"/>
      <c r="G2037" t="s"/>
      <c r="H2037" t="s"/>
      <c r="I2037" t="s"/>
      <c r="J2037" t="n">
        <v>0</v>
      </c>
      <c r="K2037" t="n">
        <v>0</v>
      </c>
      <c r="L2037" t="n">
        <v>1</v>
      </c>
      <c r="M2037" t="n">
        <v>0</v>
      </c>
    </row>
    <row r="2038" spans="1:13">
      <c r="A2038" s="1">
        <f>HYPERLINK("http://www.twitter.com/NathanBLawrence/status/991890451178409985", "991890451178409985")</f>
        <v/>
      </c>
      <c r="B2038" s="2" t="n">
        <v>43223.16766203703</v>
      </c>
      <c r="C2038" t="n">
        <v>1</v>
      </c>
      <c r="D2038" t="n">
        <v>0</v>
      </c>
      <c r="E2038" t="s">
        <v>2015</v>
      </c>
      <c r="F2038" t="s"/>
      <c r="G2038" t="s"/>
      <c r="H2038" t="s"/>
      <c r="I2038" t="s"/>
      <c r="J2038" t="n">
        <v>0</v>
      </c>
      <c r="K2038" t="n">
        <v>0</v>
      </c>
      <c r="L2038" t="n">
        <v>1</v>
      </c>
      <c r="M2038" t="n">
        <v>0</v>
      </c>
    </row>
    <row r="2039" spans="1:13">
      <c r="A2039" s="1">
        <f>HYPERLINK("http://www.twitter.com/NathanBLawrence/status/991890110219149312", "991890110219149312")</f>
        <v/>
      </c>
      <c r="B2039" s="2" t="n">
        <v>43223.16672453703</v>
      </c>
      <c r="C2039" t="n">
        <v>0</v>
      </c>
      <c r="D2039" t="n">
        <v>3</v>
      </c>
      <c r="E2039" t="s">
        <v>2016</v>
      </c>
      <c r="F2039" t="s"/>
      <c r="G2039" t="s"/>
      <c r="H2039" t="s"/>
      <c r="I2039" t="s"/>
      <c r="J2039" t="n">
        <v>0</v>
      </c>
      <c r="K2039" t="n">
        <v>0</v>
      </c>
      <c r="L2039" t="n">
        <v>1</v>
      </c>
      <c r="M2039" t="n">
        <v>0</v>
      </c>
    </row>
    <row r="2040" spans="1:13">
      <c r="A2040" s="1">
        <f>HYPERLINK("http://www.twitter.com/NathanBLawrence/status/991890100719112192", "991890100719112192")</f>
        <v/>
      </c>
      <c r="B2040" s="2" t="n">
        <v>43223.16670138889</v>
      </c>
      <c r="C2040" t="n">
        <v>0</v>
      </c>
      <c r="D2040" t="n">
        <v>19</v>
      </c>
      <c r="E2040" t="s">
        <v>2017</v>
      </c>
      <c r="F2040">
        <f>HYPERLINK("http://pbs.twimg.com/media/DcPevNVUwAIDIyV.jpg", "http://pbs.twimg.com/media/DcPevNVUwAIDIyV.jpg")</f>
        <v/>
      </c>
      <c r="G2040" t="s"/>
      <c r="H2040" t="s"/>
      <c r="I2040" t="s"/>
      <c r="J2040" t="n">
        <v>0</v>
      </c>
      <c r="K2040" t="n">
        <v>0</v>
      </c>
      <c r="L2040" t="n">
        <v>1</v>
      </c>
      <c r="M2040" t="n">
        <v>0</v>
      </c>
    </row>
    <row r="2041" spans="1:13">
      <c r="A2041" s="1">
        <f>HYPERLINK("http://www.twitter.com/NathanBLawrence/status/991889600149934081", "991889600149934081")</f>
        <v/>
      </c>
      <c r="B2041" s="2" t="n">
        <v>43223.1653125</v>
      </c>
      <c r="C2041" t="n">
        <v>5</v>
      </c>
      <c r="D2041" t="n">
        <v>4</v>
      </c>
      <c r="E2041" t="s">
        <v>2018</v>
      </c>
      <c r="F2041" t="s"/>
      <c r="G2041" t="s"/>
      <c r="H2041" t="s"/>
      <c r="I2041" t="s"/>
      <c r="J2041" t="n">
        <v>0.9255</v>
      </c>
      <c r="K2041" t="n">
        <v>0</v>
      </c>
      <c r="L2041" t="n">
        <v>0.6820000000000001</v>
      </c>
      <c r="M2041" t="n">
        <v>0.318</v>
      </c>
    </row>
    <row r="2042" spans="1:13">
      <c r="A2042" s="1">
        <f>HYPERLINK("http://www.twitter.com/NathanBLawrence/status/991887833601261568", "991887833601261568")</f>
        <v/>
      </c>
      <c r="B2042" s="2" t="n">
        <v>43223.16043981481</v>
      </c>
      <c r="C2042" t="n">
        <v>6</v>
      </c>
      <c r="D2042" t="n">
        <v>1</v>
      </c>
      <c r="E2042" t="s">
        <v>2019</v>
      </c>
      <c r="F2042">
        <f>HYPERLINK("http://pbs.twimg.com/media/DcPkt-9W4AAMG9t.jpg", "http://pbs.twimg.com/media/DcPkt-9W4AAMG9t.jpg")</f>
        <v/>
      </c>
      <c r="G2042" t="s"/>
      <c r="H2042" t="s"/>
      <c r="I2042" t="s"/>
      <c r="J2042" t="n">
        <v>0</v>
      </c>
      <c r="K2042" t="n">
        <v>0</v>
      </c>
      <c r="L2042" t="n">
        <v>1</v>
      </c>
      <c r="M2042" t="n">
        <v>0</v>
      </c>
    </row>
    <row r="2043" spans="1:13">
      <c r="A2043" s="1">
        <f>HYPERLINK("http://www.twitter.com/NathanBLawrence/status/991887479669252097", "991887479669252097")</f>
        <v/>
      </c>
      <c r="B2043" s="2" t="n">
        <v>43223.1594675926</v>
      </c>
      <c r="C2043" t="n">
        <v>0</v>
      </c>
      <c r="D2043" t="n">
        <v>0</v>
      </c>
      <c r="E2043" t="s">
        <v>2020</v>
      </c>
      <c r="F2043" t="s"/>
      <c r="G2043" t="s"/>
      <c r="H2043" t="s"/>
      <c r="I2043" t="s"/>
      <c r="J2043" t="n">
        <v>0</v>
      </c>
      <c r="K2043" t="n">
        <v>0</v>
      </c>
      <c r="L2043" t="n">
        <v>1</v>
      </c>
      <c r="M2043" t="n">
        <v>0</v>
      </c>
    </row>
    <row r="2044" spans="1:13">
      <c r="A2044" s="1">
        <f>HYPERLINK("http://www.twitter.com/NathanBLawrence/status/991884532461776896", "991884532461776896")</f>
        <v/>
      </c>
      <c r="B2044" s="2" t="n">
        <v>43223.15133101852</v>
      </c>
      <c r="C2044" t="n">
        <v>6</v>
      </c>
      <c r="D2044" t="n">
        <v>3</v>
      </c>
      <c r="E2044" t="s">
        <v>2021</v>
      </c>
      <c r="F2044" t="s"/>
      <c r="G2044" t="s"/>
      <c r="H2044" t="s"/>
      <c r="I2044" t="s"/>
      <c r="J2044" t="n">
        <v>0.0956</v>
      </c>
      <c r="K2044" t="n">
        <v>0.116</v>
      </c>
      <c r="L2044" t="n">
        <v>0.751</v>
      </c>
      <c r="M2044" t="n">
        <v>0.133</v>
      </c>
    </row>
    <row r="2045" spans="1:13">
      <c r="A2045" s="1">
        <f>HYPERLINK("http://www.twitter.com/NathanBLawrence/status/991884425678983170", "991884425678983170")</f>
        <v/>
      </c>
      <c r="B2045" s="2" t="n">
        <v>43223.15104166666</v>
      </c>
      <c r="C2045" t="n">
        <v>1</v>
      </c>
      <c r="D2045" t="n">
        <v>0</v>
      </c>
      <c r="E2045" t="s">
        <v>2022</v>
      </c>
      <c r="F2045" t="s"/>
      <c r="G2045" t="s"/>
      <c r="H2045" t="s"/>
      <c r="I2045" t="s"/>
      <c r="J2045" t="n">
        <v>0.4588</v>
      </c>
      <c r="K2045" t="n">
        <v>0</v>
      </c>
      <c r="L2045" t="n">
        <v>0.4</v>
      </c>
      <c r="M2045" t="n">
        <v>0.6</v>
      </c>
    </row>
    <row r="2046" spans="1:13">
      <c r="A2046" s="1">
        <f>HYPERLINK("http://www.twitter.com/NathanBLawrence/status/991884327150587904", "991884327150587904")</f>
        <v/>
      </c>
      <c r="B2046" s="2" t="n">
        <v>43223.15076388889</v>
      </c>
      <c r="C2046" t="n">
        <v>0</v>
      </c>
      <c r="D2046" t="n">
        <v>525</v>
      </c>
      <c r="E2046" t="s">
        <v>2023</v>
      </c>
      <c r="F2046" t="s"/>
      <c r="G2046" t="s"/>
      <c r="H2046" t="s"/>
      <c r="I2046" t="s"/>
      <c r="J2046" t="n">
        <v>-0.3875</v>
      </c>
      <c r="K2046" t="n">
        <v>0.396</v>
      </c>
      <c r="L2046" t="n">
        <v>0.604</v>
      </c>
      <c r="M2046" t="n">
        <v>0</v>
      </c>
    </row>
    <row r="2047" spans="1:13">
      <c r="A2047" s="1">
        <f>HYPERLINK("http://www.twitter.com/NathanBLawrence/status/991865745096265728", "991865745096265728")</f>
        <v/>
      </c>
      <c r="B2047" s="2" t="n">
        <v>43223.09949074074</v>
      </c>
      <c r="C2047" t="n">
        <v>0</v>
      </c>
      <c r="D2047" t="n">
        <v>7</v>
      </c>
      <c r="E2047" t="s">
        <v>2024</v>
      </c>
      <c r="F2047" t="s"/>
      <c r="G2047" t="s"/>
      <c r="H2047" t="s"/>
      <c r="I2047" t="s"/>
      <c r="J2047" t="n">
        <v>-0.1531</v>
      </c>
      <c r="K2047" t="n">
        <v>0.11</v>
      </c>
      <c r="L2047" t="n">
        <v>0.89</v>
      </c>
      <c r="M2047" t="n">
        <v>0</v>
      </c>
    </row>
    <row r="2048" spans="1:13">
      <c r="A2048" s="1">
        <f>HYPERLINK("http://www.twitter.com/NathanBLawrence/status/991865717187403777", "991865717187403777")</f>
        <v/>
      </c>
      <c r="B2048" s="2" t="n">
        <v>43223.09940972222</v>
      </c>
      <c r="C2048" t="n">
        <v>0</v>
      </c>
      <c r="D2048" t="n">
        <v>737</v>
      </c>
      <c r="E2048" t="s">
        <v>2025</v>
      </c>
      <c r="F2048">
        <f>HYPERLINK("http://pbs.twimg.com/media/DcJVL1MU8AAkTYa.jpg", "http://pbs.twimg.com/media/DcJVL1MU8AAkTYa.jpg")</f>
        <v/>
      </c>
      <c r="G2048" t="s"/>
      <c r="H2048" t="s"/>
      <c r="I2048" t="s"/>
      <c r="J2048" t="n">
        <v>-0.508</v>
      </c>
      <c r="K2048" t="n">
        <v>0.154</v>
      </c>
      <c r="L2048" t="n">
        <v>0.846</v>
      </c>
      <c r="M2048" t="n">
        <v>0</v>
      </c>
    </row>
    <row r="2049" spans="1:13">
      <c r="A2049" s="1">
        <f>HYPERLINK("http://www.twitter.com/NathanBLawrence/status/991865496717979650", "991865496717979650")</f>
        <v/>
      </c>
      <c r="B2049" s="2" t="n">
        <v>43223.09880787037</v>
      </c>
      <c r="C2049" t="n">
        <v>0</v>
      </c>
      <c r="D2049" t="n">
        <v>14</v>
      </c>
      <c r="E2049" t="s">
        <v>2026</v>
      </c>
      <c r="F2049">
        <f>HYPERLINK("http://pbs.twimg.com/media/DcPQIXRXcAAZS5-.jpg", "http://pbs.twimg.com/media/DcPQIXRXcAAZS5-.jpg")</f>
        <v/>
      </c>
      <c r="G2049" t="s"/>
      <c r="H2049" t="s"/>
      <c r="I2049" t="s"/>
      <c r="J2049" t="n">
        <v>0.6659</v>
      </c>
      <c r="K2049" t="n">
        <v>0.07199999999999999</v>
      </c>
      <c r="L2049" t="n">
        <v>0.7</v>
      </c>
      <c r="M2049" t="n">
        <v>0.228</v>
      </c>
    </row>
    <row r="2050" spans="1:13">
      <c r="A2050" s="1">
        <f>HYPERLINK("http://www.twitter.com/NathanBLawrence/status/991865191662063621", "991865191662063621")</f>
        <v/>
      </c>
      <c r="B2050" s="2" t="n">
        <v>43223.09796296297</v>
      </c>
      <c r="C2050" t="n">
        <v>17</v>
      </c>
      <c r="D2050" t="n">
        <v>14</v>
      </c>
      <c r="E2050" t="s">
        <v>2027</v>
      </c>
      <c r="F2050">
        <f>HYPERLINK("http://pbs.twimg.com/media/DcPQIXRXcAAZS5-.jpg", "http://pbs.twimg.com/media/DcPQIXRXcAAZS5-.jpg")</f>
        <v/>
      </c>
      <c r="G2050" t="s"/>
      <c r="H2050" t="s"/>
      <c r="I2050" t="s"/>
      <c r="J2050" t="n">
        <v>0.9176</v>
      </c>
      <c r="K2050" t="n">
        <v>0.037</v>
      </c>
      <c r="L2050" t="n">
        <v>0.727</v>
      </c>
      <c r="M2050" t="n">
        <v>0.236</v>
      </c>
    </row>
    <row r="2051" spans="1:13">
      <c r="A2051" s="1">
        <f>HYPERLINK("http://www.twitter.com/NathanBLawrence/status/991858849073238016", "991858849073238016")</f>
        <v/>
      </c>
      <c r="B2051" s="2" t="n">
        <v>43223.08046296296</v>
      </c>
      <c r="C2051" t="n">
        <v>0</v>
      </c>
      <c r="D2051" t="n">
        <v>31462</v>
      </c>
      <c r="E2051" t="s">
        <v>2028</v>
      </c>
      <c r="F2051" t="s"/>
      <c r="G2051" t="s"/>
      <c r="H2051" t="s"/>
      <c r="I2051" t="s"/>
      <c r="J2051" t="n">
        <v>-0.3736</v>
      </c>
      <c r="K2051" t="n">
        <v>0.118</v>
      </c>
      <c r="L2051" t="n">
        <v>0.828</v>
      </c>
      <c r="M2051" t="n">
        <v>0.054</v>
      </c>
    </row>
    <row r="2052" spans="1:13">
      <c r="A2052" s="1">
        <f>HYPERLINK("http://www.twitter.com/NathanBLawrence/status/991858813014769664", "991858813014769664")</f>
        <v/>
      </c>
      <c r="B2052" s="2" t="n">
        <v>43223.08035879629</v>
      </c>
      <c r="C2052" t="n">
        <v>0</v>
      </c>
      <c r="D2052" t="n">
        <v>19895</v>
      </c>
      <c r="E2052" t="s">
        <v>2029</v>
      </c>
      <c r="F2052" t="s"/>
      <c r="G2052" t="s"/>
      <c r="H2052" t="s"/>
      <c r="I2052" t="s"/>
      <c r="J2052" t="n">
        <v>0</v>
      </c>
      <c r="K2052" t="n">
        <v>0</v>
      </c>
      <c r="L2052" t="n">
        <v>1</v>
      </c>
      <c r="M2052" t="n">
        <v>0</v>
      </c>
    </row>
    <row r="2053" spans="1:13">
      <c r="A2053" s="1">
        <f>HYPERLINK("http://www.twitter.com/NathanBLawrence/status/991858791657496581", "991858791657496581")</f>
        <v/>
      </c>
      <c r="B2053" s="2" t="n">
        <v>43223.08030092593</v>
      </c>
      <c r="C2053" t="n">
        <v>0</v>
      </c>
      <c r="D2053" t="n">
        <v>23218</v>
      </c>
      <c r="E2053" t="s">
        <v>2030</v>
      </c>
      <c r="F2053" t="s"/>
      <c r="G2053" t="s"/>
      <c r="H2053" t="s"/>
      <c r="I2053" t="s"/>
      <c r="J2053" t="n">
        <v>0.2263</v>
      </c>
      <c r="K2053" t="n">
        <v>0.074</v>
      </c>
      <c r="L2053" t="n">
        <v>0.8169999999999999</v>
      </c>
      <c r="M2053" t="n">
        <v>0.109</v>
      </c>
    </row>
    <row r="2054" spans="1:13">
      <c r="A2054" s="1">
        <f>HYPERLINK("http://www.twitter.com/NathanBLawrence/status/991858775215820800", "991858775215820800")</f>
        <v/>
      </c>
      <c r="B2054" s="2" t="n">
        <v>43223.08025462963</v>
      </c>
      <c r="C2054" t="n">
        <v>0</v>
      </c>
      <c r="D2054" t="n">
        <v>23137</v>
      </c>
      <c r="E2054" t="s">
        <v>2031</v>
      </c>
      <c r="F2054" t="s"/>
      <c r="G2054" t="s"/>
      <c r="H2054" t="s"/>
      <c r="I2054" t="s"/>
      <c r="J2054" t="n">
        <v>0</v>
      </c>
      <c r="K2054" t="n">
        <v>0</v>
      </c>
      <c r="L2054" t="n">
        <v>1</v>
      </c>
      <c r="M2054" t="n">
        <v>0</v>
      </c>
    </row>
    <row r="2055" spans="1:13">
      <c r="A2055" s="1">
        <f>HYPERLINK("http://www.twitter.com/NathanBLawrence/status/991858758472077312", "991858758472077312")</f>
        <v/>
      </c>
      <c r="B2055" s="2" t="n">
        <v>43223.08020833333</v>
      </c>
      <c r="C2055" t="n">
        <v>0</v>
      </c>
      <c r="D2055" t="n">
        <v>1959</v>
      </c>
      <c r="E2055" t="s">
        <v>2032</v>
      </c>
      <c r="F2055">
        <f>HYPERLINK("https://video.twimg.com/amplify_video/991852515602903045/vid/1280x720/zX_peV10aUm-XxPT.mp4?tag=2", "https://video.twimg.com/amplify_video/991852515602903045/vid/1280x720/zX_peV10aUm-XxPT.mp4?tag=2")</f>
        <v/>
      </c>
      <c r="G2055" t="s"/>
      <c r="H2055" t="s"/>
      <c r="I2055" t="s"/>
      <c r="J2055" t="n">
        <v>-0.5574</v>
      </c>
      <c r="K2055" t="n">
        <v>0.277</v>
      </c>
      <c r="L2055" t="n">
        <v>0.723</v>
      </c>
      <c r="M2055" t="n">
        <v>0</v>
      </c>
    </row>
    <row r="2056" spans="1:13">
      <c r="A2056" s="1">
        <f>HYPERLINK("http://www.twitter.com/NathanBLawrence/status/991858694861279233", "991858694861279233")</f>
        <v/>
      </c>
      <c r="B2056" s="2" t="n">
        <v>43223.08003472222</v>
      </c>
      <c r="C2056" t="n">
        <v>0</v>
      </c>
      <c r="D2056" t="n">
        <v>1909</v>
      </c>
      <c r="E2056" t="s">
        <v>2033</v>
      </c>
      <c r="F2056" t="s"/>
      <c r="G2056" t="s"/>
      <c r="H2056" t="s"/>
      <c r="I2056" t="s"/>
      <c r="J2056" t="n">
        <v>0.1531</v>
      </c>
      <c r="K2056" t="n">
        <v>0.076</v>
      </c>
      <c r="L2056" t="n">
        <v>0.827</v>
      </c>
      <c r="M2056" t="n">
        <v>0.097</v>
      </c>
    </row>
    <row r="2057" spans="1:13">
      <c r="A2057" s="1">
        <f>HYPERLINK("http://www.twitter.com/NathanBLawrence/status/991857305066065920", "991857305066065920")</f>
        <v/>
      </c>
      <c r="B2057" s="2" t="n">
        <v>43223.07620370371</v>
      </c>
      <c r="C2057" t="n">
        <v>2</v>
      </c>
      <c r="D2057" t="n">
        <v>0</v>
      </c>
      <c r="E2057" t="s">
        <v>2034</v>
      </c>
      <c r="F2057" t="s"/>
      <c r="G2057" t="s"/>
      <c r="H2057" t="s"/>
      <c r="I2057" t="s"/>
      <c r="J2057" t="n">
        <v>-0.5106000000000001</v>
      </c>
      <c r="K2057" t="n">
        <v>0.137</v>
      </c>
      <c r="L2057" t="n">
        <v>0.804</v>
      </c>
      <c r="M2057" t="n">
        <v>0.059</v>
      </c>
    </row>
    <row r="2058" spans="1:13">
      <c r="A2058" s="1">
        <f>HYPERLINK("http://www.twitter.com/NathanBLawrence/status/991856003674247173", "991856003674247173")</f>
        <v/>
      </c>
      <c r="B2058" s="2" t="n">
        <v>43223.07260416666</v>
      </c>
      <c r="C2058" t="n">
        <v>0</v>
      </c>
      <c r="D2058" t="n">
        <v>1</v>
      </c>
      <c r="E2058" t="s">
        <v>2035</v>
      </c>
      <c r="F2058" t="s"/>
      <c r="G2058" t="s"/>
      <c r="H2058" t="s"/>
      <c r="I2058" t="s"/>
      <c r="J2058" t="n">
        <v>-0.4574</v>
      </c>
      <c r="K2058" t="n">
        <v>0.2</v>
      </c>
      <c r="L2058" t="n">
        <v>0.8</v>
      </c>
      <c r="M2058" t="n">
        <v>0</v>
      </c>
    </row>
    <row r="2059" spans="1:13">
      <c r="A2059" s="1">
        <f>HYPERLINK("http://www.twitter.com/NathanBLawrence/status/991855940063383553", "991855940063383553")</f>
        <v/>
      </c>
      <c r="B2059" s="2" t="n">
        <v>43223.07243055556</v>
      </c>
      <c r="C2059" t="n">
        <v>1</v>
      </c>
      <c r="D2059" t="n">
        <v>0</v>
      </c>
      <c r="E2059" t="s">
        <v>2036</v>
      </c>
      <c r="F2059" t="s"/>
      <c r="G2059" t="s"/>
      <c r="H2059" t="s"/>
      <c r="I2059" t="s"/>
      <c r="J2059" t="n">
        <v>-0.765</v>
      </c>
      <c r="K2059" t="n">
        <v>0.125</v>
      </c>
      <c r="L2059" t="n">
        <v>0.875</v>
      </c>
      <c r="M2059" t="n">
        <v>0</v>
      </c>
    </row>
    <row r="2060" spans="1:13">
      <c r="A2060" s="1">
        <f>HYPERLINK("http://www.twitter.com/NathanBLawrence/status/991855291779223552", "991855291779223552")</f>
        <v/>
      </c>
      <c r="B2060" s="2" t="n">
        <v>43223.07063657408</v>
      </c>
      <c r="C2060" t="n">
        <v>0</v>
      </c>
      <c r="D2060" t="n">
        <v>14</v>
      </c>
      <c r="E2060" t="s">
        <v>2037</v>
      </c>
      <c r="F2060" t="s"/>
      <c r="G2060" t="s"/>
      <c r="H2060" t="s"/>
      <c r="I2060" t="s"/>
      <c r="J2060" t="n">
        <v>0</v>
      </c>
      <c r="K2060" t="n">
        <v>0</v>
      </c>
      <c r="L2060" t="n">
        <v>1</v>
      </c>
      <c r="M2060" t="n">
        <v>0</v>
      </c>
    </row>
    <row r="2061" spans="1:13">
      <c r="A2061" s="1">
        <f>HYPERLINK("http://www.twitter.com/NathanBLawrence/status/991851901758173184", "991851901758173184")</f>
        <v/>
      </c>
      <c r="B2061" s="2" t="n">
        <v>43223.06128472222</v>
      </c>
      <c r="C2061" t="n">
        <v>0</v>
      </c>
      <c r="D2061" t="n">
        <v>5</v>
      </c>
      <c r="E2061" t="s">
        <v>2038</v>
      </c>
      <c r="F2061" t="s"/>
      <c r="G2061" t="s"/>
      <c r="H2061" t="s"/>
      <c r="I2061" t="s"/>
      <c r="J2061" t="n">
        <v>0.4215</v>
      </c>
      <c r="K2061" t="n">
        <v>0</v>
      </c>
      <c r="L2061" t="n">
        <v>0.887</v>
      </c>
      <c r="M2061" t="n">
        <v>0.113</v>
      </c>
    </row>
    <row r="2062" spans="1:13">
      <c r="A2062" s="1">
        <f>HYPERLINK("http://www.twitter.com/NathanBLawrence/status/991837765095616512", "991837765095616512")</f>
        <v/>
      </c>
      <c r="B2062" s="2" t="n">
        <v>43223.02228009259</v>
      </c>
      <c r="C2062" t="n">
        <v>0</v>
      </c>
      <c r="D2062" t="n">
        <v>5</v>
      </c>
      <c r="E2062" t="s">
        <v>2039</v>
      </c>
      <c r="F2062" t="s"/>
      <c r="G2062" t="s"/>
      <c r="H2062" t="s"/>
      <c r="I2062" t="s"/>
      <c r="J2062" t="n">
        <v>-0.4404</v>
      </c>
      <c r="K2062" t="n">
        <v>0.187</v>
      </c>
      <c r="L2062" t="n">
        <v>0.727</v>
      </c>
      <c r="M2062" t="n">
        <v>0.08699999999999999</v>
      </c>
    </row>
    <row r="2063" spans="1:13">
      <c r="A2063" s="1">
        <f>HYPERLINK("http://www.twitter.com/NathanBLawrence/status/991837684946669569", "991837684946669569")</f>
        <v/>
      </c>
      <c r="B2063" s="2" t="n">
        <v>43223.02206018518</v>
      </c>
      <c r="C2063" t="n">
        <v>0</v>
      </c>
      <c r="D2063" t="n">
        <v>5</v>
      </c>
      <c r="E2063" t="s">
        <v>2040</v>
      </c>
      <c r="F2063" t="s"/>
      <c r="G2063" t="s"/>
      <c r="H2063" t="s"/>
      <c r="I2063" t="s"/>
      <c r="J2063" t="n">
        <v>0</v>
      </c>
      <c r="K2063" t="n">
        <v>0</v>
      </c>
      <c r="L2063" t="n">
        <v>1</v>
      </c>
      <c r="M2063" t="n">
        <v>0</v>
      </c>
    </row>
    <row r="2064" spans="1:13">
      <c r="A2064" s="1">
        <f>HYPERLINK("http://www.twitter.com/NathanBLawrence/status/991837656802906112", "991837656802906112")</f>
        <v/>
      </c>
      <c r="B2064" s="2" t="n">
        <v>43223.02197916667</v>
      </c>
      <c r="C2064" t="n">
        <v>0</v>
      </c>
      <c r="D2064" t="n">
        <v>10</v>
      </c>
      <c r="E2064" t="s">
        <v>2041</v>
      </c>
      <c r="F2064" t="s"/>
      <c r="G2064" t="s"/>
      <c r="H2064" t="s"/>
      <c r="I2064" t="s"/>
      <c r="J2064" t="n">
        <v>0</v>
      </c>
      <c r="K2064" t="n">
        <v>0</v>
      </c>
      <c r="L2064" t="n">
        <v>1</v>
      </c>
      <c r="M2064" t="n">
        <v>0</v>
      </c>
    </row>
    <row r="2065" spans="1:13">
      <c r="A2065" s="1">
        <f>HYPERLINK("http://www.twitter.com/NathanBLawrence/status/991837626872233984", "991837626872233984")</f>
        <v/>
      </c>
      <c r="B2065" s="2" t="n">
        <v>43223.02189814814</v>
      </c>
      <c r="C2065" t="n">
        <v>0</v>
      </c>
      <c r="D2065" t="n">
        <v>5</v>
      </c>
      <c r="E2065" t="s">
        <v>2042</v>
      </c>
      <c r="F2065" t="s"/>
      <c r="G2065" t="s"/>
      <c r="H2065" t="s"/>
      <c r="I2065" t="s"/>
      <c r="J2065" t="n">
        <v>0.7846</v>
      </c>
      <c r="K2065" t="n">
        <v>0</v>
      </c>
      <c r="L2065" t="n">
        <v>0.67</v>
      </c>
      <c r="M2065" t="n">
        <v>0.33</v>
      </c>
    </row>
    <row r="2066" spans="1:13">
      <c r="A2066" s="1">
        <f>HYPERLINK("http://www.twitter.com/NathanBLawrence/status/991837552851259395", "991837552851259395")</f>
        <v/>
      </c>
      <c r="B2066" s="2" t="n">
        <v>43223.02168981481</v>
      </c>
      <c r="C2066" t="n">
        <v>0</v>
      </c>
      <c r="D2066" t="n">
        <v>9669</v>
      </c>
      <c r="E2066" t="s">
        <v>2043</v>
      </c>
      <c r="F2066" t="s"/>
      <c r="G2066" t="s"/>
      <c r="H2066" t="s"/>
      <c r="I2066" t="s"/>
      <c r="J2066" t="n">
        <v>0.9623</v>
      </c>
      <c r="K2066" t="n">
        <v>0</v>
      </c>
      <c r="L2066" t="n">
        <v>0.448</v>
      </c>
      <c r="M2066" t="n">
        <v>0.552</v>
      </c>
    </row>
    <row r="2067" spans="1:13">
      <c r="A2067" s="1">
        <f>HYPERLINK("http://www.twitter.com/NathanBLawrence/status/991835691624607744", "991835691624607744")</f>
        <v/>
      </c>
      <c r="B2067" s="2" t="n">
        <v>43223.01655092592</v>
      </c>
      <c r="C2067" t="n">
        <v>0</v>
      </c>
      <c r="D2067" t="n">
        <v>202</v>
      </c>
      <c r="E2067" t="s">
        <v>2044</v>
      </c>
      <c r="F2067" t="s"/>
      <c r="G2067" t="s"/>
      <c r="H2067" t="s"/>
      <c r="I2067" t="s"/>
      <c r="J2067" t="n">
        <v>-0.6966</v>
      </c>
      <c r="K2067" t="n">
        <v>0.2</v>
      </c>
      <c r="L2067" t="n">
        <v>0.8</v>
      </c>
      <c r="M2067" t="n">
        <v>0</v>
      </c>
    </row>
    <row r="2068" spans="1:13">
      <c r="A2068" s="1">
        <f>HYPERLINK("http://www.twitter.com/NathanBLawrence/status/991835677854765056", "991835677854765056")</f>
        <v/>
      </c>
      <c r="B2068" s="2" t="n">
        <v>43223.0165162037</v>
      </c>
      <c r="C2068" t="n">
        <v>0</v>
      </c>
      <c r="D2068" t="n">
        <v>88</v>
      </c>
      <c r="E2068" t="s">
        <v>2045</v>
      </c>
      <c r="F2068">
        <f>HYPERLINK("http://pbs.twimg.com/media/DcMYKkqVAAEhJh-.jpg", "http://pbs.twimg.com/media/DcMYKkqVAAEhJh-.jpg")</f>
        <v/>
      </c>
      <c r="G2068">
        <f>HYPERLINK("http://pbs.twimg.com/media/DcMYKk5VQAE8gdk.jpg", "http://pbs.twimg.com/media/DcMYKk5VQAE8gdk.jpg")</f>
        <v/>
      </c>
      <c r="H2068">
        <f>HYPERLINK("http://pbs.twimg.com/media/DcMYKkvU8AAx1MR.jpg", "http://pbs.twimg.com/media/DcMYKkvU8AAx1MR.jpg")</f>
        <v/>
      </c>
      <c r="I2068">
        <f>HYPERLINK("http://pbs.twimg.com/media/DcMYKkxVAAA66Pu.jpg", "http://pbs.twimg.com/media/DcMYKkxVAAA66Pu.jpg")</f>
        <v/>
      </c>
      <c r="J2068" t="n">
        <v>0</v>
      </c>
      <c r="K2068" t="n">
        <v>0</v>
      </c>
      <c r="L2068" t="n">
        <v>1</v>
      </c>
      <c r="M2068" t="n">
        <v>0</v>
      </c>
    </row>
    <row r="2069" spans="1:13">
      <c r="A2069" s="1">
        <f>HYPERLINK("http://www.twitter.com/NathanBLawrence/status/991835662734282752", "991835662734282752")</f>
        <v/>
      </c>
      <c r="B2069" s="2" t="n">
        <v>43223.01648148148</v>
      </c>
      <c r="C2069" t="n">
        <v>0</v>
      </c>
      <c r="D2069" t="n">
        <v>7</v>
      </c>
      <c r="E2069" t="s">
        <v>2046</v>
      </c>
      <c r="F2069" t="s"/>
      <c r="G2069" t="s"/>
      <c r="H2069" t="s"/>
      <c r="I2069" t="s"/>
      <c r="J2069" t="n">
        <v>0.8512999999999999</v>
      </c>
      <c r="K2069" t="n">
        <v>0.097</v>
      </c>
      <c r="L2069" t="n">
        <v>0.531</v>
      </c>
      <c r="M2069" t="n">
        <v>0.372</v>
      </c>
    </row>
    <row r="2070" spans="1:13">
      <c r="A2070" s="1">
        <f>HYPERLINK("http://www.twitter.com/NathanBLawrence/status/991835605704290304", "991835605704290304")</f>
        <v/>
      </c>
      <c r="B2070" s="2" t="n">
        <v>43223.01631944445</v>
      </c>
      <c r="C2070" t="n">
        <v>0</v>
      </c>
      <c r="D2070" t="n">
        <v>7</v>
      </c>
      <c r="E2070" t="s">
        <v>2047</v>
      </c>
      <c r="F2070" t="s"/>
      <c r="G2070" t="s"/>
      <c r="H2070" t="s"/>
      <c r="I2070" t="s"/>
      <c r="J2070" t="n">
        <v>0</v>
      </c>
      <c r="K2070" t="n">
        <v>0</v>
      </c>
      <c r="L2070" t="n">
        <v>1</v>
      </c>
      <c r="M2070" t="n">
        <v>0</v>
      </c>
    </row>
    <row r="2071" spans="1:13">
      <c r="A2071" s="1">
        <f>HYPERLINK("http://www.twitter.com/NathanBLawrence/status/991831571907989504", "991831571907989504")</f>
        <v/>
      </c>
      <c r="B2071" s="2" t="n">
        <v>43223.00518518518</v>
      </c>
      <c r="C2071" t="n">
        <v>3</v>
      </c>
      <c r="D2071" t="n">
        <v>0</v>
      </c>
      <c r="E2071" t="s">
        <v>2048</v>
      </c>
      <c r="F2071" t="s"/>
      <c r="G2071" t="s"/>
      <c r="H2071" t="s"/>
      <c r="I2071" t="s"/>
      <c r="J2071" t="n">
        <v>0.4215</v>
      </c>
      <c r="K2071" t="n">
        <v>0</v>
      </c>
      <c r="L2071" t="n">
        <v>0.851</v>
      </c>
      <c r="M2071" t="n">
        <v>0.149</v>
      </c>
    </row>
    <row r="2072" spans="1:13">
      <c r="A2072" s="1">
        <f>HYPERLINK("http://www.twitter.com/NathanBLawrence/status/991831353321775104", "991831353321775104")</f>
        <v/>
      </c>
      <c r="B2072" s="2" t="n">
        <v>43223.00458333334</v>
      </c>
      <c r="C2072" t="n">
        <v>1</v>
      </c>
      <c r="D2072" t="n">
        <v>0</v>
      </c>
      <c r="E2072" t="s">
        <v>2049</v>
      </c>
      <c r="F2072" t="s"/>
      <c r="G2072" t="s"/>
      <c r="H2072" t="s"/>
      <c r="I2072" t="s"/>
      <c r="J2072" t="n">
        <v>-0.4404</v>
      </c>
      <c r="K2072" t="n">
        <v>0.132</v>
      </c>
      <c r="L2072" t="n">
        <v>0.868</v>
      </c>
      <c r="M2072" t="n">
        <v>0</v>
      </c>
    </row>
    <row r="2073" spans="1:13">
      <c r="A2073" s="1">
        <f>HYPERLINK("http://www.twitter.com/NathanBLawrence/status/991831168797601792", "991831168797601792")</f>
        <v/>
      </c>
      <c r="B2073" s="2" t="n">
        <v>43223.00407407407</v>
      </c>
      <c r="C2073" t="n">
        <v>0</v>
      </c>
      <c r="D2073" t="n">
        <v>4</v>
      </c>
      <c r="E2073" t="s">
        <v>2050</v>
      </c>
      <c r="F2073" t="s"/>
      <c r="G2073" t="s"/>
      <c r="H2073" t="s"/>
      <c r="I2073" t="s"/>
      <c r="J2073" t="n">
        <v>0.8625</v>
      </c>
      <c r="K2073" t="n">
        <v>0</v>
      </c>
      <c r="L2073" t="n">
        <v>0.652</v>
      </c>
      <c r="M2073" t="n">
        <v>0.348</v>
      </c>
    </row>
    <row r="2074" spans="1:13">
      <c r="A2074" s="1">
        <f>HYPERLINK("http://www.twitter.com/NathanBLawrence/status/991831141324939270", "991831141324939270")</f>
        <v/>
      </c>
      <c r="B2074" s="2" t="n">
        <v>43223.00400462963</v>
      </c>
      <c r="C2074" t="n">
        <v>0</v>
      </c>
      <c r="D2074" t="n">
        <v>1</v>
      </c>
      <c r="E2074" t="s">
        <v>2051</v>
      </c>
      <c r="F2074" t="s"/>
      <c r="G2074" t="s"/>
      <c r="H2074" t="s"/>
      <c r="I2074" t="s"/>
      <c r="J2074" t="n">
        <v>-0.3612</v>
      </c>
      <c r="K2074" t="n">
        <v>0.098</v>
      </c>
      <c r="L2074" t="n">
        <v>0.902</v>
      </c>
      <c r="M2074" t="n">
        <v>0</v>
      </c>
    </row>
    <row r="2075" spans="1:13">
      <c r="A2075" s="1">
        <f>HYPERLINK("http://www.twitter.com/NathanBLawrence/status/991831130377805825", "991831130377805825")</f>
        <v/>
      </c>
      <c r="B2075" s="2" t="n">
        <v>43223.0039699074</v>
      </c>
      <c r="C2075" t="n">
        <v>0</v>
      </c>
      <c r="D2075" t="n">
        <v>5</v>
      </c>
      <c r="E2075" t="s">
        <v>2052</v>
      </c>
      <c r="F2075" t="s"/>
      <c r="G2075" t="s"/>
      <c r="H2075" t="s"/>
      <c r="I2075" t="s"/>
      <c r="J2075" t="n">
        <v>-0.5733</v>
      </c>
      <c r="K2075" t="n">
        <v>0.174</v>
      </c>
      <c r="L2075" t="n">
        <v>0.754</v>
      </c>
      <c r="M2075" t="n">
        <v>0.07199999999999999</v>
      </c>
    </row>
    <row r="2076" spans="1:13">
      <c r="A2076" s="1">
        <f>HYPERLINK("http://www.twitter.com/NathanBLawrence/status/991831038807695360", "991831038807695360")</f>
        <v/>
      </c>
      <c r="B2076" s="2" t="n">
        <v>43223.00371527778</v>
      </c>
      <c r="C2076" t="n">
        <v>0</v>
      </c>
      <c r="D2076" t="n">
        <v>1</v>
      </c>
      <c r="E2076" t="s">
        <v>2053</v>
      </c>
      <c r="F2076" t="s"/>
      <c r="G2076" t="s"/>
      <c r="H2076" t="s"/>
      <c r="I2076" t="s"/>
      <c r="J2076" t="n">
        <v>0.7648</v>
      </c>
      <c r="K2076" t="n">
        <v>0</v>
      </c>
      <c r="L2076" t="n">
        <v>0.664</v>
      </c>
      <c r="M2076" t="n">
        <v>0.336</v>
      </c>
    </row>
    <row r="2077" spans="1:13">
      <c r="A2077" s="1">
        <f>HYPERLINK("http://www.twitter.com/NathanBLawrence/status/991830954481258496", "991830954481258496")</f>
        <v/>
      </c>
      <c r="B2077" s="2" t="n">
        <v>43223.0034837963</v>
      </c>
      <c r="C2077" t="n">
        <v>0</v>
      </c>
      <c r="D2077" t="n">
        <v>0</v>
      </c>
      <c r="E2077" t="s">
        <v>2054</v>
      </c>
      <c r="F2077" t="s"/>
      <c r="G2077" t="s"/>
      <c r="H2077" t="s"/>
      <c r="I2077" t="s"/>
      <c r="J2077" t="n">
        <v>0</v>
      </c>
      <c r="K2077" t="n">
        <v>0</v>
      </c>
      <c r="L2077" t="n">
        <v>1</v>
      </c>
      <c r="M2077" t="n">
        <v>0</v>
      </c>
    </row>
    <row r="2078" spans="1:13">
      <c r="A2078" s="1">
        <f>HYPERLINK("http://www.twitter.com/NathanBLawrence/status/991830854434476032", "991830854434476032")</f>
        <v/>
      </c>
      <c r="B2078" s="2" t="n">
        <v>43223.00320601852</v>
      </c>
      <c r="C2078" t="n">
        <v>0</v>
      </c>
      <c r="D2078" t="n">
        <v>1</v>
      </c>
      <c r="E2078" t="s">
        <v>2055</v>
      </c>
      <c r="F2078" t="s"/>
      <c r="G2078" t="s"/>
      <c r="H2078" t="s"/>
      <c r="I2078" t="s"/>
      <c r="J2078" t="n">
        <v>0</v>
      </c>
      <c r="K2078" t="n">
        <v>0</v>
      </c>
      <c r="L2078" t="n">
        <v>1</v>
      </c>
      <c r="M2078" t="n">
        <v>0</v>
      </c>
    </row>
    <row r="2079" spans="1:13">
      <c r="A2079" s="1">
        <f>HYPERLINK("http://www.twitter.com/NathanBLawrence/status/991830784289005568", "991830784289005568")</f>
        <v/>
      </c>
      <c r="B2079" s="2" t="n">
        <v>43223.00300925926</v>
      </c>
      <c r="C2079" t="n">
        <v>0</v>
      </c>
      <c r="D2079" t="n">
        <v>1</v>
      </c>
      <c r="E2079" t="s">
        <v>2056</v>
      </c>
      <c r="F2079" t="s"/>
      <c r="G2079" t="s"/>
      <c r="H2079" t="s"/>
      <c r="I2079" t="s"/>
      <c r="J2079" t="n">
        <v>-0.4995</v>
      </c>
      <c r="K2079" t="n">
        <v>0.145</v>
      </c>
      <c r="L2079" t="n">
        <v>0.855</v>
      </c>
      <c r="M2079" t="n">
        <v>0</v>
      </c>
    </row>
    <row r="2080" spans="1:13">
      <c r="A2080" s="1">
        <f>HYPERLINK("http://www.twitter.com/NathanBLawrence/status/991830773526335493", "991830773526335493")</f>
        <v/>
      </c>
      <c r="B2080" s="2" t="n">
        <v>43223.00298611111</v>
      </c>
      <c r="C2080" t="n">
        <v>0</v>
      </c>
      <c r="D2080" t="n">
        <v>11</v>
      </c>
      <c r="E2080" t="s">
        <v>2057</v>
      </c>
      <c r="F2080" t="s"/>
      <c r="G2080" t="s"/>
      <c r="H2080" t="s"/>
      <c r="I2080" t="s"/>
      <c r="J2080" t="n">
        <v>0</v>
      </c>
      <c r="K2080" t="n">
        <v>0</v>
      </c>
      <c r="L2080" t="n">
        <v>1</v>
      </c>
      <c r="M2080" t="n">
        <v>0</v>
      </c>
    </row>
    <row r="2081" spans="1:13">
      <c r="A2081" s="1">
        <f>HYPERLINK("http://www.twitter.com/NathanBLawrence/status/991830681356591105", "991830681356591105")</f>
        <v/>
      </c>
      <c r="B2081" s="2" t="n">
        <v>43223.00273148148</v>
      </c>
      <c r="C2081" t="n">
        <v>7</v>
      </c>
      <c r="D2081" t="n">
        <v>5</v>
      </c>
      <c r="E2081" t="s">
        <v>2058</v>
      </c>
      <c r="F2081" t="s"/>
      <c r="G2081" t="s"/>
      <c r="H2081" t="s"/>
      <c r="I2081" t="s"/>
      <c r="J2081" t="n">
        <v>0.4871</v>
      </c>
      <c r="K2081" t="n">
        <v>0</v>
      </c>
      <c r="L2081" t="n">
        <v>0.902</v>
      </c>
      <c r="M2081" t="n">
        <v>0.098</v>
      </c>
    </row>
    <row r="2082" spans="1:13">
      <c r="A2082" s="1">
        <f>HYPERLINK("http://www.twitter.com/NathanBLawrence/status/991830388665405443", "991830388665405443")</f>
        <v/>
      </c>
      <c r="B2082" s="2" t="n">
        <v>43223.00192129629</v>
      </c>
      <c r="C2082" t="n">
        <v>1</v>
      </c>
      <c r="D2082" t="n">
        <v>0</v>
      </c>
      <c r="E2082" t="s">
        <v>2059</v>
      </c>
      <c r="F2082" t="s"/>
      <c r="G2082" t="s"/>
      <c r="H2082" t="s"/>
      <c r="I2082" t="s"/>
      <c r="J2082" t="n">
        <v>0</v>
      </c>
      <c r="K2082" t="n">
        <v>0</v>
      </c>
      <c r="L2082" t="n">
        <v>1</v>
      </c>
      <c r="M2082" t="n">
        <v>0</v>
      </c>
    </row>
    <row r="2083" spans="1:13">
      <c r="A2083" s="1">
        <f>HYPERLINK("http://www.twitter.com/NathanBLawrence/status/991830295459528705", "991830295459528705")</f>
        <v/>
      </c>
      <c r="B2083" s="2" t="n">
        <v>43223.00166666666</v>
      </c>
      <c r="C2083" t="n">
        <v>0</v>
      </c>
      <c r="D2083" t="n">
        <v>3</v>
      </c>
      <c r="E2083" t="s">
        <v>1930</v>
      </c>
      <c r="F2083" t="s"/>
      <c r="G2083" t="s"/>
      <c r="H2083" t="s"/>
      <c r="I2083" t="s"/>
      <c r="J2083" t="n">
        <v>0</v>
      </c>
      <c r="K2083" t="n">
        <v>0</v>
      </c>
      <c r="L2083" t="n">
        <v>1</v>
      </c>
      <c r="M2083" t="n">
        <v>0</v>
      </c>
    </row>
    <row r="2084" spans="1:13">
      <c r="A2084" s="1">
        <f>HYPERLINK("http://www.twitter.com/NathanBLawrence/status/991830271623299079", "991830271623299079")</f>
        <v/>
      </c>
      <c r="B2084" s="2" t="n">
        <v>43223.00159722222</v>
      </c>
      <c r="C2084" t="n">
        <v>0</v>
      </c>
      <c r="D2084" t="n">
        <v>0</v>
      </c>
      <c r="E2084" t="s">
        <v>2060</v>
      </c>
      <c r="F2084" t="s"/>
      <c r="G2084" t="s"/>
      <c r="H2084" t="s"/>
      <c r="I2084" t="s"/>
      <c r="J2084" t="n">
        <v>0</v>
      </c>
      <c r="K2084" t="n">
        <v>0</v>
      </c>
      <c r="L2084" t="n">
        <v>1</v>
      </c>
      <c r="M2084" t="n">
        <v>0</v>
      </c>
    </row>
    <row r="2085" spans="1:13">
      <c r="A2085" s="1">
        <f>HYPERLINK("http://www.twitter.com/NathanBLawrence/status/991830146230439937", "991830146230439937")</f>
        <v/>
      </c>
      <c r="B2085" s="2" t="n">
        <v>43223.00125</v>
      </c>
      <c r="C2085" t="n">
        <v>0</v>
      </c>
      <c r="D2085" t="n">
        <v>7</v>
      </c>
      <c r="E2085" t="s">
        <v>2061</v>
      </c>
      <c r="F2085" t="s"/>
      <c r="G2085" t="s"/>
      <c r="H2085" t="s"/>
      <c r="I2085" t="s"/>
      <c r="J2085" t="n">
        <v>0.2732</v>
      </c>
      <c r="K2085" t="n">
        <v>0</v>
      </c>
      <c r="L2085" t="n">
        <v>0.89</v>
      </c>
      <c r="M2085" t="n">
        <v>0.11</v>
      </c>
    </row>
    <row r="2086" spans="1:13">
      <c r="A2086" s="1">
        <f>HYPERLINK("http://www.twitter.com/NathanBLawrence/status/991829962356350976", "991829962356350976")</f>
        <v/>
      </c>
      <c r="B2086" s="2" t="n">
        <v>43223.00074074074</v>
      </c>
      <c r="C2086" t="n">
        <v>0</v>
      </c>
      <c r="D2086" t="n">
        <v>13</v>
      </c>
      <c r="E2086" t="s">
        <v>2062</v>
      </c>
      <c r="F2086">
        <f>HYPERLINK("http://pbs.twimg.com/media/DcOR9D8WsAAB9ax.jpg", "http://pbs.twimg.com/media/DcOR9D8WsAAB9ax.jpg")</f>
        <v/>
      </c>
      <c r="G2086">
        <f>HYPERLINK("http://pbs.twimg.com/media/DcOR9HHWsAAmxLn.jpg", "http://pbs.twimg.com/media/DcOR9HHWsAAmxLn.jpg")</f>
        <v/>
      </c>
      <c r="H2086" t="s"/>
      <c r="I2086" t="s"/>
      <c r="J2086" t="n">
        <v>-0.34</v>
      </c>
      <c r="K2086" t="n">
        <v>0.112</v>
      </c>
      <c r="L2086" t="n">
        <v>0.888</v>
      </c>
      <c r="M2086" t="n">
        <v>0</v>
      </c>
    </row>
    <row r="2087" spans="1:13">
      <c r="A2087" s="1">
        <f>HYPERLINK("http://www.twitter.com/NathanBLawrence/status/991829944958373888", "991829944958373888")</f>
        <v/>
      </c>
      <c r="B2087" s="2" t="n">
        <v>43223.00069444445</v>
      </c>
      <c r="C2087" t="n">
        <v>0</v>
      </c>
      <c r="D2087" t="n">
        <v>7</v>
      </c>
      <c r="E2087" t="s">
        <v>2063</v>
      </c>
      <c r="F2087" t="s"/>
      <c r="G2087" t="s"/>
      <c r="H2087" t="s"/>
      <c r="I2087" t="s"/>
      <c r="J2087" t="n">
        <v>-0.5266999999999999</v>
      </c>
      <c r="K2087" t="n">
        <v>0.25</v>
      </c>
      <c r="L2087" t="n">
        <v>0.577</v>
      </c>
      <c r="M2087" t="n">
        <v>0.173</v>
      </c>
    </row>
    <row r="2088" spans="1:13">
      <c r="A2088" s="1">
        <f>HYPERLINK("http://www.twitter.com/NathanBLawrence/status/991829898632335361", "991829898632335361")</f>
        <v/>
      </c>
      <c r="B2088" s="2" t="n">
        <v>43223.00056712963</v>
      </c>
      <c r="C2088" t="n">
        <v>0</v>
      </c>
      <c r="D2088" t="n">
        <v>41</v>
      </c>
      <c r="E2088" t="s">
        <v>2064</v>
      </c>
      <c r="F2088" t="s"/>
      <c r="G2088" t="s"/>
      <c r="H2088" t="s"/>
      <c r="I2088" t="s"/>
      <c r="J2088" t="n">
        <v>-0.3612</v>
      </c>
      <c r="K2088" t="n">
        <v>0.135</v>
      </c>
      <c r="L2088" t="n">
        <v>0.865</v>
      </c>
      <c r="M2088" t="n">
        <v>0</v>
      </c>
    </row>
    <row r="2089" spans="1:13">
      <c r="A2089" s="1">
        <f>HYPERLINK("http://www.twitter.com/NathanBLawrence/status/991829673691832320", "991829673691832320")</f>
        <v/>
      </c>
      <c r="B2089" s="2" t="n">
        <v>43222.9999537037</v>
      </c>
      <c r="C2089" t="n">
        <v>0</v>
      </c>
      <c r="D2089" t="n">
        <v>5</v>
      </c>
      <c r="E2089" t="s">
        <v>2065</v>
      </c>
      <c r="F2089" t="s"/>
      <c r="G2089" t="s"/>
      <c r="H2089" t="s"/>
      <c r="I2089" t="s"/>
      <c r="J2089" t="n">
        <v>0</v>
      </c>
      <c r="K2089" t="n">
        <v>0</v>
      </c>
      <c r="L2089" t="n">
        <v>1</v>
      </c>
      <c r="M2089" t="n">
        <v>0</v>
      </c>
    </row>
    <row r="2090" spans="1:13">
      <c r="A2090" s="1">
        <f>HYPERLINK("http://www.twitter.com/NathanBLawrence/status/991821580304093184", "991821580304093184")</f>
        <v/>
      </c>
      <c r="B2090" s="2" t="n">
        <v>43222.97761574074</v>
      </c>
      <c r="C2090" t="n">
        <v>0</v>
      </c>
      <c r="D2090" t="n">
        <v>14</v>
      </c>
      <c r="E2090" t="s">
        <v>2066</v>
      </c>
      <c r="F2090" t="s"/>
      <c r="G2090" t="s"/>
      <c r="H2090" t="s"/>
      <c r="I2090" t="s"/>
      <c r="J2090" t="n">
        <v>0</v>
      </c>
      <c r="K2090" t="n">
        <v>0</v>
      </c>
      <c r="L2090" t="n">
        <v>1</v>
      </c>
      <c r="M2090" t="n">
        <v>0</v>
      </c>
    </row>
    <row r="2091" spans="1:13">
      <c r="A2091" s="1">
        <f>HYPERLINK("http://www.twitter.com/NathanBLawrence/status/991820110066323457", "991820110066323457")</f>
        <v/>
      </c>
      <c r="B2091" s="2" t="n">
        <v>43222.97356481481</v>
      </c>
      <c r="C2091" t="n">
        <v>2</v>
      </c>
      <c r="D2091" t="n">
        <v>0</v>
      </c>
      <c r="E2091" t="s">
        <v>2067</v>
      </c>
      <c r="F2091" t="s"/>
      <c r="G2091" t="s"/>
      <c r="H2091" t="s"/>
      <c r="I2091" t="s"/>
      <c r="J2091" t="n">
        <v>-0.6808</v>
      </c>
      <c r="K2091" t="n">
        <v>0.228</v>
      </c>
      <c r="L2091" t="n">
        <v>0.772</v>
      </c>
      <c r="M2091" t="n">
        <v>0</v>
      </c>
    </row>
    <row r="2092" spans="1:13">
      <c r="A2092" s="1">
        <f>HYPERLINK("http://www.twitter.com/NathanBLawrence/status/991819853198757888", "991819853198757888")</f>
        <v/>
      </c>
      <c r="B2092" s="2" t="n">
        <v>43222.97284722222</v>
      </c>
      <c r="C2092" t="n">
        <v>0</v>
      </c>
      <c r="D2092" t="n">
        <v>9</v>
      </c>
      <c r="E2092" t="s">
        <v>2068</v>
      </c>
      <c r="F2092" t="s"/>
      <c r="G2092" t="s"/>
      <c r="H2092" t="s"/>
      <c r="I2092" t="s"/>
      <c r="J2092" t="n">
        <v>-0.8415</v>
      </c>
      <c r="K2092" t="n">
        <v>0.277</v>
      </c>
      <c r="L2092" t="n">
        <v>0.723</v>
      </c>
      <c r="M2092" t="n">
        <v>0</v>
      </c>
    </row>
    <row r="2093" spans="1:13">
      <c r="A2093" s="1">
        <f>HYPERLINK("http://www.twitter.com/NathanBLawrence/status/991819833569370112", "991819833569370112")</f>
        <v/>
      </c>
      <c r="B2093" s="2" t="n">
        <v>43222.97280092593</v>
      </c>
      <c r="C2093" t="n">
        <v>0</v>
      </c>
      <c r="D2093" t="n">
        <v>11</v>
      </c>
      <c r="E2093" t="s">
        <v>2069</v>
      </c>
      <c r="F2093" t="s"/>
      <c r="G2093" t="s"/>
      <c r="H2093" t="s"/>
      <c r="I2093" t="s"/>
      <c r="J2093" t="n">
        <v>-0.0772</v>
      </c>
      <c r="K2093" t="n">
        <v>0.139</v>
      </c>
      <c r="L2093" t="n">
        <v>0.735</v>
      </c>
      <c r="M2093" t="n">
        <v>0.127</v>
      </c>
    </row>
    <row r="2094" spans="1:13">
      <c r="A2094" s="1">
        <f>HYPERLINK("http://www.twitter.com/NathanBLawrence/status/991818831541751808", "991818831541751808")</f>
        <v/>
      </c>
      <c r="B2094" s="2" t="n">
        <v>43222.97003472222</v>
      </c>
      <c r="C2094" t="n">
        <v>0</v>
      </c>
      <c r="D2094" t="n">
        <v>0</v>
      </c>
      <c r="E2094" t="s">
        <v>2070</v>
      </c>
      <c r="F2094" t="s"/>
      <c r="G2094" t="s"/>
      <c r="H2094" t="s"/>
      <c r="I2094" t="s"/>
      <c r="J2094" t="n">
        <v>0.0772</v>
      </c>
      <c r="K2094" t="n">
        <v>0</v>
      </c>
      <c r="L2094" t="n">
        <v>0.954</v>
      </c>
      <c r="M2094" t="n">
        <v>0.046</v>
      </c>
    </row>
    <row r="2095" spans="1:13">
      <c r="A2095" s="1">
        <f>HYPERLINK("http://www.twitter.com/NathanBLawrence/status/991818474593939458", "991818474593939458")</f>
        <v/>
      </c>
      <c r="B2095" s="2" t="n">
        <v>43222.96905092592</v>
      </c>
      <c r="C2095" t="n">
        <v>2</v>
      </c>
      <c r="D2095" t="n">
        <v>2</v>
      </c>
      <c r="E2095" t="s">
        <v>309</v>
      </c>
      <c r="F2095" t="s"/>
      <c r="G2095" t="s"/>
      <c r="H2095" t="s"/>
      <c r="I2095" t="s"/>
      <c r="J2095" t="n">
        <v>0</v>
      </c>
      <c r="K2095" t="n">
        <v>0</v>
      </c>
      <c r="L2095" t="n">
        <v>1</v>
      </c>
      <c r="M2095" t="n">
        <v>0</v>
      </c>
    </row>
    <row r="2096" spans="1:13">
      <c r="A2096" s="1">
        <f>HYPERLINK("http://www.twitter.com/NathanBLawrence/status/991817251836874754", "991817251836874754")</f>
        <v/>
      </c>
      <c r="B2096" s="2" t="n">
        <v>43222.9656712963</v>
      </c>
      <c r="C2096" t="n">
        <v>4</v>
      </c>
      <c r="D2096" t="n">
        <v>2</v>
      </c>
      <c r="E2096" t="s">
        <v>310</v>
      </c>
      <c r="F2096" t="s"/>
      <c r="G2096" t="s"/>
      <c r="H2096" t="s"/>
      <c r="I2096" t="s"/>
      <c r="J2096" t="n">
        <v>0</v>
      </c>
      <c r="K2096" t="n">
        <v>0</v>
      </c>
      <c r="L2096" t="n">
        <v>1</v>
      </c>
      <c r="M2096" t="n">
        <v>0</v>
      </c>
    </row>
    <row r="2097" spans="1:13">
      <c r="A2097" s="1">
        <f>HYPERLINK("http://www.twitter.com/NathanBLawrence/status/991816344957063169", "991816344957063169")</f>
        <v/>
      </c>
      <c r="B2097" s="2" t="n">
        <v>43222.96317129629</v>
      </c>
      <c r="C2097" t="n">
        <v>6</v>
      </c>
      <c r="D2097" t="n">
        <v>3</v>
      </c>
      <c r="E2097" t="s">
        <v>311</v>
      </c>
      <c r="F2097" t="s"/>
      <c r="G2097" t="s"/>
      <c r="H2097" t="s"/>
      <c r="I2097" t="s"/>
      <c r="J2097" t="n">
        <v>0</v>
      </c>
      <c r="K2097" t="n">
        <v>0</v>
      </c>
      <c r="L2097" t="n">
        <v>1</v>
      </c>
      <c r="M2097" t="n">
        <v>0</v>
      </c>
    </row>
    <row r="2098" spans="1:13">
      <c r="A2098" s="1">
        <f>HYPERLINK("http://www.twitter.com/NathanBLawrence/status/991815285769474051", "991815285769474051")</f>
        <v/>
      </c>
      <c r="B2098" s="2" t="n">
        <v>43222.96024305555</v>
      </c>
      <c r="C2098" t="n">
        <v>0</v>
      </c>
      <c r="D2098" t="n">
        <v>2</v>
      </c>
      <c r="E2098" t="s">
        <v>2071</v>
      </c>
      <c r="F2098" t="s"/>
      <c r="G2098" t="s"/>
      <c r="H2098" t="s"/>
      <c r="I2098" t="s"/>
      <c r="J2098" t="n">
        <v>0</v>
      </c>
      <c r="K2098" t="n">
        <v>0</v>
      </c>
      <c r="L2098" t="n">
        <v>1</v>
      </c>
      <c r="M2098" t="n">
        <v>0</v>
      </c>
    </row>
    <row r="2099" spans="1:13">
      <c r="A2099" s="1">
        <f>HYPERLINK("http://www.twitter.com/NathanBLawrence/status/991815251514535939", "991815251514535939")</f>
        <v/>
      </c>
      <c r="B2099" s="2" t="n">
        <v>43222.96015046296</v>
      </c>
      <c r="C2099" t="n">
        <v>0</v>
      </c>
      <c r="D2099" t="n">
        <v>14</v>
      </c>
      <c r="E2099" t="s">
        <v>1953</v>
      </c>
      <c r="F2099">
        <f>HYPERLINK("http://pbs.twimg.com/media/DcOiO2AX4AIf9uB.jpg", "http://pbs.twimg.com/media/DcOiO2AX4AIf9uB.jpg")</f>
        <v/>
      </c>
      <c r="G2099" t="s"/>
      <c r="H2099" t="s"/>
      <c r="I2099" t="s"/>
      <c r="J2099" t="n">
        <v>-0.2103</v>
      </c>
      <c r="K2099" t="n">
        <v>0.233</v>
      </c>
      <c r="L2099" t="n">
        <v>0.5629999999999999</v>
      </c>
      <c r="M2099" t="n">
        <v>0.204</v>
      </c>
    </row>
    <row r="2100" spans="1:13">
      <c r="A2100" s="1">
        <f>HYPERLINK("http://www.twitter.com/NathanBLawrence/status/991814726178009089", "991814726178009089")</f>
        <v/>
      </c>
      <c r="B2100" s="2" t="n">
        <v>43222.95870370371</v>
      </c>
      <c r="C2100" t="n">
        <v>16</v>
      </c>
      <c r="D2100" t="n">
        <v>14</v>
      </c>
      <c r="E2100" t="s">
        <v>2072</v>
      </c>
      <c r="F2100">
        <f>HYPERLINK("http://pbs.twimg.com/media/DcOiO2AX4AIf9uB.jpg", "http://pbs.twimg.com/media/DcOiO2AX4AIf9uB.jpg")</f>
        <v/>
      </c>
      <c r="G2100" t="s"/>
      <c r="H2100" t="s"/>
      <c r="I2100" t="s"/>
      <c r="J2100" t="n">
        <v>-0.1779</v>
      </c>
      <c r="K2100" t="n">
        <v>0.191</v>
      </c>
      <c r="L2100" t="n">
        <v>0.63</v>
      </c>
      <c r="M2100" t="n">
        <v>0.179</v>
      </c>
    </row>
    <row r="2101" spans="1:13">
      <c r="A2101" s="1">
        <f>HYPERLINK("http://www.twitter.com/NathanBLawrence/status/991793360728985600", "991793360728985600")</f>
        <v/>
      </c>
      <c r="B2101" s="2" t="n">
        <v>43222.89974537037</v>
      </c>
      <c r="C2101" t="n">
        <v>0</v>
      </c>
      <c r="D2101" t="n">
        <v>12</v>
      </c>
      <c r="E2101" t="s">
        <v>2073</v>
      </c>
      <c r="F2101">
        <f>HYPERLINK("http://pbs.twimg.com/media/DcOOikbXcAIW1Eb.jpg", "http://pbs.twimg.com/media/DcOOikbXcAIW1Eb.jpg")</f>
        <v/>
      </c>
      <c r="G2101" t="s"/>
      <c r="H2101" t="s"/>
      <c r="I2101" t="s"/>
      <c r="J2101" t="n">
        <v>0.296</v>
      </c>
      <c r="K2101" t="n">
        <v>0.077</v>
      </c>
      <c r="L2101" t="n">
        <v>0.804</v>
      </c>
      <c r="M2101" t="n">
        <v>0.119</v>
      </c>
    </row>
    <row r="2102" spans="1:13">
      <c r="A2102" s="1">
        <f>HYPERLINK("http://www.twitter.com/NathanBLawrence/status/991793076573298688", "991793076573298688")</f>
        <v/>
      </c>
      <c r="B2102" s="2" t="n">
        <v>43222.89895833333</v>
      </c>
      <c r="C2102" t="n">
        <v>14</v>
      </c>
      <c r="D2102" t="n">
        <v>12</v>
      </c>
      <c r="E2102" t="s">
        <v>2074</v>
      </c>
      <c r="F2102">
        <f>HYPERLINK("http://pbs.twimg.com/media/DcOOikbXcAIW1Eb.jpg", "http://pbs.twimg.com/media/DcOOikbXcAIW1Eb.jpg")</f>
        <v/>
      </c>
      <c r="G2102" t="s"/>
      <c r="H2102" t="s"/>
      <c r="I2102" t="s"/>
      <c r="J2102" t="n">
        <v>0.6808</v>
      </c>
      <c r="K2102" t="n">
        <v>0.04</v>
      </c>
      <c r="L2102" t="n">
        <v>0.836</v>
      </c>
      <c r="M2102" t="n">
        <v>0.124</v>
      </c>
    </row>
    <row r="2103" spans="1:13">
      <c r="A2103" s="1">
        <f>HYPERLINK("http://www.twitter.com/NathanBLawrence/status/991789819733860352", "991789819733860352")</f>
        <v/>
      </c>
      <c r="B2103" s="2" t="n">
        <v>43222.88997685185</v>
      </c>
      <c r="C2103" t="n">
        <v>0</v>
      </c>
      <c r="D2103" t="n">
        <v>11</v>
      </c>
      <c r="E2103" t="s">
        <v>2075</v>
      </c>
      <c r="F2103">
        <f>HYPERLINK("http://pbs.twimg.com/media/DcOLL2iWsAEF6hQ.jpg", "http://pbs.twimg.com/media/DcOLL2iWsAEF6hQ.jpg")</f>
        <v/>
      </c>
      <c r="G2103" t="s"/>
      <c r="H2103" t="s"/>
      <c r="I2103" t="s"/>
      <c r="J2103" t="n">
        <v>0.2263</v>
      </c>
      <c r="K2103" t="n">
        <v>0</v>
      </c>
      <c r="L2103" t="n">
        <v>0.917</v>
      </c>
      <c r="M2103" t="n">
        <v>0.083</v>
      </c>
    </row>
    <row r="2104" spans="1:13">
      <c r="A2104" s="1">
        <f>HYPERLINK("http://www.twitter.com/NathanBLawrence/status/991789806505086976", "991789806505086976")</f>
        <v/>
      </c>
      <c r="B2104" s="2" t="n">
        <v>43222.88994212963</v>
      </c>
      <c r="C2104" t="n">
        <v>0</v>
      </c>
      <c r="D2104" t="n">
        <v>13</v>
      </c>
      <c r="E2104" t="s">
        <v>2076</v>
      </c>
      <c r="F2104">
        <f>HYPERLINK("http://pbs.twimg.com/media/DcOJY_wXkAYiiLj.jpg", "http://pbs.twimg.com/media/DcOJY_wXkAYiiLj.jpg")</f>
        <v/>
      </c>
      <c r="G2104" t="s"/>
      <c r="H2104" t="s"/>
      <c r="I2104" t="s"/>
      <c r="J2104" t="n">
        <v>0</v>
      </c>
      <c r="K2104" t="n">
        <v>0</v>
      </c>
      <c r="L2104" t="n">
        <v>1</v>
      </c>
      <c r="M2104" t="n">
        <v>0</v>
      </c>
    </row>
    <row r="2105" spans="1:13">
      <c r="A2105" s="1">
        <f>HYPERLINK("http://www.twitter.com/NathanBLawrence/status/991789793662132224", "991789793662132224")</f>
        <v/>
      </c>
      <c r="B2105" s="2" t="n">
        <v>43222.88990740741</v>
      </c>
      <c r="C2105" t="n">
        <v>0</v>
      </c>
      <c r="D2105" t="n">
        <v>12</v>
      </c>
      <c r="E2105" t="s">
        <v>2077</v>
      </c>
      <c r="F2105">
        <f>HYPERLINK("http://pbs.twimg.com/media/DcOH4yJW0AAUj-_.jpg", "http://pbs.twimg.com/media/DcOH4yJW0AAUj-_.jpg")</f>
        <v/>
      </c>
      <c r="G2105" t="s"/>
      <c r="H2105" t="s"/>
      <c r="I2105" t="s"/>
      <c r="J2105" t="n">
        <v>0</v>
      </c>
      <c r="K2105" t="n">
        <v>0</v>
      </c>
      <c r="L2105" t="n">
        <v>1</v>
      </c>
      <c r="M2105" t="n">
        <v>0</v>
      </c>
    </row>
    <row r="2106" spans="1:13">
      <c r="A2106" s="1">
        <f>HYPERLINK("http://www.twitter.com/NathanBLawrence/status/991789783256043520", "991789783256043520")</f>
        <v/>
      </c>
      <c r="B2106" s="2" t="n">
        <v>43222.88987268518</v>
      </c>
      <c r="C2106" t="n">
        <v>0</v>
      </c>
      <c r="D2106" t="n">
        <v>11</v>
      </c>
      <c r="E2106" t="s">
        <v>2078</v>
      </c>
      <c r="F2106" t="s"/>
      <c r="G2106" t="s"/>
      <c r="H2106" t="s"/>
      <c r="I2106" t="s"/>
      <c r="J2106" t="n">
        <v>0</v>
      </c>
      <c r="K2106" t="n">
        <v>0</v>
      </c>
      <c r="L2106" t="n">
        <v>1</v>
      </c>
      <c r="M2106" t="n">
        <v>0</v>
      </c>
    </row>
    <row r="2107" spans="1:13">
      <c r="A2107" s="1">
        <f>HYPERLINK("http://www.twitter.com/NathanBLawrence/status/991789771453292545", "991789771453292545")</f>
        <v/>
      </c>
      <c r="B2107" s="2" t="n">
        <v>43222.88983796296</v>
      </c>
      <c r="C2107" t="n">
        <v>0</v>
      </c>
      <c r="D2107" t="n">
        <v>10</v>
      </c>
      <c r="E2107" t="s">
        <v>2079</v>
      </c>
      <c r="F2107" t="s"/>
      <c r="G2107" t="s"/>
      <c r="H2107" t="s"/>
      <c r="I2107" t="s"/>
      <c r="J2107" t="n">
        <v>0.5789</v>
      </c>
      <c r="K2107" t="n">
        <v>0</v>
      </c>
      <c r="L2107" t="n">
        <v>0.842</v>
      </c>
      <c r="M2107" t="n">
        <v>0.158</v>
      </c>
    </row>
    <row r="2108" spans="1:13">
      <c r="A2108" s="1">
        <f>HYPERLINK("http://www.twitter.com/NathanBLawrence/status/991789386453929990", "991789386453929990")</f>
        <v/>
      </c>
      <c r="B2108" s="2" t="n">
        <v>43222.88877314814</v>
      </c>
      <c r="C2108" t="n">
        <v>17</v>
      </c>
      <c r="D2108" t="n">
        <v>11</v>
      </c>
      <c r="E2108" t="s">
        <v>2080</v>
      </c>
      <c r="F2108">
        <f>HYPERLINK("http://pbs.twimg.com/media/DcOLL2iWsAEF6hQ.jpg", "http://pbs.twimg.com/media/DcOLL2iWsAEF6hQ.jpg")</f>
        <v/>
      </c>
      <c r="G2108" t="s"/>
      <c r="H2108" t="s"/>
      <c r="I2108" t="s"/>
      <c r="J2108" t="n">
        <v>0.4471</v>
      </c>
      <c r="K2108" t="n">
        <v>0</v>
      </c>
      <c r="L2108" t="n">
        <v>0.916</v>
      </c>
      <c r="M2108" t="n">
        <v>0.08400000000000001</v>
      </c>
    </row>
    <row r="2109" spans="1:13">
      <c r="A2109" s="1">
        <f>HYPERLINK("http://www.twitter.com/NathanBLawrence/status/991787551609548801", "991787551609548801")</f>
        <v/>
      </c>
      <c r="B2109" s="2" t="n">
        <v>43222.88371527778</v>
      </c>
      <c r="C2109" t="n">
        <v>0</v>
      </c>
      <c r="D2109" t="n">
        <v>21</v>
      </c>
      <c r="E2109" t="s">
        <v>2081</v>
      </c>
      <c r="F2109">
        <f>HYPERLINK("http://pbs.twimg.com/media/DcOFjXvX0AcP-kZ.jpg", "http://pbs.twimg.com/media/DcOFjXvX0AcP-kZ.jpg")</f>
        <v/>
      </c>
      <c r="G2109" t="s"/>
      <c r="H2109" t="s"/>
      <c r="I2109" t="s"/>
      <c r="J2109" t="n">
        <v>0</v>
      </c>
      <c r="K2109" t="n">
        <v>0</v>
      </c>
      <c r="L2109" t="n">
        <v>1</v>
      </c>
      <c r="M2109" t="n">
        <v>0</v>
      </c>
    </row>
    <row r="2110" spans="1:13">
      <c r="A2110" s="1">
        <f>HYPERLINK("http://www.twitter.com/NathanBLawrence/status/991787417224048640", "991787417224048640")</f>
        <v/>
      </c>
      <c r="B2110" s="2" t="n">
        <v>43222.88334490741</v>
      </c>
      <c r="C2110" t="n">
        <v>19</v>
      </c>
      <c r="D2110" t="n">
        <v>13</v>
      </c>
      <c r="E2110" t="s">
        <v>2082</v>
      </c>
      <c r="F2110">
        <f>HYPERLINK("http://pbs.twimg.com/media/DcOJY_wXkAYiiLj.jpg", "http://pbs.twimg.com/media/DcOJY_wXkAYiiLj.jpg")</f>
        <v/>
      </c>
      <c r="G2110" t="s"/>
      <c r="H2110" t="s"/>
      <c r="I2110" t="s"/>
      <c r="J2110" t="n">
        <v>-0.296</v>
      </c>
      <c r="K2110" t="n">
        <v>0.05</v>
      </c>
      <c r="L2110" t="n">
        <v>0.95</v>
      </c>
      <c r="M2110" t="n">
        <v>0</v>
      </c>
    </row>
    <row r="2111" spans="1:13">
      <c r="A2111" s="1">
        <f>HYPERLINK("http://www.twitter.com/NathanBLawrence/status/991785763032502274", "991785763032502274")</f>
        <v/>
      </c>
      <c r="B2111" s="2" t="n">
        <v>43222.87878472222</v>
      </c>
      <c r="C2111" t="n">
        <v>15</v>
      </c>
      <c r="D2111" t="n">
        <v>12</v>
      </c>
      <c r="E2111" t="s">
        <v>2083</v>
      </c>
      <c r="F2111">
        <f>HYPERLINK("http://pbs.twimg.com/media/DcOH4yJW0AAUj-_.jpg", "http://pbs.twimg.com/media/DcOH4yJW0AAUj-_.jpg")</f>
        <v/>
      </c>
      <c r="G2111" t="s"/>
      <c r="H2111" t="s"/>
      <c r="I2111" t="s"/>
      <c r="J2111" t="n">
        <v>-0.6808</v>
      </c>
      <c r="K2111" t="n">
        <v>0.109</v>
      </c>
      <c r="L2111" t="n">
        <v>0.891</v>
      </c>
      <c r="M2111" t="n">
        <v>0</v>
      </c>
    </row>
    <row r="2112" spans="1:13">
      <c r="A2112" s="1">
        <f>HYPERLINK("http://www.twitter.com/NathanBLawrence/status/991784480783335426", "991784480783335426")</f>
        <v/>
      </c>
      <c r="B2112" s="2" t="n">
        <v>43222.87524305555</v>
      </c>
      <c r="C2112" t="n">
        <v>16</v>
      </c>
      <c r="D2112" t="n">
        <v>11</v>
      </c>
      <c r="E2112" t="s">
        <v>2084</v>
      </c>
      <c r="F2112" t="s"/>
      <c r="G2112" t="s"/>
      <c r="H2112" t="s"/>
      <c r="I2112" t="s"/>
      <c r="J2112" t="n">
        <v>-0.8126</v>
      </c>
      <c r="K2112" t="n">
        <v>0.144</v>
      </c>
      <c r="L2112" t="n">
        <v>0.856</v>
      </c>
      <c r="M2112" t="n">
        <v>0</v>
      </c>
    </row>
    <row r="2113" spans="1:13">
      <c r="A2113" s="1">
        <f>HYPERLINK("http://www.twitter.com/NathanBLawrence/status/991784163438100486", "991784163438100486")</f>
        <v/>
      </c>
      <c r="B2113" s="2" t="n">
        <v>43222.87436342592</v>
      </c>
      <c r="C2113" t="n">
        <v>15</v>
      </c>
      <c r="D2113" t="n">
        <v>10</v>
      </c>
      <c r="E2113" t="s">
        <v>2085</v>
      </c>
      <c r="F2113" t="s"/>
      <c r="G2113" t="s"/>
      <c r="H2113" t="s"/>
      <c r="I2113" t="s"/>
      <c r="J2113" t="n">
        <v>0.8682</v>
      </c>
      <c r="K2113" t="n">
        <v>0</v>
      </c>
      <c r="L2113" t="n">
        <v>0.8</v>
      </c>
      <c r="M2113" t="n">
        <v>0.2</v>
      </c>
    </row>
    <row r="2114" spans="1:13">
      <c r="A2114" s="1">
        <f>HYPERLINK("http://www.twitter.com/NathanBLawrence/status/991783192398004224", "991783192398004224")</f>
        <v/>
      </c>
      <c r="B2114" s="2" t="n">
        <v>43222.87168981481</v>
      </c>
      <c r="C2114" t="n">
        <v>24</v>
      </c>
      <c r="D2114" t="n">
        <v>21</v>
      </c>
      <c r="E2114" t="s">
        <v>2086</v>
      </c>
      <c r="F2114">
        <f>HYPERLINK("http://pbs.twimg.com/media/DcOFjXvX0AcP-kZ.jpg", "http://pbs.twimg.com/media/DcOFjXvX0AcP-kZ.jpg")</f>
        <v/>
      </c>
      <c r="G2114" t="s"/>
      <c r="H2114" t="s"/>
      <c r="I2114" t="s"/>
      <c r="J2114" t="n">
        <v>0.0314</v>
      </c>
      <c r="K2114" t="n">
        <v>0.047</v>
      </c>
      <c r="L2114" t="n">
        <v>0.904</v>
      </c>
      <c r="M2114" t="n">
        <v>0.049</v>
      </c>
    </row>
    <row r="2115" spans="1:13">
      <c r="A2115" s="1">
        <f>HYPERLINK("http://www.twitter.com/NathanBLawrence/status/991778012654956544", "991778012654956544")</f>
        <v/>
      </c>
      <c r="B2115" s="2" t="n">
        <v>43222.85739583334</v>
      </c>
      <c r="C2115" t="n">
        <v>0</v>
      </c>
      <c r="D2115" t="n">
        <v>7</v>
      </c>
      <c r="E2115" t="s">
        <v>2087</v>
      </c>
      <c r="F2115" t="s"/>
      <c r="G2115" t="s"/>
      <c r="H2115" t="s"/>
      <c r="I2115" t="s"/>
      <c r="J2115" t="n">
        <v>0.3164</v>
      </c>
      <c r="K2115" t="n">
        <v>0</v>
      </c>
      <c r="L2115" t="n">
        <v>0.906</v>
      </c>
      <c r="M2115" t="n">
        <v>0.094</v>
      </c>
    </row>
    <row r="2116" spans="1:13">
      <c r="A2116" s="1">
        <f>HYPERLINK("http://www.twitter.com/NathanBLawrence/status/991767365338660871", "991767365338660871")</f>
        <v/>
      </c>
      <c r="B2116" s="2" t="n">
        <v>43222.82800925926</v>
      </c>
      <c r="C2116" t="n">
        <v>7</v>
      </c>
      <c r="D2116" t="n">
        <v>2</v>
      </c>
      <c r="E2116" t="s">
        <v>2088</v>
      </c>
      <c r="F2116">
        <f>HYPERLINK("http://pbs.twimg.com/media/DcN3KCTW4AIvis5.jpg", "http://pbs.twimg.com/media/DcN3KCTW4AIvis5.jpg")</f>
        <v/>
      </c>
      <c r="G2116" t="s"/>
      <c r="H2116" t="s"/>
      <c r="I2116" t="s"/>
      <c r="J2116" t="n">
        <v>0</v>
      </c>
      <c r="K2116" t="n">
        <v>0</v>
      </c>
      <c r="L2116" t="n">
        <v>1</v>
      </c>
      <c r="M2116" t="n">
        <v>0</v>
      </c>
    </row>
    <row r="2117" spans="1:13">
      <c r="A2117" s="1">
        <f>HYPERLINK("http://www.twitter.com/NathanBLawrence/status/991766735211712512", "991766735211712512")</f>
        <v/>
      </c>
      <c r="B2117" s="2" t="n">
        <v>43222.82627314814</v>
      </c>
      <c r="C2117" t="n">
        <v>8</v>
      </c>
      <c r="D2117" t="n">
        <v>4</v>
      </c>
      <c r="E2117" t="s">
        <v>2089</v>
      </c>
      <c r="F2117">
        <f>HYPERLINK("http://pbs.twimg.com/media/DcN2la0XcAAmzrD.jpg", "http://pbs.twimg.com/media/DcN2la0XcAAmzrD.jpg")</f>
        <v/>
      </c>
      <c r="G2117" t="s"/>
      <c r="H2117" t="s"/>
      <c r="I2117" t="s"/>
      <c r="J2117" t="n">
        <v>0</v>
      </c>
      <c r="K2117" t="n">
        <v>0</v>
      </c>
      <c r="L2117" t="n">
        <v>1</v>
      </c>
      <c r="M2117" t="n">
        <v>0</v>
      </c>
    </row>
    <row r="2118" spans="1:13">
      <c r="A2118" s="1">
        <f>HYPERLINK("http://www.twitter.com/NathanBLawrence/status/991765446415220737", "991765446415220737")</f>
        <v/>
      </c>
      <c r="B2118" s="2" t="n">
        <v>43222.82271990741</v>
      </c>
      <c r="C2118" t="n">
        <v>0</v>
      </c>
      <c r="D2118" t="n">
        <v>3</v>
      </c>
      <c r="E2118" t="s">
        <v>2090</v>
      </c>
      <c r="F2118" t="s"/>
      <c r="G2118" t="s"/>
      <c r="H2118" t="s"/>
      <c r="I2118" t="s"/>
      <c r="J2118" t="n">
        <v>0</v>
      </c>
      <c r="K2118" t="n">
        <v>0</v>
      </c>
      <c r="L2118" t="n">
        <v>1</v>
      </c>
      <c r="M2118" t="n">
        <v>0</v>
      </c>
    </row>
    <row r="2119" spans="1:13">
      <c r="A2119" s="1">
        <f>HYPERLINK("http://www.twitter.com/NathanBLawrence/status/991765312977756160", "991765312977756160")</f>
        <v/>
      </c>
      <c r="B2119" s="2" t="n">
        <v>43222.82234953704</v>
      </c>
      <c r="C2119" t="n">
        <v>0</v>
      </c>
      <c r="D2119" t="n">
        <v>15</v>
      </c>
      <c r="E2119" t="s">
        <v>2091</v>
      </c>
      <c r="F2119">
        <f>HYPERLINK("http://pbs.twimg.com/media/DcN1JPTW4AAcYeF.jpg", "http://pbs.twimg.com/media/DcN1JPTW4AAcYeF.jpg")</f>
        <v/>
      </c>
      <c r="G2119" t="s"/>
      <c r="H2119" t="s"/>
      <c r="I2119" t="s"/>
      <c r="J2119" t="n">
        <v>-0.1027</v>
      </c>
      <c r="K2119" t="n">
        <v>0.062</v>
      </c>
      <c r="L2119" t="n">
        <v>0.9379999999999999</v>
      </c>
      <c r="M2119" t="n">
        <v>0</v>
      </c>
    </row>
    <row r="2120" spans="1:13">
      <c r="A2120" s="1">
        <f>HYPERLINK("http://www.twitter.com/NathanBLawrence/status/991765248196710400", "991765248196710400")</f>
        <v/>
      </c>
      <c r="B2120" s="2" t="n">
        <v>43222.82216435186</v>
      </c>
      <c r="C2120" t="n">
        <v>0</v>
      </c>
      <c r="D2120" t="n">
        <v>7</v>
      </c>
      <c r="E2120" t="s">
        <v>2092</v>
      </c>
      <c r="F2120">
        <f>HYPERLINK("http://pbs.twimg.com/media/DcNv0M2WkAA1A8P.jpg", "http://pbs.twimg.com/media/DcNv0M2WkAA1A8P.jpg")</f>
        <v/>
      </c>
      <c r="G2120" t="s"/>
      <c r="H2120" t="s"/>
      <c r="I2120" t="s"/>
      <c r="J2120" t="n">
        <v>0.4648</v>
      </c>
      <c r="K2120" t="n">
        <v>0</v>
      </c>
      <c r="L2120" t="n">
        <v>0.841</v>
      </c>
      <c r="M2120" t="n">
        <v>0.159</v>
      </c>
    </row>
    <row r="2121" spans="1:13">
      <c r="A2121" s="1">
        <f>HYPERLINK("http://www.twitter.com/NathanBLawrence/status/991765154638516225", "991765154638516225")</f>
        <v/>
      </c>
      <c r="B2121" s="2" t="n">
        <v>43222.82190972222</v>
      </c>
      <c r="C2121" t="n">
        <v>21</v>
      </c>
      <c r="D2121" t="n">
        <v>15</v>
      </c>
      <c r="E2121" t="s">
        <v>2093</v>
      </c>
      <c r="F2121">
        <f>HYPERLINK("http://pbs.twimg.com/media/DcN1JPTW4AAcYeF.jpg", "http://pbs.twimg.com/media/DcN1JPTW4AAcYeF.jpg")</f>
        <v/>
      </c>
      <c r="G2121" t="s"/>
      <c r="H2121" t="s"/>
      <c r="I2121" t="s"/>
      <c r="J2121" t="n">
        <v>0.347</v>
      </c>
      <c r="K2121" t="n">
        <v>0.06900000000000001</v>
      </c>
      <c r="L2121" t="n">
        <v>0.854</v>
      </c>
      <c r="M2121" t="n">
        <v>0.078</v>
      </c>
    </row>
    <row r="2122" spans="1:13">
      <c r="A2122" s="1">
        <f>HYPERLINK("http://www.twitter.com/NathanBLawrence/status/991756556621565953", "991756556621565953")</f>
        <v/>
      </c>
      <c r="B2122" s="2" t="n">
        <v>43222.79818287037</v>
      </c>
      <c r="C2122" t="n">
        <v>0</v>
      </c>
      <c r="D2122" t="n">
        <v>1</v>
      </c>
      <c r="E2122" t="s">
        <v>2094</v>
      </c>
      <c r="F2122">
        <f>HYPERLINK("http://pbs.twimg.com/media/DcNqfYJW4AEU8my.jpg", "http://pbs.twimg.com/media/DcNqfYJW4AEU8my.jpg")</f>
        <v/>
      </c>
      <c r="G2122" t="s"/>
      <c r="H2122" t="s"/>
      <c r="I2122" t="s"/>
      <c r="J2122" t="n">
        <v>0</v>
      </c>
      <c r="K2122" t="n">
        <v>0</v>
      </c>
      <c r="L2122" t="n">
        <v>1</v>
      </c>
      <c r="M2122" t="n">
        <v>0</v>
      </c>
    </row>
    <row r="2123" spans="1:13">
      <c r="A2123" s="1">
        <f>HYPERLINK("http://www.twitter.com/NathanBLawrence/status/991753247500140544", "991753247500140544")</f>
        <v/>
      </c>
      <c r="B2123" s="2" t="n">
        <v>43222.78905092592</v>
      </c>
      <c r="C2123" t="n">
        <v>0</v>
      </c>
      <c r="D2123" t="n">
        <v>10</v>
      </c>
      <c r="E2123" t="s">
        <v>2095</v>
      </c>
      <c r="F2123">
        <f>HYPERLINK("http://pbs.twimg.com/media/DcMAnIGU0AAGaLM.jpg", "http://pbs.twimg.com/media/DcMAnIGU0AAGaLM.jpg")</f>
        <v/>
      </c>
      <c r="G2123" t="s"/>
      <c r="H2123" t="s"/>
      <c r="I2123" t="s"/>
      <c r="J2123" t="n">
        <v>0.5106000000000001</v>
      </c>
      <c r="K2123" t="n">
        <v>0</v>
      </c>
      <c r="L2123" t="n">
        <v>0.845</v>
      </c>
      <c r="M2123" t="n">
        <v>0.155</v>
      </c>
    </row>
    <row r="2124" spans="1:13">
      <c r="A2124" s="1">
        <f>HYPERLINK("http://www.twitter.com/NathanBLawrence/status/991753172405321728", "991753172405321728")</f>
        <v/>
      </c>
      <c r="B2124" s="2" t="n">
        <v>43222.78884259259</v>
      </c>
      <c r="C2124" t="n">
        <v>0</v>
      </c>
      <c r="D2124" t="n">
        <v>7</v>
      </c>
      <c r="E2124" t="s">
        <v>2096</v>
      </c>
      <c r="F2124" t="s"/>
      <c r="G2124" t="s"/>
      <c r="H2124" t="s"/>
      <c r="I2124" t="s"/>
      <c r="J2124" t="n">
        <v>-0.6369</v>
      </c>
      <c r="K2124" t="n">
        <v>0.16</v>
      </c>
      <c r="L2124" t="n">
        <v>0.84</v>
      </c>
      <c r="M2124" t="n">
        <v>0</v>
      </c>
    </row>
    <row r="2125" spans="1:13">
      <c r="A2125" s="1">
        <f>HYPERLINK("http://www.twitter.com/NathanBLawrence/status/991753121843109889", "991753121843109889")</f>
        <v/>
      </c>
      <c r="B2125" s="2" t="n">
        <v>43222.78870370371</v>
      </c>
      <c r="C2125" t="n">
        <v>0</v>
      </c>
      <c r="D2125" t="n">
        <v>14</v>
      </c>
      <c r="E2125" t="s">
        <v>2097</v>
      </c>
      <c r="F2125">
        <f>HYPERLINK("http://pbs.twimg.com/media/DcM6E7fV4AAHmBA.jpg", "http://pbs.twimg.com/media/DcM6E7fV4AAHmBA.jpg")</f>
        <v/>
      </c>
      <c r="G2125">
        <f>HYPERLINK("http://pbs.twimg.com/media/DcM6E7hVAAA_Pvj.jpg", "http://pbs.twimg.com/media/DcM6E7hVAAA_Pvj.jpg")</f>
        <v/>
      </c>
      <c r="H2125">
        <f>HYPERLINK("http://pbs.twimg.com/media/DcM6E7gU0AASsJ3.jpg", "http://pbs.twimg.com/media/DcM6E7gU0AASsJ3.jpg")</f>
        <v/>
      </c>
      <c r="I2125">
        <f>HYPERLINK("http://pbs.twimg.com/media/DcM6E7iVMAAj9vu.jpg", "http://pbs.twimg.com/media/DcM6E7iVMAAj9vu.jpg")</f>
        <v/>
      </c>
      <c r="J2125" t="n">
        <v>-0.8038</v>
      </c>
      <c r="K2125" t="n">
        <v>0.256</v>
      </c>
      <c r="L2125" t="n">
        <v>0.744</v>
      </c>
      <c r="M2125" t="n">
        <v>0</v>
      </c>
    </row>
    <row r="2126" spans="1:13">
      <c r="A2126" s="1">
        <f>HYPERLINK("http://www.twitter.com/NathanBLawrence/status/991753041014640645", "991753041014640645")</f>
        <v/>
      </c>
      <c r="B2126" s="2" t="n">
        <v>43222.7884837963</v>
      </c>
      <c r="C2126" t="n">
        <v>0</v>
      </c>
      <c r="D2126" t="n">
        <v>7</v>
      </c>
      <c r="E2126" t="s">
        <v>2098</v>
      </c>
      <c r="F2126" t="s"/>
      <c r="G2126" t="s"/>
      <c r="H2126" t="s"/>
      <c r="I2126" t="s"/>
      <c r="J2126" t="n">
        <v>0.1027</v>
      </c>
      <c r="K2126" t="n">
        <v>0.058</v>
      </c>
      <c r="L2126" t="n">
        <v>0.868</v>
      </c>
      <c r="M2126" t="n">
        <v>0.074</v>
      </c>
    </row>
    <row r="2127" spans="1:13">
      <c r="A2127" s="1">
        <f>HYPERLINK("http://www.twitter.com/NathanBLawrence/status/991752998924750848", "991752998924750848")</f>
        <v/>
      </c>
      <c r="B2127" s="2" t="n">
        <v>43222.78836805555</v>
      </c>
      <c r="C2127" t="n">
        <v>0</v>
      </c>
      <c r="D2127" t="n">
        <v>3</v>
      </c>
      <c r="E2127" t="s">
        <v>2099</v>
      </c>
      <c r="F2127" t="s"/>
      <c r="G2127" t="s"/>
      <c r="H2127" t="s"/>
      <c r="I2127" t="s"/>
      <c r="J2127" t="n">
        <v>0</v>
      </c>
      <c r="K2127" t="n">
        <v>0</v>
      </c>
      <c r="L2127" t="n">
        <v>1</v>
      </c>
      <c r="M2127" t="n">
        <v>0</v>
      </c>
    </row>
    <row r="2128" spans="1:13">
      <c r="A2128" s="1">
        <f>HYPERLINK("http://www.twitter.com/NathanBLawrence/status/991752988027965440", "991752988027965440")</f>
        <v/>
      </c>
      <c r="B2128" s="2" t="n">
        <v>43222.78833333333</v>
      </c>
      <c r="C2128" t="n">
        <v>0</v>
      </c>
      <c r="D2128" t="n">
        <v>5</v>
      </c>
      <c r="E2128" t="s">
        <v>2100</v>
      </c>
      <c r="F2128" t="s"/>
      <c r="G2128" t="s"/>
      <c r="H2128" t="s"/>
      <c r="I2128" t="s"/>
      <c r="J2128" t="n">
        <v>-0.4215</v>
      </c>
      <c r="K2128" t="n">
        <v>0.186</v>
      </c>
      <c r="L2128" t="n">
        <v>0.73</v>
      </c>
      <c r="M2128" t="n">
        <v>0.08400000000000001</v>
      </c>
    </row>
    <row r="2129" spans="1:13">
      <c r="A2129" s="1">
        <f>HYPERLINK("http://www.twitter.com/NathanBLawrence/status/991752974287372288", "991752974287372288")</f>
        <v/>
      </c>
      <c r="B2129" s="2" t="n">
        <v>43222.78829861111</v>
      </c>
      <c r="C2129" t="n">
        <v>0</v>
      </c>
      <c r="D2129" t="n">
        <v>6</v>
      </c>
      <c r="E2129" t="s">
        <v>2101</v>
      </c>
      <c r="F2129" t="s"/>
      <c r="G2129" t="s"/>
      <c r="H2129" t="s"/>
      <c r="I2129" t="s"/>
      <c r="J2129" t="n">
        <v>0</v>
      </c>
      <c r="K2129" t="n">
        <v>0</v>
      </c>
      <c r="L2129" t="n">
        <v>1</v>
      </c>
      <c r="M2129" t="n">
        <v>0</v>
      </c>
    </row>
    <row r="2130" spans="1:13">
      <c r="A2130" s="1">
        <f>HYPERLINK("http://www.twitter.com/NathanBLawrence/status/991752943698407428", "991752943698407428")</f>
        <v/>
      </c>
      <c r="B2130" s="2" t="n">
        <v>43222.78821759259</v>
      </c>
      <c r="C2130" t="n">
        <v>0</v>
      </c>
      <c r="D2130" t="n">
        <v>6</v>
      </c>
      <c r="E2130" t="s">
        <v>2102</v>
      </c>
      <c r="F2130" t="s"/>
      <c r="G2130" t="s"/>
      <c r="H2130" t="s"/>
      <c r="I2130" t="s"/>
      <c r="J2130" t="n">
        <v>0</v>
      </c>
      <c r="K2130" t="n">
        <v>0</v>
      </c>
      <c r="L2130" t="n">
        <v>1</v>
      </c>
      <c r="M2130" t="n">
        <v>0</v>
      </c>
    </row>
    <row r="2131" spans="1:13">
      <c r="A2131" s="1">
        <f>HYPERLINK("http://www.twitter.com/NathanBLawrence/status/991729581467070464", "991729581467070464")</f>
        <v/>
      </c>
      <c r="B2131" s="2" t="n">
        <v>43222.72375</v>
      </c>
      <c r="C2131" t="n">
        <v>0</v>
      </c>
      <c r="D2131" t="n">
        <v>2205</v>
      </c>
      <c r="E2131" t="s">
        <v>2103</v>
      </c>
      <c r="F2131" t="s"/>
      <c r="G2131" t="s"/>
      <c r="H2131" t="s"/>
      <c r="I2131" t="s"/>
      <c r="J2131" t="n">
        <v>-0.8625</v>
      </c>
      <c r="K2131" t="n">
        <v>0.348</v>
      </c>
      <c r="L2131" t="n">
        <v>0.652</v>
      </c>
      <c r="M2131" t="n">
        <v>0</v>
      </c>
    </row>
    <row r="2132" spans="1:13">
      <c r="A2132" s="1">
        <f>HYPERLINK("http://www.twitter.com/NathanBLawrence/status/991729126640844803", "991729126640844803")</f>
        <v/>
      </c>
      <c r="B2132" s="2" t="n">
        <v>43222.72248842593</v>
      </c>
      <c r="C2132" t="n">
        <v>0</v>
      </c>
      <c r="D2132" t="n">
        <v>1</v>
      </c>
      <c r="E2132" t="s">
        <v>2104</v>
      </c>
      <c r="F2132" t="s"/>
      <c r="G2132" t="s"/>
      <c r="H2132" t="s"/>
      <c r="I2132" t="s"/>
      <c r="J2132" t="n">
        <v>0.1511</v>
      </c>
      <c r="K2132" t="n">
        <v>0</v>
      </c>
      <c r="L2132" t="n">
        <v>0.891</v>
      </c>
      <c r="M2132" t="n">
        <v>0.109</v>
      </c>
    </row>
    <row r="2133" spans="1:13">
      <c r="A2133" s="1">
        <f>HYPERLINK("http://www.twitter.com/NathanBLawrence/status/991729084542615554", "991729084542615554")</f>
        <v/>
      </c>
      <c r="B2133" s="2" t="n">
        <v>43222.72237268519</v>
      </c>
      <c r="C2133" t="n">
        <v>0</v>
      </c>
      <c r="D2133" t="n">
        <v>3</v>
      </c>
      <c r="E2133" t="s">
        <v>2105</v>
      </c>
      <c r="F2133" t="s"/>
      <c r="G2133" t="s"/>
      <c r="H2133" t="s"/>
      <c r="I2133" t="s"/>
      <c r="J2133" t="n">
        <v>-0.6597</v>
      </c>
      <c r="K2133" t="n">
        <v>0.221</v>
      </c>
      <c r="L2133" t="n">
        <v>0.779</v>
      </c>
      <c r="M2133" t="n">
        <v>0</v>
      </c>
    </row>
    <row r="2134" spans="1:13">
      <c r="A2134" s="1">
        <f>HYPERLINK("http://www.twitter.com/NathanBLawrence/status/991729069434818560", "991729069434818560")</f>
        <v/>
      </c>
      <c r="B2134" s="2" t="n">
        <v>43222.72233796296</v>
      </c>
      <c r="C2134" t="n">
        <v>0</v>
      </c>
      <c r="D2134" t="n">
        <v>24848</v>
      </c>
      <c r="E2134" t="s">
        <v>2106</v>
      </c>
      <c r="F2134" t="s"/>
      <c r="G2134" t="s"/>
      <c r="H2134" t="s"/>
      <c r="I2134" t="s"/>
      <c r="J2134" t="n">
        <v>0.2003</v>
      </c>
      <c r="K2134" t="n">
        <v>0.08400000000000001</v>
      </c>
      <c r="L2134" t="n">
        <v>0.8</v>
      </c>
      <c r="M2134" t="n">
        <v>0.116</v>
      </c>
    </row>
    <row r="2135" spans="1:13">
      <c r="A2135" s="1">
        <f>HYPERLINK("http://www.twitter.com/NathanBLawrence/status/991729054675013632", "991729054675013632")</f>
        <v/>
      </c>
      <c r="B2135" s="2" t="n">
        <v>43222.72229166667</v>
      </c>
      <c r="C2135" t="n">
        <v>0</v>
      </c>
      <c r="D2135" t="n">
        <v>2130</v>
      </c>
      <c r="E2135" t="s">
        <v>2107</v>
      </c>
      <c r="F2135" t="s"/>
      <c r="G2135" t="s"/>
      <c r="H2135" t="s"/>
      <c r="I2135" t="s"/>
      <c r="J2135" t="n">
        <v>0.7644</v>
      </c>
      <c r="K2135" t="n">
        <v>0</v>
      </c>
      <c r="L2135" t="n">
        <v>0.742</v>
      </c>
      <c r="M2135" t="n">
        <v>0.258</v>
      </c>
    </row>
    <row r="2136" spans="1:13">
      <c r="A2136" s="1">
        <f>HYPERLINK("http://www.twitter.com/NathanBLawrence/status/991728990632148994", "991728990632148994")</f>
        <v/>
      </c>
      <c r="B2136" s="2" t="n">
        <v>43222.72211805556</v>
      </c>
      <c r="C2136" t="n">
        <v>0</v>
      </c>
      <c r="D2136" t="n">
        <v>8</v>
      </c>
      <c r="E2136" t="s">
        <v>2108</v>
      </c>
      <c r="F2136">
        <f>HYPERLINK("http://pbs.twimg.com/media/DcNKoAkXcAEPK-1.jpg", "http://pbs.twimg.com/media/DcNKoAkXcAEPK-1.jpg")</f>
        <v/>
      </c>
      <c r="G2136">
        <f>HYPERLINK("http://pbs.twimg.com/media/DcNKo-wWAAEFM1V.jpg", "http://pbs.twimg.com/media/DcNKo-wWAAEFM1V.jpg")</f>
        <v/>
      </c>
      <c r="H2136">
        <f>HYPERLINK("http://pbs.twimg.com/media/DcNKp_AWkAIANO1.jpg", "http://pbs.twimg.com/media/DcNKp_AWkAIANO1.jpg")</f>
        <v/>
      </c>
      <c r="I2136" t="s"/>
      <c r="J2136" t="n">
        <v>0.4548</v>
      </c>
      <c r="K2136" t="n">
        <v>0.05</v>
      </c>
      <c r="L2136" t="n">
        <v>0.819</v>
      </c>
      <c r="M2136" t="n">
        <v>0.131</v>
      </c>
    </row>
    <row r="2137" spans="1:13">
      <c r="A2137" s="1">
        <f>HYPERLINK("http://www.twitter.com/NathanBLawrence/status/991728890589728770", "991728890589728770")</f>
        <v/>
      </c>
      <c r="B2137" s="2" t="n">
        <v>43222.72184027778</v>
      </c>
      <c r="C2137" t="n">
        <v>0</v>
      </c>
      <c r="D2137" t="n">
        <v>6</v>
      </c>
      <c r="E2137" t="s">
        <v>2109</v>
      </c>
      <c r="F2137" t="s"/>
      <c r="G2137" t="s"/>
      <c r="H2137" t="s"/>
      <c r="I2137" t="s"/>
      <c r="J2137" t="n">
        <v>0</v>
      </c>
      <c r="K2137" t="n">
        <v>0</v>
      </c>
      <c r="L2137" t="n">
        <v>1</v>
      </c>
      <c r="M2137" t="n">
        <v>0</v>
      </c>
    </row>
    <row r="2138" spans="1:13">
      <c r="A2138" s="1">
        <f>HYPERLINK("http://www.twitter.com/NathanBLawrence/status/991728879516749824", "991728879516749824")</f>
        <v/>
      </c>
      <c r="B2138" s="2" t="n">
        <v>43222.72180555556</v>
      </c>
      <c r="C2138" t="n">
        <v>0</v>
      </c>
      <c r="D2138" t="n">
        <v>11</v>
      </c>
      <c r="E2138" t="s">
        <v>2110</v>
      </c>
      <c r="F2138">
        <f>HYPERLINK("http://pbs.twimg.com/media/DcM_2T4X0AUgIt4.jpg", "http://pbs.twimg.com/media/DcM_2T4X0AUgIt4.jpg")</f>
        <v/>
      </c>
      <c r="G2138" t="s"/>
      <c r="H2138" t="s"/>
      <c r="I2138" t="s"/>
      <c r="J2138" t="n">
        <v>0.3182</v>
      </c>
      <c r="K2138" t="n">
        <v>0</v>
      </c>
      <c r="L2138" t="n">
        <v>0.887</v>
      </c>
      <c r="M2138" t="n">
        <v>0.113</v>
      </c>
    </row>
    <row r="2139" spans="1:13">
      <c r="A2139" s="1">
        <f>HYPERLINK("http://www.twitter.com/NathanBLawrence/status/991728809887059968", "991728809887059968")</f>
        <v/>
      </c>
      <c r="B2139" s="2" t="n">
        <v>43222.72162037037</v>
      </c>
      <c r="C2139" t="n">
        <v>0</v>
      </c>
      <c r="D2139" t="n">
        <v>11</v>
      </c>
      <c r="E2139" t="s">
        <v>2111</v>
      </c>
      <c r="F2139">
        <f>HYPERLINK("http://pbs.twimg.com/media/DcM81TZW4A0X0eZ.jpg", "http://pbs.twimg.com/media/DcM81TZW4A0X0eZ.jpg")</f>
        <v/>
      </c>
      <c r="G2139">
        <f>HYPERLINK("http://pbs.twimg.com/media/DcM82eGX4AA8JZD.jpg", "http://pbs.twimg.com/media/DcM82eGX4AA8JZD.jpg")</f>
        <v/>
      </c>
      <c r="H2139" t="s"/>
      <c r="I2139" t="s"/>
      <c r="J2139" t="n">
        <v>-0.3818</v>
      </c>
      <c r="K2139" t="n">
        <v>0.178</v>
      </c>
      <c r="L2139" t="n">
        <v>0.822</v>
      </c>
      <c r="M2139" t="n">
        <v>0</v>
      </c>
    </row>
    <row r="2140" spans="1:13">
      <c r="A2140" s="1">
        <f>HYPERLINK("http://www.twitter.com/NathanBLawrence/status/991728756032229382", "991728756032229382")</f>
        <v/>
      </c>
      <c r="B2140" s="2" t="n">
        <v>43222.72146990741</v>
      </c>
      <c r="C2140" t="n">
        <v>0</v>
      </c>
      <c r="D2140" t="n">
        <v>11</v>
      </c>
      <c r="E2140" t="s">
        <v>2112</v>
      </c>
      <c r="F2140">
        <f>HYPERLINK("http://pbs.twimg.com/media/DcNE05wVMAEwScK.jpg", "http://pbs.twimg.com/media/DcNE05wVMAEwScK.jpg")</f>
        <v/>
      </c>
      <c r="G2140" t="s"/>
      <c r="H2140" t="s"/>
      <c r="I2140" t="s"/>
      <c r="J2140" t="n">
        <v>0</v>
      </c>
      <c r="K2140" t="n">
        <v>0</v>
      </c>
      <c r="L2140" t="n">
        <v>1</v>
      </c>
      <c r="M2140" t="n">
        <v>0</v>
      </c>
    </row>
    <row r="2141" spans="1:13">
      <c r="A2141" s="1">
        <f>HYPERLINK("http://www.twitter.com/NathanBLawrence/status/991728664126554113", "991728664126554113")</f>
        <v/>
      </c>
      <c r="B2141" s="2" t="n">
        <v>43222.72121527778</v>
      </c>
      <c r="C2141" t="n">
        <v>0</v>
      </c>
      <c r="D2141" t="n">
        <v>8</v>
      </c>
      <c r="E2141" t="s">
        <v>2113</v>
      </c>
      <c r="F2141" t="s"/>
      <c r="G2141" t="s"/>
      <c r="H2141" t="s"/>
      <c r="I2141" t="s"/>
      <c r="J2141" t="n">
        <v>-0.8892</v>
      </c>
      <c r="K2141" t="n">
        <v>0.429</v>
      </c>
      <c r="L2141" t="n">
        <v>0.571</v>
      </c>
      <c r="M2141" t="n">
        <v>0</v>
      </c>
    </row>
    <row r="2142" spans="1:13">
      <c r="A2142" s="1">
        <f>HYPERLINK("http://www.twitter.com/NathanBLawrence/status/991728649186566144", "991728649186566144")</f>
        <v/>
      </c>
      <c r="B2142" s="2" t="n">
        <v>43222.72118055556</v>
      </c>
      <c r="C2142" t="n">
        <v>0</v>
      </c>
      <c r="D2142" t="n">
        <v>4</v>
      </c>
      <c r="E2142" t="s">
        <v>2114</v>
      </c>
      <c r="F2142" t="s"/>
      <c r="G2142" t="s"/>
      <c r="H2142" t="s"/>
      <c r="I2142" t="s"/>
      <c r="J2142" t="n">
        <v>0</v>
      </c>
      <c r="K2142" t="n">
        <v>0</v>
      </c>
      <c r="L2142" t="n">
        <v>1</v>
      </c>
      <c r="M2142" t="n">
        <v>0</v>
      </c>
    </row>
    <row r="2143" spans="1:13">
      <c r="A2143" s="1">
        <f>HYPERLINK("http://www.twitter.com/NathanBLawrence/status/991728620191322113", "991728620191322113")</f>
        <v/>
      </c>
      <c r="B2143" s="2" t="n">
        <v>43222.72109953704</v>
      </c>
      <c r="C2143" t="n">
        <v>0</v>
      </c>
      <c r="D2143" t="n">
        <v>4</v>
      </c>
      <c r="E2143" t="s">
        <v>2115</v>
      </c>
      <c r="F2143" t="s"/>
      <c r="G2143" t="s"/>
      <c r="H2143" t="s"/>
      <c r="I2143" t="s"/>
      <c r="J2143" t="n">
        <v>-0.4215</v>
      </c>
      <c r="K2143" t="n">
        <v>0.21</v>
      </c>
      <c r="L2143" t="n">
        <v>0.6870000000000001</v>
      </c>
      <c r="M2143" t="n">
        <v>0.103</v>
      </c>
    </row>
    <row r="2144" spans="1:13">
      <c r="A2144" s="1">
        <f>HYPERLINK("http://www.twitter.com/NathanBLawrence/status/991728551174033408", "991728551174033408")</f>
        <v/>
      </c>
      <c r="B2144" s="2" t="n">
        <v>43222.72090277778</v>
      </c>
      <c r="C2144" t="n">
        <v>0</v>
      </c>
      <c r="D2144" t="n">
        <v>14</v>
      </c>
      <c r="E2144" t="s">
        <v>2116</v>
      </c>
      <c r="F2144">
        <f>HYPERLINK("http://pbs.twimg.com/media/DcMjTqrUQAAkxoj.jpg", "http://pbs.twimg.com/media/DcMjTqrUQAAkxoj.jpg")</f>
        <v/>
      </c>
      <c r="G2144" t="s"/>
      <c r="H2144" t="s"/>
      <c r="I2144" t="s"/>
      <c r="J2144" t="n">
        <v>-0.1027</v>
      </c>
      <c r="K2144" t="n">
        <v>0.116</v>
      </c>
      <c r="L2144" t="n">
        <v>0.784</v>
      </c>
      <c r="M2144" t="n">
        <v>0.101</v>
      </c>
    </row>
    <row r="2145" spans="1:13">
      <c r="A2145" s="1">
        <f>HYPERLINK("http://www.twitter.com/NathanBLawrence/status/991728465605996544", "991728465605996544")</f>
        <v/>
      </c>
      <c r="B2145" s="2" t="n">
        <v>43222.72067129629</v>
      </c>
      <c r="C2145" t="n">
        <v>0</v>
      </c>
      <c r="D2145" t="n">
        <v>8</v>
      </c>
      <c r="E2145" t="s">
        <v>2117</v>
      </c>
      <c r="F2145" t="s"/>
      <c r="G2145" t="s"/>
      <c r="H2145" t="s"/>
      <c r="I2145" t="s"/>
      <c r="J2145" t="n">
        <v>0.4019</v>
      </c>
      <c r="K2145" t="n">
        <v>0.08400000000000001</v>
      </c>
      <c r="L2145" t="n">
        <v>0.728</v>
      </c>
      <c r="M2145" t="n">
        <v>0.188</v>
      </c>
    </row>
    <row r="2146" spans="1:13">
      <c r="A2146" s="1">
        <f>HYPERLINK("http://www.twitter.com/NathanBLawrence/status/991658158140600320", "991658158140600320")</f>
        <v/>
      </c>
      <c r="B2146" s="2" t="n">
        <v>43222.5266550926</v>
      </c>
      <c r="C2146" t="n">
        <v>0</v>
      </c>
      <c r="D2146" t="n">
        <v>9</v>
      </c>
      <c r="E2146" t="s">
        <v>2118</v>
      </c>
      <c r="F2146" t="s"/>
      <c r="G2146" t="s"/>
      <c r="H2146" t="s"/>
      <c r="I2146" t="s"/>
      <c r="J2146" t="n">
        <v>-0.4767</v>
      </c>
      <c r="K2146" t="n">
        <v>0.129</v>
      </c>
      <c r="L2146" t="n">
        <v>0.871</v>
      </c>
      <c r="M2146" t="n">
        <v>0</v>
      </c>
    </row>
    <row r="2147" spans="1:13">
      <c r="A2147" s="1">
        <f>HYPERLINK("http://www.twitter.com/NathanBLawrence/status/991657870075809792", "991657870075809792")</f>
        <v/>
      </c>
      <c r="B2147" s="2" t="n">
        <v>43222.52585648148</v>
      </c>
      <c r="C2147" t="n">
        <v>0</v>
      </c>
      <c r="D2147" t="n">
        <v>7</v>
      </c>
      <c r="E2147" t="s">
        <v>2119</v>
      </c>
      <c r="F2147" t="s"/>
      <c r="G2147" t="s"/>
      <c r="H2147" t="s"/>
      <c r="I2147" t="s"/>
      <c r="J2147" t="n">
        <v>0.875</v>
      </c>
      <c r="K2147" t="n">
        <v>0</v>
      </c>
      <c r="L2147" t="n">
        <v>0.656</v>
      </c>
      <c r="M2147" t="n">
        <v>0.344</v>
      </c>
    </row>
    <row r="2148" spans="1:13">
      <c r="A2148" s="1">
        <f>HYPERLINK("http://www.twitter.com/NathanBLawrence/status/991657728786526209", "991657728786526209")</f>
        <v/>
      </c>
      <c r="B2148" s="2" t="n">
        <v>43222.52547453704</v>
      </c>
      <c r="C2148" t="n">
        <v>1</v>
      </c>
      <c r="D2148" t="n">
        <v>0</v>
      </c>
      <c r="E2148" t="s">
        <v>2120</v>
      </c>
      <c r="F2148" t="s"/>
      <c r="G2148" t="s"/>
      <c r="H2148" t="s"/>
      <c r="I2148" t="s"/>
      <c r="J2148" t="n">
        <v>0.4497</v>
      </c>
      <c r="K2148" t="n">
        <v>0</v>
      </c>
      <c r="L2148" t="n">
        <v>0.913</v>
      </c>
      <c r="M2148" t="n">
        <v>0.08699999999999999</v>
      </c>
    </row>
    <row r="2149" spans="1:13">
      <c r="A2149" s="1">
        <f>HYPERLINK("http://www.twitter.com/NathanBLawrence/status/991657295280033793", "991657295280033793")</f>
        <v/>
      </c>
      <c r="B2149" s="2" t="n">
        <v>43222.52427083333</v>
      </c>
      <c r="C2149" t="n">
        <v>0</v>
      </c>
      <c r="D2149" t="n">
        <v>0</v>
      </c>
      <c r="E2149" t="s">
        <v>2121</v>
      </c>
      <c r="F2149" t="s"/>
      <c r="G2149" t="s"/>
      <c r="H2149" t="s"/>
      <c r="I2149" t="s"/>
      <c r="J2149" t="n">
        <v>-0.0258</v>
      </c>
      <c r="K2149" t="n">
        <v>0.136</v>
      </c>
      <c r="L2149" t="n">
        <v>0.733</v>
      </c>
      <c r="M2149" t="n">
        <v>0.131</v>
      </c>
    </row>
    <row r="2150" spans="1:13">
      <c r="A2150" s="1">
        <f>HYPERLINK("http://www.twitter.com/NathanBLawrence/status/991652959682523136", "991652959682523136")</f>
        <v/>
      </c>
      <c r="B2150" s="2" t="n">
        <v>43222.51231481481</v>
      </c>
      <c r="C2150" t="n">
        <v>2</v>
      </c>
      <c r="D2150" t="n">
        <v>0</v>
      </c>
      <c r="E2150" t="s">
        <v>2122</v>
      </c>
      <c r="F2150" t="s"/>
      <c r="G2150" t="s"/>
      <c r="H2150" t="s"/>
      <c r="I2150" t="s"/>
      <c r="J2150" t="n">
        <v>0.308</v>
      </c>
      <c r="K2150" t="n">
        <v>0.099</v>
      </c>
      <c r="L2150" t="n">
        <v>0.749</v>
      </c>
      <c r="M2150" t="n">
        <v>0.152</v>
      </c>
    </row>
    <row r="2151" spans="1:13">
      <c r="A2151" s="1">
        <f>HYPERLINK("http://www.twitter.com/NathanBLawrence/status/991651865577312261", "991651865577312261")</f>
        <v/>
      </c>
      <c r="B2151" s="2" t="n">
        <v>43222.50929398148</v>
      </c>
      <c r="C2151" t="n">
        <v>0</v>
      </c>
      <c r="D2151" t="n">
        <v>4761</v>
      </c>
      <c r="E2151" t="s">
        <v>2123</v>
      </c>
      <c r="F2151" t="s"/>
      <c r="G2151" t="s"/>
      <c r="H2151" t="s"/>
      <c r="I2151" t="s"/>
      <c r="J2151" t="n">
        <v>0.6597</v>
      </c>
      <c r="K2151" t="n">
        <v>0</v>
      </c>
      <c r="L2151" t="n">
        <v>0.779</v>
      </c>
      <c r="M2151" t="n">
        <v>0.221</v>
      </c>
    </row>
    <row r="2152" spans="1:13">
      <c r="A2152" s="1">
        <f>HYPERLINK("http://www.twitter.com/NathanBLawrence/status/991593819425697792", "991593819425697792")</f>
        <v/>
      </c>
      <c r="B2152" s="2" t="n">
        <v>43222.34912037037</v>
      </c>
      <c r="C2152" t="n">
        <v>0</v>
      </c>
      <c r="D2152" t="n">
        <v>57</v>
      </c>
      <c r="E2152" t="s">
        <v>2124</v>
      </c>
      <c r="F2152">
        <f>HYPERLINK("http://pbs.twimg.com/media/DcIg07qV0AAqUGw.jpg", "http://pbs.twimg.com/media/DcIg07qV0AAqUGw.jpg")</f>
        <v/>
      </c>
      <c r="G2152" t="s"/>
      <c r="H2152" t="s"/>
      <c r="I2152" t="s"/>
      <c r="J2152" t="n">
        <v>-0.3724</v>
      </c>
      <c r="K2152" t="n">
        <v>0.093</v>
      </c>
      <c r="L2152" t="n">
        <v>0.907</v>
      </c>
      <c r="M2152" t="n">
        <v>0</v>
      </c>
    </row>
    <row r="2153" spans="1:13">
      <c r="A2153" s="1">
        <f>HYPERLINK("http://www.twitter.com/NathanBLawrence/status/991591777495904256", "991591777495904256")</f>
        <v/>
      </c>
      <c r="B2153" s="2" t="n">
        <v>43222.3434837963</v>
      </c>
      <c r="C2153" t="n">
        <v>0</v>
      </c>
      <c r="D2153" t="n">
        <v>3990</v>
      </c>
      <c r="E2153" t="s">
        <v>2125</v>
      </c>
      <c r="F2153">
        <f>HYPERLINK("http://pbs.twimg.com/media/DbrgbWlUQAAVLXG.jpg", "http://pbs.twimg.com/media/DbrgbWlUQAAVLXG.jpg")</f>
        <v/>
      </c>
      <c r="G2153">
        <f>HYPERLINK("http://pbs.twimg.com/media/DbrgbWsU0AAQok2.jpg", "http://pbs.twimg.com/media/DbrgbWsU0AAQok2.jpg")</f>
        <v/>
      </c>
      <c r="H2153" t="s"/>
      <c r="I2153" t="s"/>
      <c r="J2153" t="n">
        <v>-0.2732</v>
      </c>
      <c r="K2153" t="n">
        <v>0.196</v>
      </c>
      <c r="L2153" t="n">
        <v>0.694</v>
      </c>
      <c r="M2153" t="n">
        <v>0.11</v>
      </c>
    </row>
    <row r="2154" spans="1:13">
      <c r="A2154" s="1">
        <f>HYPERLINK("http://www.twitter.com/NathanBLawrence/status/991557972185833473", "991557972185833473")</f>
        <v/>
      </c>
      <c r="B2154" s="2" t="n">
        <v>43222.25019675926</v>
      </c>
      <c r="C2154" t="n">
        <v>0</v>
      </c>
      <c r="D2154" t="n">
        <v>22</v>
      </c>
      <c r="E2154" t="s">
        <v>2126</v>
      </c>
      <c r="F2154">
        <f>HYPERLINK("http://pbs.twimg.com/media/DcJt_IDWsAEU5e6.jpg", "http://pbs.twimg.com/media/DcJt_IDWsAEU5e6.jpg")</f>
        <v/>
      </c>
      <c r="G2154" t="s"/>
      <c r="H2154" t="s"/>
      <c r="I2154" t="s"/>
      <c r="J2154" t="n">
        <v>0.3382</v>
      </c>
      <c r="K2154" t="n">
        <v>0</v>
      </c>
      <c r="L2154" t="n">
        <v>0.906</v>
      </c>
      <c r="M2154" t="n">
        <v>0.094</v>
      </c>
    </row>
    <row r="2155" spans="1:13">
      <c r="A2155" s="1">
        <f>HYPERLINK("http://www.twitter.com/NathanBLawrence/status/991557919505305600", "991557919505305600")</f>
        <v/>
      </c>
      <c r="B2155" s="2" t="n">
        <v>43222.2500462963</v>
      </c>
      <c r="C2155" t="n">
        <v>0</v>
      </c>
      <c r="D2155" t="n">
        <v>3</v>
      </c>
      <c r="E2155" t="s">
        <v>2127</v>
      </c>
      <c r="F2155" t="s"/>
      <c r="G2155" t="s"/>
      <c r="H2155" t="s"/>
      <c r="I2155" t="s"/>
      <c r="J2155" t="n">
        <v>0.6239</v>
      </c>
      <c r="K2155" t="n">
        <v>0</v>
      </c>
      <c r="L2155" t="n">
        <v>0.806</v>
      </c>
      <c r="M2155" t="n">
        <v>0.194</v>
      </c>
    </row>
    <row r="2156" spans="1:13">
      <c r="A2156" s="1">
        <f>HYPERLINK("http://www.twitter.com/NathanBLawrence/status/991557858914455552", "991557858914455552")</f>
        <v/>
      </c>
      <c r="B2156" s="2" t="n">
        <v>43222.24988425926</v>
      </c>
      <c r="C2156" t="n">
        <v>0</v>
      </c>
      <c r="D2156" t="n">
        <v>16</v>
      </c>
      <c r="E2156" t="s">
        <v>2128</v>
      </c>
      <c r="F2156">
        <f>HYPERLINK("http://pbs.twimg.com/media/DcKZW_ZU0AAtOTj.jpg", "http://pbs.twimg.com/media/DcKZW_ZU0AAtOTj.jpg")</f>
        <v/>
      </c>
      <c r="G2156" t="s"/>
      <c r="H2156" t="s"/>
      <c r="I2156" t="s"/>
      <c r="J2156" t="n">
        <v>0.1677</v>
      </c>
      <c r="K2156" t="n">
        <v>0.101</v>
      </c>
      <c r="L2156" t="n">
        <v>0.747</v>
      </c>
      <c r="M2156" t="n">
        <v>0.152</v>
      </c>
    </row>
    <row r="2157" spans="1:13">
      <c r="A2157" s="1">
        <f>HYPERLINK("http://www.twitter.com/NathanBLawrence/status/991544740746285057", "991544740746285057")</f>
        <v/>
      </c>
      <c r="B2157" s="2" t="n">
        <v>43222.21368055556</v>
      </c>
      <c r="C2157" t="n">
        <v>0</v>
      </c>
      <c r="D2157" t="n">
        <v>1254</v>
      </c>
      <c r="E2157" t="s">
        <v>2129</v>
      </c>
      <c r="F2157" t="s"/>
      <c r="G2157" t="s"/>
      <c r="H2157" t="s"/>
      <c r="I2157" t="s"/>
      <c r="J2157" t="n">
        <v>0.2732</v>
      </c>
      <c r="K2157" t="n">
        <v>0</v>
      </c>
      <c r="L2157" t="n">
        <v>0.861</v>
      </c>
      <c r="M2157" t="n">
        <v>0.139</v>
      </c>
    </row>
    <row r="2158" spans="1:13">
      <c r="A2158" s="1">
        <f>HYPERLINK("http://www.twitter.com/NathanBLawrence/status/991544657162194944", "991544657162194944")</f>
        <v/>
      </c>
      <c r="B2158" s="2" t="n">
        <v>43222.21344907407</v>
      </c>
      <c r="C2158" t="n">
        <v>0</v>
      </c>
      <c r="D2158" t="n">
        <v>8279</v>
      </c>
      <c r="E2158" t="s">
        <v>2130</v>
      </c>
      <c r="F2158" t="s"/>
      <c r="G2158" t="s"/>
      <c r="H2158" t="s"/>
      <c r="I2158" t="s"/>
      <c r="J2158" t="n">
        <v>0.3612</v>
      </c>
      <c r="K2158" t="n">
        <v>0.151</v>
      </c>
      <c r="L2158" t="n">
        <v>0.573</v>
      </c>
      <c r="M2158" t="n">
        <v>0.276</v>
      </c>
    </row>
    <row r="2159" spans="1:13">
      <c r="A2159" s="1">
        <f>HYPERLINK("http://www.twitter.com/NathanBLawrence/status/991543623027167232", "991543623027167232")</f>
        <v/>
      </c>
      <c r="B2159" s="2" t="n">
        <v>43222.21060185185</v>
      </c>
      <c r="C2159" t="n">
        <v>0</v>
      </c>
      <c r="D2159" t="n">
        <v>70</v>
      </c>
      <c r="E2159" t="s">
        <v>2131</v>
      </c>
      <c r="F2159" t="s"/>
      <c r="G2159" t="s"/>
      <c r="H2159" t="s"/>
      <c r="I2159" t="s"/>
      <c r="J2159" t="n">
        <v>0</v>
      </c>
      <c r="K2159" t="n">
        <v>0</v>
      </c>
      <c r="L2159" t="n">
        <v>1</v>
      </c>
      <c r="M2159" t="n">
        <v>0</v>
      </c>
    </row>
    <row r="2160" spans="1:13">
      <c r="A2160" s="1">
        <f>HYPERLINK("http://www.twitter.com/NathanBLawrence/status/991543567058460672", "991543567058460672")</f>
        <v/>
      </c>
      <c r="B2160" s="2" t="n">
        <v>43222.21045138889</v>
      </c>
      <c r="C2160" t="n">
        <v>0</v>
      </c>
      <c r="D2160" t="n">
        <v>739</v>
      </c>
      <c r="E2160" t="s">
        <v>2132</v>
      </c>
      <c r="F2160" t="s"/>
      <c r="G2160" t="s"/>
      <c r="H2160" t="s"/>
      <c r="I2160" t="s"/>
      <c r="J2160" t="n">
        <v>0</v>
      </c>
      <c r="K2160" t="n">
        <v>0</v>
      </c>
      <c r="L2160" t="n">
        <v>1</v>
      </c>
      <c r="M2160" t="n">
        <v>0</v>
      </c>
    </row>
    <row r="2161" spans="1:13">
      <c r="A2161" s="1">
        <f>HYPERLINK("http://www.twitter.com/NathanBLawrence/status/991542191687335936", "991542191687335936")</f>
        <v/>
      </c>
      <c r="B2161" s="2" t="n">
        <v>43222.2066550926</v>
      </c>
      <c r="C2161" t="n">
        <v>0</v>
      </c>
      <c r="D2161" t="n">
        <v>2</v>
      </c>
      <c r="E2161" t="s">
        <v>2133</v>
      </c>
      <c r="F2161" t="s"/>
      <c r="G2161" t="s"/>
      <c r="H2161" t="s"/>
      <c r="I2161" t="s"/>
      <c r="J2161" t="n">
        <v>0.2057</v>
      </c>
      <c r="K2161" t="n">
        <v>0</v>
      </c>
      <c r="L2161" t="n">
        <v>0.927</v>
      </c>
      <c r="M2161" t="n">
        <v>0.073</v>
      </c>
    </row>
    <row r="2162" spans="1:13">
      <c r="A2162" s="1">
        <f>HYPERLINK("http://www.twitter.com/NathanBLawrence/status/991528924743159809", "991528924743159809")</f>
        <v/>
      </c>
      <c r="B2162" s="2" t="n">
        <v>43222.1700462963</v>
      </c>
      <c r="C2162" t="n">
        <v>0</v>
      </c>
      <c r="D2162" t="n">
        <v>0</v>
      </c>
      <c r="E2162" t="s">
        <v>2134</v>
      </c>
      <c r="F2162" t="s"/>
      <c r="G2162" t="s"/>
      <c r="H2162" t="s"/>
      <c r="I2162" t="s"/>
      <c r="J2162" t="n">
        <v>0.3818</v>
      </c>
      <c r="K2162" t="n">
        <v>0.131</v>
      </c>
      <c r="L2162" t="n">
        <v>0.695</v>
      </c>
      <c r="M2162" t="n">
        <v>0.174</v>
      </c>
    </row>
    <row r="2163" spans="1:13">
      <c r="A2163" s="1">
        <f>HYPERLINK("http://www.twitter.com/NathanBLawrence/status/991518048845787138", "991518048845787138")</f>
        <v/>
      </c>
      <c r="B2163" s="2" t="n">
        <v>43222.14003472222</v>
      </c>
      <c r="C2163" t="n">
        <v>0</v>
      </c>
      <c r="D2163" t="n">
        <v>13</v>
      </c>
      <c r="E2163" t="s">
        <v>2135</v>
      </c>
      <c r="F2163">
        <f>HYPERLINK("http://pbs.twimg.com/media/DcKUW7mWAAA7Osp.jpg", "http://pbs.twimg.com/media/DcKUW7mWAAA7Osp.jpg")</f>
        <v/>
      </c>
      <c r="G2163" t="s"/>
      <c r="H2163" t="s"/>
      <c r="I2163" t="s"/>
      <c r="J2163" t="n">
        <v>0.4404</v>
      </c>
      <c r="K2163" t="n">
        <v>0</v>
      </c>
      <c r="L2163" t="n">
        <v>0.854</v>
      </c>
      <c r="M2163" t="n">
        <v>0.146</v>
      </c>
    </row>
    <row r="2164" spans="1:13">
      <c r="A2164" s="1">
        <f>HYPERLINK("http://www.twitter.com/NathanBLawrence/status/991518001064275973", "991518001064275973")</f>
        <v/>
      </c>
      <c r="B2164" s="2" t="n">
        <v>43222.13989583333</v>
      </c>
      <c r="C2164" t="n">
        <v>22</v>
      </c>
      <c r="D2164" t="n">
        <v>13</v>
      </c>
      <c r="E2164" t="s">
        <v>2136</v>
      </c>
      <c r="F2164">
        <f>HYPERLINK("http://pbs.twimg.com/media/DcKUW7mWAAA7Osp.jpg", "http://pbs.twimg.com/media/DcKUW7mWAAA7Osp.jpg")</f>
        <v/>
      </c>
      <c r="G2164" t="s"/>
      <c r="H2164" t="s"/>
      <c r="I2164" t="s"/>
      <c r="J2164" t="n">
        <v>-0.3608</v>
      </c>
      <c r="K2164" t="n">
        <v>0.185</v>
      </c>
      <c r="L2164" t="n">
        <v>0.701</v>
      </c>
      <c r="M2164" t="n">
        <v>0.113</v>
      </c>
    </row>
    <row r="2165" spans="1:13">
      <c r="A2165" s="1">
        <f>HYPERLINK("http://www.twitter.com/NathanBLawrence/status/991509016143679488", "991509016143679488")</f>
        <v/>
      </c>
      <c r="B2165" s="2" t="n">
        <v>43222.11510416667</v>
      </c>
      <c r="C2165" t="n">
        <v>1</v>
      </c>
      <c r="D2165" t="n">
        <v>0</v>
      </c>
      <c r="E2165" t="s">
        <v>2137</v>
      </c>
      <c r="F2165" t="s"/>
      <c r="G2165" t="s"/>
      <c r="H2165" t="s"/>
      <c r="I2165" t="s"/>
      <c r="J2165" t="n">
        <v>0.7402</v>
      </c>
      <c r="K2165" t="n">
        <v>0</v>
      </c>
      <c r="L2165" t="n">
        <v>0.752</v>
      </c>
      <c r="M2165" t="n">
        <v>0.248</v>
      </c>
    </row>
    <row r="2166" spans="1:13">
      <c r="A2166" s="1">
        <f>HYPERLINK("http://www.twitter.com/NathanBLawrence/status/991508806789148673", "991508806789148673")</f>
        <v/>
      </c>
      <c r="B2166" s="2" t="n">
        <v>43222.11452546297</v>
      </c>
      <c r="C2166" t="n">
        <v>0</v>
      </c>
      <c r="D2166" t="n">
        <v>12658</v>
      </c>
      <c r="E2166" t="s">
        <v>2138</v>
      </c>
      <c r="F2166" t="s"/>
      <c r="G2166" t="s"/>
      <c r="H2166" t="s"/>
      <c r="I2166" t="s"/>
      <c r="J2166" t="n">
        <v>0.0258</v>
      </c>
      <c r="K2166" t="n">
        <v>0</v>
      </c>
      <c r="L2166" t="n">
        <v>0.956</v>
      </c>
      <c r="M2166" t="n">
        <v>0.044</v>
      </c>
    </row>
    <row r="2167" spans="1:13">
      <c r="A2167" s="1">
        <f>HYPERLINK("http://www.twitter.com/NathanBLawrence/status/991508776745340928", "991508776745340928")</f>
        <v/>
      </c>
      <c r="B2167" s="2" t="n">
        <v>43222.11444444444</v>
      </c>
      <c r="C2167" t="n">
        <v>0</v>
      </c>
      <c r="D2167" t="n">
        <v>4006</v>
      </c>
      <c r="E2167" t="s">
        <v>2139</v>
      </c>
      <c r="F2167" t="s"/>
      <c r="G2167" t="s"/>
      <c r="H2167" t="s"/>
      <c r="I2167" t="s"/>
      <c r="J2167" t="n">
        <v>-0.6808</v>
      </c>
      <c r="K2167" t="n">
        <v>0.195</v>
      </c>
      <c r="L2167" t="n">
        <v>0.805</v>
      </c>
      <c r="M2167" t="n">
        <v>0</v>
      </c>
    </row>
    <row r="2168" spans="1:13">
      <c r="A2168" s="1">
        <f>HYPERLINK("http://www.twitter.com/NathanBLawrence/status/991508029236498432", "991508029236498432")</f>
        <v/>
      </c>
      <c r="B2168" s="2" t="n">
        <v>43222.11238425926</v>
      </c>
      <c r="C2168" t="n">
        <v>0</v>
      </c>
      <c r="D2168" t="n">
        <v>10949</v>
      </c>
      <c r="E2168" t="s">
        <v>2140</v>
      </c>
      <c r="F2168" t="s"/>
      <c r="G2168" t="s"/>
      <c r="H2168" t="s"/>
      <c r="I2168" t="s"/>
      <c r="J2168" t="n">
        <v>0.6597</v>
      </c>
      <c r="K2168" t="n">
        <v>0</v>
      </c>
      <c r="L2168" t="n">
        <v>0.769</v>
      </c>
      <c r="M2168" t="n">
        <v>0.231</v>
      </c>
    </row>
    <row r="2169" spans="1:13">
      <c r="A2169" s="1">
        <f>HYPERLINK("http://www.twitter.com/NathanBLawrence/status/991507787887890433", "991507787887890433")</f>
        <v/>
      </c>
      <c r="B2169" s="2" t="n">
        <v>43222.11171296296</v>
      </c>
      <c r="C2169" t="n">
        <v>0</v>
      </c>
      <c r="D2169" t="n">
        <v>6</v>
      </c>
      <c r="E2169" t="s">
        <v>2141</v>
      </c>
      <c r="F2169" t="s"/>
      <c r="G2169" t="s"/>
      <c r="H2169" t="s"/>
      <c r="I2169" t="s"/>
      <c r="J2169" t="n">
        <v>0</v>
      </c>
      <c r="K2169" t="n">
        <v>0</v>
      </c>
      <c r="L2169" t="n">
        <v>1</v>
      </c>
      <c r="M2169" t="n">
        <v>0</v>
      </c>
    </row>
    <row r="2170" spans="1:13">
      <c r="A2170" s="1">
        <f>HYPERLINK("http://www.twitter.com/NathanBLawrence/status/991505889873006592", "991505889873006592")</f>
        <v/>
      </c>
      <c r="B2170" s="2" t="n">
        <v>43222.10648148148</v>
      </c>
      <c r="C2170" t="n">
        <v>12</v>
      </c>
      <c r="D2170" t="n">
        <v>6</v>
      </c>
      <c r="E2170" t="s">
        <v>2142</v>
      </c>
      <c r="F2170" t="s"/>
      <c r="G2170" t="s"/>
      <c r="H2170" t="s"/>
      <c r="I2170" t="s"/>
      <c r="J2170" t="n">
        <v>0.4588</v>
      </c>
      <c r="K2170" t="n">
        <v>0</v>
      </c>
      <c r="L2170" t="n">
        <v>0.93</v>
      </c>
      <c r="M2170" t="n">
        <v>0.07000000000000001</v>
      </c>
    </row>
    <row r="2171" spans="1:13">
      <c r="A2171" s="1">
        <f>HYPERLINK("http://www.twitter.com/NathanBLawrence/status/991497091942842368", "991497091942842368")</f>
        <v/>
      </c>
      <c r="B2171" s="2" t="n">
        <v>43222.08219907407</v>
      </c>
      <c r="C2171" t="n">
        <v>0</v>
      </c>
      <c r="D2171" t="n">
        <v>24</v>
      </c>
      <c r="E2171" t="s">
        <v>2143</v>
      </c>
      <c r="F2171" t="s"/>
      <c r="G2171" t="s"/>
      <c r="H2171" t="s"/>
      <c r="I2171" t="s"/>
      <c r="J2171" t="n">
        <v>-0.4767</v>
      </c>
      <c r="K2171" t="n">
        <v>0.278</v>
      </c>
      <c r="L2171" t="n">
        <v>0.628</v>
      </c>
      <c r="M2171" t="n">
        <v>0.094</v>
      </c>
    </row>
    <row r="2172" spans="1:13">
      <c r="A2172" s="1">
        <f>HYPERLINK("http://www.twitter.com/NathanBLawrence/status/991493567477665793", "991493567477665793")</f>
        <v/>
      </c>
      <c r="B2172" s="2" t="n">
        <v>43222.07247685185</v>
      </c>
      <c r="C2172" t="n">
        <v>0</v>
      </c>
      <c r="D2172" t="n">
        <v>11622</v>
      </c>
      <c r="E2172" t="s">
        <v>2144</v>
      </c>
      <c r="F2172" t="s"/>
      <c r="G2172" t="s"/>
      <c r="H2172" t="s"/>
      <c r="I2172" t="s"/>
      <c r="J2172" t="n">
        <v>-0.2263</v>
      </c>
      <c r="K2172" t="n">
        <v>0.221</v>
      </c>
      <c r="L2172" t="n">
        <v>0.632</v>
      </c>
      <c r="M2172" t="n">
        <v>0.146</v>
      </c>
    </row>
    <row r="2173" spans="1:13">
      <c r="A2173" s="1">
        <f>HYPERLINK("http://www.twitter.com/NathanBLawrence/status/991493528487415808", "991493528487415808")</f>
        <v/>
      </c>
      <c r="B2173" s="2" t="n">
        <v>43222.07236111111</v>
      </c>
      <c r="C2173" t="n">
        <v>0</v>
      </c>
      <c r="D2173" t="n">
        <v>2</v>
      </c>
      <c r="E2173" t="s">
        <v>2145</v>
      </c>
      <c r="F2173" t="s"/>
      <c r="G2173" t="s"/>
      <c r="H2173" t="s"/>
      <c r="I2173" t="s"/>
      <c r="J2173" t="n">
        <v>0</v>
      </c>
      <c r="K2173" t="n">
        <v>0</v>
      </c>
      <c r="L2173" t="n">
        <v>1</v>
      </c>
      <c r="M2173" t="n">
        <v>0</v>
      </c>
    </row>
    <row r="2174" spans="1:13">
      <c r="A2174" s="1">
        <f>HYPERLINK("http://www.twitter.com/NathanBLawrence/status/991493513174011904", "991493513174011904")</f>
        <v/>
      </c>
      <c r="B2174" s="2" t="n">
        <v>43222.07232638889</v>
      </c>
      <c r="C2174" t="n">
        <v>0</v>
      </c>
      <c r="D2174" t="n">
        <v>3843</v>
      </c>
      <c r="E2174" t="s">
        <v>2146</v>
      </c>
      <c r="F2174" t="s"/>
      <c r="G2174" t="s"/>
      <c r="H2174" t="s"/>
      <c r="I2174" t="s"/>
      <c r="J2174" t="n">
        <v>-0.4404</v>
      </c>
      <c r="K2174" t="n">
        <v>0.104</v>
      </c>
      <c r="L2174" t="n">
        <v>0.896</v>
      </c>
      <c r="M2174" t="n">
        <v>0</v>
      </c>
    </row>
    <row r="2175" spans="1:13">
      <c r="A2175" s="1">
        <f>HYPERLINK("http://www.twitter.com/NathanBLawrence/status/991493486892511232", "991493486892511232")</f>
        <v/>
      </c>
      <c r="B2175" s="2" t="n">
        <v>43222.07224537037</v>
      </c>
      <c r="C2175" t="n">
        <v>0</v>
      </c>
      <c r="D2175" t="n">
        <v>2</v>
      </c>
      <c r="E2175" t="s">
        <v>2147</v>
      </c>
      <c r="F2175" t="s"/>
      <c r="G2175" t="s"/>
      <c r="H2175" t="s"/>
      <c r="I2175" t="s"/>
      <c r="J2175" t="n">
        <v>0</v>
      </c>
      <c r="K2175" t="n">
        <v>0</v>
      </c>
      <c r="L2175" t="n">
        <v>1</v>
      </c>
      <c r="M2175" t="n">
        <v>0</v>
      </c>
    </row>
    <row r="2176" spans="1:13">
      <c r="A2176" s="1">
        <f>HYPERLINK("http://www.twitter.com/NathanBLawrence/status/991469244356407296", "991469244356407296")</f>
        <v/>
      </c>
      <c r="B2176" s="2" t="n">
        <v>43222.0053587963</v>
      </c>
      <c r="C2176" t="n">
        <v>0</v>
      </c>
      <c r="D2176" t="n">
        <v>7</v>
      </c>
      <c r="E2176" t="s">
        <v>2148</v>
      </c>
      <c r="F2176" t="s"/>
      <c r="G2176" t="s"/>
      <c r="H2176" t="s"/>
      <c r="I2176" t="s"/>
      <c r="J2176" t="n">
        <v>-0.6597</v>
      </c>
      <c r="K2176" t="n">
        <v>0.231</v>
      </c>
      <c r="L2176" t="n">
        <v>0.769</v>
      </c>
      <c r="M2176" t="n">
        <v>0</v>
      </c>
    </row>
    <row r="2177" spans="1:13">
      <c r="A2177" s="1">
        <f>HYPERLINK("http://www.twitter.com/NathanBLawrence/status/991469221778542592", "991469221778542592")</f>
        <v/>
      </c>
      <c r="B2177" s="2" t="n">
        <v>43222.00528935185</v>
      </c>
      <c r="C2177" t="n">
        <v>0</v>
      </c>
      <c r="D2177" t="n">
        <v>5</v>
      </c>
      <c r="E2177" t="s">
        <v>2149</v>
      </c>
      <c r="F2177" t="s"/>
      <c r="G2177" t="s"/>
      <c r="H2177" t="s"/>
      <c r="I2177" t="s"/>
      <c r="J2177" t="n">
        <v>-0.5994</v>
      </c>
      <c r="K2177" t="n">
        <v>0.197</v>
      </c>
      <c r="L2177" t="n">
        <v>0.803</v>
      </c>
      <c r="M2177" t="n">
        <v>0</v>
      </c>
    </row>
    <row r="2178" spans="1:13">
      <c r="A2178" s="1">
        <f>HYPERLINK("http://www.twitter.com/NathanBLawrence/status/991461089274679296", "991461089274679296")</f>
        <v/>
      </c>
      <c r="B2178" s="2" t="n">
        <v>43221.98284722222</v>
      </c>
      <c r="C2178" t="n">
        <v>0</v>
      </c>
      <c r="D2178" t="n">
        <v>23</v>
      </c>
      <c r="E2178" t="s">
        <v>2150</v>
      </c>
      <c r="F2178">
        <f>HYPERLINK("http://pbs.twimg.com/media/DcJRrv-UwAEJcKi.jpg", "http://pbs.twimg.com/media/DcJRrv-UwAEJcKi.jpg")</f>
        <v/>
      </c>
      <c r="G2178" t="s"/>
      <c r="H2178" t="s"/>
      <c r="I2178" t="s"/>
      <c r="J2178" t="n">
        <v>0.34</v>
      </c>
      <c r="K2178" t="n">
        <v>0</v>
      </c>
      <c r="L2178" t="n">
        <v>0.888</v>
      </c>
      <c r="M2178" t="n">
        <v>0.112</v>
      </c>
    </row>
    <row r="2179" spans="1:13">
      <c r="A2179" s="1">
        <f>HYPERLINK("http://www.twitter.com/NathanBLawrence/status/991461053862174721", "991461053862174721")</f>
        <v/>
      </c>
      <c r="B2179" s="2" t="n">
        <v>43221.98275462963</v>
      </c>
      <c r="C2179" t="n">
        <v>0</v>
      </c>
      <c r="D2179" t="n">
        <v>17</v>
      </c>
      <c r="E2179" t="s">
        <v>2151</v>
      </c>
      <c r="F2179">
        <f>HYPERLINK("http://pbs.twimg.com/media/DcJaQShWAAAeR28.jpg", "http://pbs.twimg.com/media/DcJaQShWAAAeR28.jpg")</f>
        <v/>
      </c>
      <c r="G2179" t="s"/>
      <c r="H2179" t="s"/>
      <c r="I2179" t="s"/>
      <c r="J2179" t="n">
        <v>0.6486</v>
      </c>
      <c r="K2179" t="n">
        <v>0</v>
      </c>
      <c r="L2179" t="n">
        <v>0.773</v>
      </c>
      <c r="M2179" t="n">
        <v>0.227</v>
      </c>
    </row>
    <row r="2180" spans="1:13">
      <c r="A2180" s="1">
        <f>HYPERLINK("http://www.twitter.com/NathanBLawrence/status/991444412076085248", "991444412076085248")</f>
        <v/>
      </c>
      <c r="B2180" s="2" t="n">
        <v>43221.93682870371</v>
      </c>
      <c r="C2180" t="n">
        <v>2</v>
      </c>
      <c r="D2180" t="n">
        <v>1</v>
      </c>
      <c r="E2180" t="s">
        <v>2152</v>
      </c>
      <c r="F2180" t="s"/>
      <c r="G2180" t="s"/>
      <c r="H2180" t="s"/>
      <c r="I2180" t="s"/>
      <c r="J2180" t="n">
        <v>0.1779</v>
      </c>
      <c r="K2180" t="n">
        <v>0</v>
      </c>
      <c r="L2180" t="n">
        <v>0.886</v>
      </c>
      <c r="M2180" t="n">
        <v>0.114</v>
      </c>
    </row>
    <row r="2181" spans="1:13">
      <c r="A2181" s="1">
        <f>HYPERLINK("http://www.twitter.com/NathanBLawrence/status/991436722725703680", "991436722725703680")</f>
        <v/>
      </c>
      <c r="B2181" s="2" t="n">
        <v>43221.91561342592</v>
      </c>
      <c r="C2181" t="n">
        <v>0</v>
      </c>
      <c r="D2181" t="n">
        <v>12</v>
      </c>
      <c r="E2181" t="s">
        <v>2153</v>
      </c>
      <c r="F2181" t="s"/>
      <c r="G2181" t="s"/>
      <c r="H2181" t="s"/>
      <c r="I2181" t="s"/>
      <c r="J2181" t="n">
        <v>-0.0258</v>
      </c>
      <c r="K2181" t="n">
        <v>0.044</v>
      </c>
      <c r="L2181" t="n">
        <v>0.956</v>
      </c>
      <c r="M2181" t="n">
        <v>0</v>
      </c>
    </row>
    <row r="2182" spans="1:13">
      <c r="A2182" s="1">
        <f>HYPERLINK("http://www.twitter.com/NathanBLawrence/status/991436709039689733", "991436709039689733")</f>
        <v/>
      </c>
      <c r="B2182" s="2" t="n">
        <v>43221.9155787037</v>
      </c>
      <c r="C2182" t="n">
        <v>0</v>
      </c>
      <c r="D2182" t="n">
        <v>1</v>
      </c>
      <c r="E2182" t="s">
        <v>2154</v>
      </c>
      <c r="F2182" t="s"/>
      <c r="G2182" t="s"/>
      <c r="H2182" t="s"/>
      <c r="I2182" t="s"/>
      <c r="J2182" t="n">
        <v>0</v>
      </c>
      <c r="K2182" t="n">
        <v>0</v>
      </c>
      <c r="L2182" t="n">
        <v>1</v>
      </c>
      <c r="M2182" t="n">
        <v>0</v>
      </c>
    </row>
    <row r="2183" spans="1:13">
      <c r="A2183" s="1">
        <f>HYPERLINK("http://www.twitter.com/NathanBLawrence/status/991436694279901184", "991436694279901184")</f>
        <v/>
      </c>
      <c r="B2183" s="2" t="n">
        <v>43221.91553240741</v>
      </c>
      <c r="C2183" t="n">
        <v>0</v>
      </c>
      <c r="D2183" t="n">
        <v>1</v>
      </c>
      <c r="E2183" t="s">
        <v>2155</v>
      </c>
      <c r="F2183" t="s"/>
      <c r="G2183" t="s"/>
      <c r="H2183" t="s"/>
      <c r="I2183" t="s"/>
      <c r="J2183" t="n">
        <v>0.6418</v>
      </c>
      <c r="K2183" t="n">
        <v>0</v>
      </c>
      <c r="L2183" t="n">
        <v>0.8090000000000001</v>
      </c>
      <c r="M2183" t="n">
        <v>0.191</v>
      </c>
    </row>
    <row r="2184" spans="1:13">
      <c r="A2184" s="1">
        <f>HYPERLINK("http://www.twitter.com/NathanBLawrence/status/991436664437428225", "991436664437428225")</f>
        <v/>
      </c>
      <c r="B2184" s="2" t="n">
        <v>43221.91545138889</v>
      </c>
      <c r="C2184" t="n">
        <v>0</v>
      </c>
      <c r="D2184" t="n">
        <v>7</v>
      </c>
      <c r="E2184" t="s">
        <v>2156</v>
      </c>
      <c r="F2184" t="s"/>
      <c r="G2184" t="s"/>
      <c r="H2184" t="s"/>
      <c r="I2184" t="s"/>
      <c r="J2184" t="n">
        <v>-0.594</v>
      </c>
      <c r="K2184" t="n">
        <v>0.149</v>
      </c>
      <c r="L2184" t="n">
        <v>0.851</v>
      </c>
      <c r="M2184" t="n">
        <v>0</v>
      </c>
    </row>
    <row r="2185" spans="1:13">
      <c r="A2185" s="1">
        <f>HYPERLINK("http://www.twitter.com/NathanBLawrence/status/991436609517170698", "991436609517170698")</f>
        <v/>
      </c>
      <c r="B2185" s="2" t="n">
        <v>43221.91530092592</v>
      </c>
      <c r="C2185" t="n">
        <v>0</v>
      </c>
      <c r="D2185" t="n">
        <v>6</v>
      </c>
      <c r="E2185" t="s">
        <v>2157</v>
      </c>
      <c r="F2185" t="s"/>
      <c r="G2185" t="s"/>
      <c r="H2185" t="s"/>
      <c r="I2185" t="s"/>
      <c r="J2185" t="n">
        <v>0</v>
      </c>
      <c r="K2185" t="n">
        <v>0</v>
      </c>
      <c r="L2185" t="n">
        <v>1</v>
      </c>
      <c r="M2185" t="n">
        <v>0</v>
      </c>
    </row>
    <row r="2186" spans="1:13">
      <c r="A2186" s="1">
        <f>HYPERLINK("http://www.twitter.com/NathanBLawrence/status/991436546468401152", "991436546468401152")</f>
        <v/>
      </c>
      <c r="B2186" s="2" t="n">
        <v>43221.91512731482</v>
      </c>
      <c r="C2186" t="n">
        <v>0</v>
      </c>
      <c r="D2186" t="n">
        <v>4</v>
      </c>
      <c r="E2186" t="s">
        <v>2158</v>
      </c>
      <c r="F2186" t="s"/>
      <c r="G2186" t="s"/>
      <c r="H2186" t="s"/>
      <c r="I2186" t="s"/>
      <c r="J2186" t="n">
        <v>0</v>
      </c>
      <c r="K2186" t="n">
        <v>0</v>
      </c>
      <c r="L2186" t="n">
        <v>1</v>
      </c>
      <c r="M2186" t="n">
        <v>0</v>
      </c>
    </row>
    <row r="2187" spans="1:13">
      <c r="A2187" s="1">
        <f>HYPERLINK("http://www.twitter.com/NathanBLawrence/status/991436515808108546", "991436515808108546")</f>
        <v/>
      </c>
      <c r="B2187" s="2" t="n">
        <v>43221.91504629629</v>
      </c>
      <c r="C2187" t="n">
        <v>0</v>
      </c>
      <c r="D2187" t="n">
        <v>7</v>
      </c>
      <c r="E2187" t="s">
        <v>2159</v>
      </c>
      <c r="F2187" t="s"/>
      <c r="G2187" t="s"/>
      <c r="H2187" t="s"/>
      <c r="I2187" t="s"/>
      <c r="J2187" t="n">
        <v>0</v>
      </c>
      <c r="K2187" t="n">
        <v>0</v>
      </c>
      <c r="L2187" t="n">
        <v>1</v>
      </c>
      <c r="M2187" t="n">
        <v>0</v>
      </c>
    </row>
    <row r="2188" spans="1:13">
      <c r="A2188" s="1">
        <f>HYPERLINK("http://www.twitter.com/NathanBLawrence/status/991436406059884550", "991436406059884550")</f>
        <v/>
      </c>
      <c r="B2188" s="2" t="n">
        <v>43221.91473379629</v>
      </c>
      <c r="C2188" t="n">
        <v>0</v>
      </c>
      <c r="D2188" t="n">
        <v>2488</v>
      </c>
      <c r="E2188" t="s">
        <v>2160</v>
      </c>
      <c r="F2188">
        <f>HYPERLINK("http://pbs.twimg.com/media/DcDyngCW0AAP45F.jpg", "http://pbs.twimg.com/media/DcDyngCW0AAP45F.jpg")</f>
        <v/>
      </c>
      <c r="G2188" t="s"/>
      <c r="H2188" t="s"/>
      <c r="I2188" t="s"/>
      <c r="J2188" t="n">
        <v>0</v>
      </c>
      <c r="K2188" t="n">
        <v>0</v>
      </c>
      <c r="L2188" t="n">
        <v>1</v>
      </c>
      <c r="M2188" t="n">
        <v>0</v>
      </c>
    </row>
    <row r="2189" spans="1:13">
      <c r="A2189" s="1">
        <f>HYPERLINK("http://www.twitter.com/NathanBLawrence/status/991436348866334724", "991436348866334724")</f>
        <v/>
      </c>
      <c r="B2189" s="2" t="n">
        <v>43221.91458333333</v>
      </c>
      <c r="C2189" t="n">
        <v>0</v>
      </c>
      <c r="D2189" t="n">
        <v>15</v>
      </c>
      <c r="E2189" t="s">
        <v>2161</v>
      </c>
      <c r="F2189" t="s"/>
      <c r="G2189" t="s"/>
      <c r="H2189" t="s"/>
      <c r="I2189" t="s"/>
      <c r="J2189" t="n">
        <v>0.6124000000000001</v>
      </c>
      <c r="K2189" t="n">
        <v>0</v>
      </c>
      <c r="L2189" t="n">
        <v>0.846</v>
      </c>
      <c r="M2189" t="n">
        <v>0.154</v>
      </c>
    </row>
    <row r="2190" spans="1:13">
      <c r="A2190" s="1">
        <f>HYPERLINK("http://www.twitter.com/NathanBLawrence/status/991436300401238017", "991436300401238017")</f>
        <v/>
      </c>
      <c r="B2190" s="2" t="n">
        <v>43221.91444444445</v>
      </c>
      <c r="C2190" t="n">
        <v>0</v>
      </c>
      <c r="D2190" t="n">
        <v>0</v>
      </c>
      <c r="E2190" t="s">
        <v>2162</v>
      </c>
      <c r="F2190" t="s"/>
      <c r="G2190" t="s"/>
      <c r="H2190" t="s"/>
      <c r="I2190" t="s"/>
      <c r="J2190" t="n">
        <v>0</v>
      </c>
      <c r="K2190" t="n">
        <v>0</v>
      </c>
      <c r="L2190" t="n">
        <v>1</v>
      </c>
      <c r="M2190" t="n">
        <v>0</v>
      </c>
    </row>
    <row r="2191" spans="1:13">
      <c r="A2191" s="1">
        <f>HYPERLINK("http://www.twitter.com/NathanBLawrence/status/991433259107213312", "991433259107213312")</f>
        <v/>
      </c>
      <c r="B2191" s="2" t="n">
        <v>43221.90605324074</v>
      </c>
      <c r="C2191" t="n">
        <v>17</v>
      </c>
      <c r="D2191" t="n">
        <v>12</v>
      </c>
      <c r="E2191" t="s">
        <v>2163</v>
      </c>
      <c r="F2191">
        <f>HYPERLINK("http://pbs.twimg.com/media/DcJHSf2UwAALy5c.jpg", "http://pbs.twimg.com/media/DcJHSf2UwAALy5c.jpg")</f>
        <v/>
      </c>
      <c r="G2191" t="s"/>
      <c r="H2191" t="s"/>
      <c r="I2191" t="s"/>
      <c r="J2191" t="n">
        <v>-0.1779</v>
      </c>
      <c r="K2191" t="n">
        <v>0.191</v>
      </c>
      <c r="L2191" t="n">
        <v>0.63</v>
      </c>
      <c r="M2191" t="n">
        <v>0.179</v>
      </c>
    </row>
    <row r="2192" spans="1:13">
      <c r="A2192" s="1">
        <f>HYPERLINK("http://www.twitter.com/NathanBLawrence/status/991430800955592705", "991430800955592705")</f>
        <v/>
      </c>
      <c r="B2192" s="2" t="n">
        <v>43221.89927083333</v>
      </c>
      <c r="C2192" t="n">
        <v>0</v>
      </c>
      <c r="D2192" t="n">
        <v>15</v>
      </c>
      <c r="E2192" t="s">
        <v>2164</v>
      </c>
      <c r="F2192">
        <f>HYPERLINK("http://pbs.twimg.com/media/DcJAujXXkAARzS6.jpg", "http://pbs.twimg.com/media/DcJAujXXkAARzS6.jpg")</f>
        <v/>
      </c>
      <c r="G2192" t="s"/>
      <c r="H2192" t="s"/>
      <c r="I2192" t="s"/>
      <c r="J2192" t="n">
        <v>0</v>
      </c>
      <c r="K2192" t="n">
        <v>0</v>
      </c>
      <c r="L2192" t="n">
        <v>1</v>
      </c>
      <c r="M2192" t="n">
        <v>0</v>
      </c>
    </row>
    <row r="2193" spans="1:13">
      <c r="A2193" s="1">
        <f>HYPERLINK("http://www.twitter.com/NathanBLawrence/status/991426463848189952", "991426463848189952")</f>
        <v/>
      </c>
      <c r="B2193" s="2" t="n">
        <v>43221.88730324074</v>
      </c>
      <c r="C2193" t="n">
        <v>1</v>
      </c>
      <c r="D2193" t="n">
        <v>0</v>
      </c>
      <c r="E2193" t="s">
        <v>2165</v>
      </c>
      <c r="F2193" t="s"/>
      <c r="G2193" t="s"/>
      <c r="H2193" t="s"/>
      <c r="I2193" t="s"/>
      <c r="J2193" t="n">
        <v>0</v>
      </c>
      <c r="K2193" t="n">
        <v>0</v>
      </c>
      <c r="L2193" t="n">
        <v>1</v>
      </c>
      <c r="M2193" t="n">
        <v>0</v>
      </c>
    </row>
    <row r="2194" spans="1:13">
      <c r="A2194" s="1">
        <f>HYPERLINK("http://www.twitter.com/NathanBLawrence/status/991426047076978688", "991426047076978688")</f>
        <v/>
      </c>
      <c r="B2194" s="2" t="n">
        <v>43221.88615740741</v>
      </c>
      <c r="C2194" t="n">
        <v>21</v>
      </c>
      <c r="D2194" t="n">
        <v>15</v>
      </c>
      <c r="E2194" t="s">
        <v>2166</v>
      </c>
      <c r="F2194">
        <f>HYPERLINK("http://pbs.twimg.com/media/DcJAujXXkAARzS6.jpg", "http://pbs.twimg.com/media/DcJAujXXkAARzS6.jpg")</f>
        <v/>
      </c>
      <c r="G2194" t="s"/>
      <c r="H2194" t="s"/>
      <c r="I2194" t="s"/>
      <c r="J2194" t="n">
        <v>0</v>
      </c>
      <c r="K2194" t="n">
        <v>0</v>
      </c>
      <c r="L2194" t="n">
        <v>1</v>
      </c>
      <c r="M2194" t="n">
        <v>0</v>
      </c>
    </row>
    <row r="2195" spans="1:13">
      <c r="A2195" s="1">
        <f>HYPERLINK("http://www.twitter.com/NathanBLawrence/status/991404749206511616", "991404749206511616")</f>
        <v/>
      </c>
      <c r="B2195" s="2" t="n">
        <v>43221.82738425926</v>
      </c>
      <c r="C2195" t="n">
        <v>0</v>
      </c>
      <c r="D2195" t="n">
        <v>246</v>
      </c>
      <c r="E2195" t="s">
        <v>2167</v>
      </c>
      <c r="F2195" t="s"/>
      <c r="G2195" t="s"/>
      <c r="H2195" t="s"/>
      <c r="I2195" t="s"/>
      <c r="J2195" t="n">
        <v>0.7111</v>
      </c>
      <c r="K2195" t="n">
        <v>0</v>
      </c>
      <c r="L2195" t="n">
        <v>0.78</v>
      </c>
      <c r="M2195" t="n">
        <v>0.22</v>
      </c>
    </row>
    <row r="2196" spans="1:13">
      <c r="A2196" s="1">
        <f>HYPERLINK("http://www.twitter.com/NathanBLawrence/status/991404668562665472", "991404668562665472")</f>
        <v/>
      </c>
      <c r="B2196" s="2" t="n">
        <v>43221.82716435185</v>
      </c>
      <c r="C2196" t="n">
        <v>0</v>
      </c>
      <c r="D2196" t="n">
        <v>13</v>
      </c>
      <c r="E2196" t="s">
        <v>2168</v>
      </c>
      <c r="F2196" t="s"/>
      <c r="G2196" t="s"/>
      <c r="H2196" t="s"/>
      <c r="I2196" t="s"/>
      <c r="J2196" t="n">
        <v>-0.3818</v>
      </c>
      <c r="K2196" t="n">
        <v>0.394</v>
      </c>
      <c r="L2196" t="n">
        <v>0.606</v>
      </c>
      <c r="M2196" t="n">
        <v>0</v>
      </c>
    </row>
    <row r="2197" spans="1:13">
      <c r="A2197" s="1">
        <f>HYPERLINK("http://www.twitter.com/NathanBLawrence/status/991404651865149444", "991404651865149444")</f>
        <v/>
      </c>
      <c r="B2197" s="2" t="n">
        <v>43221.82711805555</v>
      </c>
      <c r="C2197" t="n">
        <v>0</v>
      </c>
      <c r="D2197" t="n">
        <v>13</v>
      </c>
      <c r="E2197" t="s">
        <v>2169</v>
      </c>
      <c r="F2197" t="s"/>
      <c r="G2197" t="s"/>
      <c r="H2197" t="s"/>
      <c r="I2197" t="s"/>
      <c r="J2197" t="n">
        <v>0</v>
      </c>
      <c r="K2197" t="n">
        <v>0</v>
      </c>
      <c r="L2197" t="n">
        <v>1</v>
      </c>
      <c r="M2197" t="n">
        <v>0</v>
      </c>
    </row>
    <row r="2198" spans="1:13">
      <c r="A2198" s="1">
        <f>HYPERLINK("http://www.twitter.com/NathanBLawrence/status/991404638690783232", "991404638690783232")</f>
        <v/>
      </c>
      <c r="B2198" s="2" t="n">
        <v>43221.82707175926</v>
      </c>
      <c r="C2198" t="n">
        <v>0</v>
      </c>
      <c r="D2198" t="n">
        <v>32</v>
      </c>
      <c r="E2198" t="s">
        <v>2170</v>
      </c>
      <c r="F2198" t="s"/>
      <c r="G2198" t="s"/>
      <c r="H2198" t="s"/>
      <c r="I2198" t="s"/>
      <c r="J2198" t="n">
        <v>-0.3182</v>
      </c>
      <c r="K2198" t="n">
        <v>0.099</v>
      </c>
      <c r="L2198" t="n">
        <v>0.901</v>
      </c>
      <c r="M2198" t="n">
        <v>0</v>
      </c>
    </row>
    <row r="2199" spans="1:13">
      <c r="A2199" s="1">
        <f>HYPERLINK("http://www.twitter.com/NathanBLawrence/status/991404611562065921", "991404611562065921")</f>
        <v/>
      </c>
      <c r="B2199" s="2" t="n">
        <v>43221.82700231481</v>
      </c>
      <c r="C2199" t="n">
        <v>0</v>
      </c>
      <c r="D2199" t="n">
        <v>28</v>
      </c>
      <c r="E2199" t="s">
        <v>2171</v>
      </c>
      <c r="F2199" t="s"/>
      <c r="G2199" t="s"/>
      <c r="H2199" t="s"/>
      <c r="I2199" t="s"/>
      <c r="J2199" t="n">
        <v>-0.6124000000000001</v>
      </c>
      <c r="K2199" t="n">
        <v>0.308</v>
      </c>
      <c r="L2199" t="n">
        <v>0.6919999999999999</v>
      </c>
      <c r="M2199" t="n">
        <v>0</v>
      </c>
    </row>
    <row r="2200" spans="1:13">
      <c r="A2200" s="1">
        <f>HYPERLINK("http://www.twitter.com/NathanBLawrence/status/991404397065310215", "991404397065310215")</f>
        <v/>
      </c>
      <c r="B2200" s="2" t="n">
        <v>43221.82641203704</v>
      </c>
      <c r="C2200" t="n">
        <v>20</v>
      </c>
      <c r="D2200" t="n">
        <v>15</v>
      </c>
      <c r="E2200" t="s">
        <v>2172</v>
      </c>
      <c r="F2200" t="s"/>
      <c r="G2200" t="s"/>
      <c r="H2200" t="s"/>
      <c r="I2200" t="s"/>
      <c r="J2200" t="n">
        <v>-0.5514</v>
      </c>
      <c r="K2200" t="n">
        <v>0.151</v>
      </c>
      <c r="L2200" t="n">
        <v>0.778</v>
      </c>
      <c r="M2200" t="n">
        <v>0.07099999999999999</v>
      </c>
    </row>
    <row r="2201" spans="1:13">
      <c r="A2201" s="1">
        <f>HYPERLINK("http://www.twitter.com/NathanBLawrence/status/991403604576821252", "991403604576821252")</f>
        <v/>
      </c>
      <c r="B2201" s="2" t="n">
        <v>43221.82422453703</v>
      </c>
      <c r="C2201" t="n">
        <v>0</v>
      </c>
      <c r="D2201" t="n">
        <v>8</v>
      </c>
      <c r="E2201" t="s">
        <v>2173</v>
      </c>
      <c r="F2201" t="s"/>
      <c r="G2201" t="s"/>
      <c r="H2201" t="s"/>
      <c r="I2201" t="s"/>
      <c r="J2201" t="n">
        <v>0.0516</v>
      </c>
      <c r="K2201" t="n">
        <v>0.093</v>
      </c>
      <c r="L2201" t="n">
        <v>0.806</v>
      </c>
      <c r="M2201" t="n">
        <v>0.101</v>
      </c>
    </row>
    <row r="2202" spans="1:13">
      <c r="A2202" s="1">
        <f>HYPERLINK("http://www.twitter.com/NathanBLawrence/status/991403574197411840", "991403574197411840")</f>
        <v/>
      </c>
      <c r="B2202" s="2" t="n">
        <v>43221.82414351852</v>
      </c>
      <c r="C2202" t="n">
        <v>0</v>
      </c>
      <c r="D2202" t="n">
        <v>10</v>
      </c>
      <c r="E2202" t="s">
        <v>2174</v>
      </c>
      <c r="F2202" t="s"/>
      <c r="G2202" t="s"/>
      <c r="H2202" t="s"/>
      <c r="I2202" t="s"/>
      <c r="J2202" t="n">
        <v>0</v>
      </c>
      <c r="K2202" t="n">
        <v>0</v>
      </c>
      <c r="L2202" t="n">
        <v>1</v>
      </c>
      <c r="M2202" t="n">
        <v>0</v>
      </c>
    </row>
    <row r="2203" spans="1:13">
      <c r="A2203" s="1">
        <f>HYPERLINK("http://www.twitter.com/NathanBLawrence/status/991403541829947392", "991403541829947392")</f>
        <v/>
      </c>
      <c r="B2203" s="2" t="n">
        <v>43221.82405092593</v>
      </c>
      <c r="C2203" t="n">
        <v>0</v>
      </c>
      <c r="D2203" t="n">
        <v>10</v>
      </c>
      <c r="E2203" t="s">
        <v>2175</v>
      </c>
      <c r="F2203" t="s"/>
      <c r="G2203" t="s"/>
      <c r="H2203" t="s"/>
      <c r="I2203" t="s"/>
      <c r="J2203" t="n">
        <v>0</v>
      </c>
      <c r="K2203" t="n">
        <v>0</v>
      </c>
      <c r="L2203" t="n">
        <v>1</v>
      </c>
      <c r="M2203" t="n">
        <v>0</v>
      </c>
    </row>
    <row r="2204" spans="1:13">
      <c r="A2204" s="1">
        <f>HYPERLINK("http://www.twitter.com/NathanBLawrence/status/991402354502176768", "991402354502176768")</f>
        <v/>
      </c>
      <c r="B2204" s="2" t="n">
        <v>43221.82077546296</v>
      </c>
      <c r="C2204" t="n">
        <v>0</v>
      </c>
      <c r="D2204" t="n">
        <v>0</v>
      </c>
      <c r="E2204" t="s">
        <v>2176</v>
      </c>
      <c r="F2204" t="s"/>
      <c r="G2204" t="s"/>
      <c r="H2204" t="s"/>
      <c r="I2204" t="s"/>
      <c r="J2204" t="n">
        <v>-0.5859</v>
      </c>
      <c r="K2204" t="n">
        <v>0.388</v>
      </c>
      <c r="L2204" t="n">
        <v>0.612</v>
      </c>
      <c r="M2204" t="n">
        <v>0</v>
      </c>
    </row>
    <row r="2205" spans="1:13">
      <c r="A2205" s="1">
        <f>HYPERLINK("http://www.twitter.com/NathanBLawrence/status/991402251582308357", "991402251582308357")</f>
        <v/>
      </c>
      <c r="B2205" s="2" t="n">
        <v>43221.82048611111</v>
      </c>
      <c r="C2205" t="n">
        <v>0</v>
      </c>
      <c r="D2205" t="n">
        <v>569</v>
      </c>
      <c r="E2205" t="s">
        <v>2177</v>
      </c>
      <c r="F2205" t="s"/>
      <c r="G2205" t="s"/>
      <c r="H2205" t="s"/>
      <c r="I2205" t="s"/>
      <c r="J2205" t="n">
        <v>0</v>
      </c>
      <c r="K2205" t="n">
        <v>0</v>
      </c>
      <c r="L2205" t="n">
        <v>1</v>
      </c>
      <c r="M2205" t="n">
        <v>0</v>
      </c>
    </row>
    <row r="2206" spans="1:13">
      <c r="A2206" s="1">
        <f>HYPERLINK("http://www.twitter.com/NathanBLawrence/status/991402206267047936", "991402206267047936")</f>
        <v/>
      </c>
      <c r="B2206" s="2" t="n">
        <v>43221.8203587963</v>
      </c>
      <c r="C2206" t="n">
        <v>0</v>
      </c>
      <c r="D2206" t="n">
        <v>0</v>
      </c>
      <c r="E2206" t="s">
        <v>2178</v>
      </c>
      <c r="F2206" t="s"/>
      <c r="G2206" t="s"/>
      <c r="H2206" t="s"/>
      <c r="I2206" t="s"/>
      <c r="J2206" t="n">
        <v>0.5266999999999999</v>
      </c>
      <c r="K2206" t="n">
        <v>0</v>
      </c>
      <c r="L2206" t="n">
        <v>0.185</v>
      </c>
      <c r="M2206" t="n">
        <v>0.8149999999999999</v>
      </c>
    </row>
    <row r="2207" spans="1:13">
      <c r="A2207" s="1">
        <f>HYPERLINK("http://www.twitter.com/NathanBLawrence/status/991402106698588161", "991402106698588161")</f>
        <v/>
      </c>
      <c r="B2207" s="2" t="n">
        <v>43221.82009259259</v>
      </c>
      <c r="C2207" t="n">
        <v>0</v>
      </c>
      <c r="D2207" t="n">
        <v>2</v>
      </c>
      <c r="E2207" t="s">
        <v>2179</v>
      </c>
      <c r="F2207" t="s"/>
      <c r="G2207" t="s"/>
      <c r="H2207" t="s"/>
      <c r="I2207" t="s"/>
      <c r="J2207" t="n">
        <v>-0.0258</v>
      </c>
      <c r="K2207" t="n">
        <v>0.09</v>
      </c>
      <c r="L2207" t="n">
        <v>0.824</v>
      </c>
      <c r="M2207" t="n">
        <v>0.08599999999999999</v>
      </c>
    </row>
    <row r="2208" spans="1:13">
      <c r="A2208" s="1">
        <f>HYPERLINK("http://www.twitter.com/NathanBLawrence/status/991402095130693632", "991402095130693632")</f>
        <v/>
      </c>
      <c r="B2208" s="2" t="n">
        <v>43221.82005787037</v>
      </c>
      <c r="C2208" t="n">
        <v>0</v>
      </c>
      <c r="D2208" t="n">
        <v>1282</v>
      </c>
      <c r="E2208" t="s">
        <v>2180</v>
      </c>
      <c r="F2208" t="s"/>
      <c r="G2208" t="s"/>
      <c r="H2208" t="s"/>
      <c r="I2208" t="s"/>
      <c r="J2208" t="n">
        <v>0.4019</v>
      </c>
      <c r="K2208" t="n">
        <v>0</v>
      </c>
      <c r="L2208" t="n">
        <v>0.838</v>
      </c>
      <c r="M2208" t="n">
        <v>0.162</v>
      </c>
    </row>
    <row r="2209" spans="1:13">
      <c r="A2209" s="1">
        <f>HYPERLINK("http://www.twitter.com/NathanBLawrence/status/991402053158232064", "991402053158232064")</f>
        <v/>
      </c>
      <c r="B2209" s="2" t="n">
        <v>43221.81994212963</v>
      </c>
      <c r="C2209" t="n">
        <v>0</v>
      </c>
      <c r="D2209" t="n">
        <v>2</v>
      </c>
      <c r="E2209" t="s">
        <v>2181</v>
      </c>
      <c r="F2209" t="s"/>
      <c r="G2209" t="s"/>
      <c r="H2209" t="s"/>
      <c r="I2209" t="s"/>
      <c r="J2209" t="n">
        <v>-0.5423</v>
      </c>
      <c r="K2209" t="n">
        <v>0.216</v>
      </c>
      <c r="L2209" t="n">
        <v>0.6870000000000001</v>
      </c>
      <c r="M2209" t="n">
        <v>0.096</v>
      </c>
    </row>
    <row r="2210" spans="1:13">
      <c r="A2210" s="1">
        <f>HYPERLINK("http://www.twitter.com/NathanBLawrence/status/991402046875160577", "991402046875160577")</f>
        <v/>
      </c>
      <c r="B2210" s="2" t="n">
        <v>43221.81991898148</v>
      </c>
      <c r="C2210" t="n">
        <v>0</v>
      </c>
      <c r="D2210" t="n">
        <v>1387</v>
      </c>
      <c r="E2210" t="s">
        <v>2182</v>
      </c>
      <c r="F2210" t="s"/>
      <c r="G2210" t="s"/>
      <c r="H2210" t="s"/>
      <c r="I2210" t="s"/>
      <c r="J2210" t="n">
        <v>-0.608</v>
      </c>
      <c r="K2210" t="n">
        <v>0.28</v>
      </c>
      <c r="L2210" t="n">
        <v>0.621</v>
      </c>
      <c r="M2210" t="n">
        <v>0.099</v>
      </c>
    </row>
    <row r="2211" spans="1:13">
      <c r="A2211" s="1">
        <f>HYPERLINK("http://www.twitter.com/NathanBLawrence/status/991399847134711808", "991399847134711808")</f>
        <v/>
      </c>
      <c r="B2211" s="2" t="n">
        <v>43221.81385416666</v>
      </c>
      <c r="C2211" t="n">
        <v>0</v>
      </c>
      <c r="D2211" t="n">
        <v>1</v>
      </c>
      <c r="E2211" t="s">
        <v>2183</v>
      </c>
      <c r="F2211" t="s"/>
      <c r="G2211" t="s"/>
      <c r="H2211" t="s"/>
      <c r="I2211" t="s"/>
      <c r="J2211" t="n">
        <v>0</v>
      </c>
      <c r="K2211" t="n">
        <v>0</v>
      </c>
      <c r="L2211" t="n">
        <v>1</v>
      </c>
      <c r="M2211" t="n">
        <v>0</v>
      </c>
    </row>
    <row r="2212" spans="1:13">
      <c r="A2212" s="1">
        <f>HYPERLINK("http://www.twitter.com/NathanBLawrence/status/991399788766744588", "991399788766744588")</f>
        <v/>
      </c>
      <c r="B2212" s="2" t="n">
        <v>43221.81369212963</v>
      </c>
      <c r="C2212" t="n">
        <v>0</v>
      </c>
      <c r="D2212" t="n">
        <v>2</v>
      </c>
      <c r="E2212" t="s">
        <v>2184</v>
      </c>
      <c r="F2212" t="s"/>
      <c r="G2212" t="s"/>
      <c r="H2212" t="s"/>
      <c r="I2212" t="s"/>
      <c r="J2212" t="n">
        <v>-0.5574</v>
      </c>
      <c r="K2212" t="n">
        <v>0.175</v>
      </c>
      <c r="L2212" t="n">
        <v>0.825</v>
      </c>
      <c r="M2212" t="n">
        <v>0</v>
      </c>
    </row>
    <row r="2213" spans="1:13">
      <c r="A2213" s="1">
        <f>HYPERLINK("http://www.twitter.com/NathanBLawrence/status/991399720814866432", "991399720814866432")</f>
        <v/>
      </c>
      <c r="B2213" s="2" t="n">
        <v>43221.81350694445</v>
      </c>
      <c r="C2213" t="n">
        <v>0</v>
      </c>
      <c r="D2213" t="n">
        <v>392</v>
      </c>
      <c r="E2213" t="s">
        <v>2185</v>
      </c>
      <c r="F2213">
        <f>HYPERLINK("http://pbs.twimg.com/media/DcDLS3eU0AAGQ5g.jpg", "http://pbs.twimg.com/media/DcDLS3eU0AAGQ5g.jpg")</f>
        <v/>
      </c>
      <c r="G2213" t="s"/>
      <c r="H2213" t="s"/>
      <c r="I2213" t="s"/>
      <c r="J2213" t="n">
        <v>-0.5994</v>
      </c>
      <c r="K2213" t="n">
        <v>0.197</v>
      </c>
      <c r="L2213" t="n">
        <v>0.803</v>
      </c>
      <c r="M2213" t="n">
        <v>0</v>
      </c>
    </row>
    <row r="2214" spans="1:13">
      <c r="A2214" s="1">
        <f>HYPERLINK("http://www.twitter.com/NathanBLawrence/status/991399664841871360", "991399664841871360")</f>
        <v/>
      </c>
      <c r="B2214" s="2" t="n">
        <v>43221.81335648148</v>
      </c>
      <c r="C2214" t="n">
        <v>0</v>
      </c>
      <c r="D2214" t="n">
        <v>7</v>
      </c>
      <c r="E2214" t="s">
        <v>2186</v>
      </c>
      <c r="F2214" t="s"/>
      <c r="G2214" t="s"/>
      <c r="H2214" t="s"/>
      <c r="I2214" t="s"/>
      <c r="J2214" t="n">
        <v>-0.7506</v>
      </c>
      <c r="K2214" t="n">
        <v>0.39</v>
      </c>
      <c r="L2214" t="n">
        <v>0.61</v>
      </c>
      <c r="M2214" t="n">
        <v>0</v>
      </c>
    </row>
    <row r="2215" spans="1:13">
      <c r="A2215" s="1">
        <f>HYPERLINK("http://www.twitter.com/NathanBLawrence/status/991399567978573825", "991399567978573825")</f>
        <v/>
      </c>
      <c r="B2215" s="2" t="n">
        <v>43221.8130787037</v>
      </c>
      <c r="C2215" t="n">
        <v>0</v>
      </c>
      <c r="D2215" t="n">
        <v>388</v>
      </c>
      <c r="E2215" t="s">
        <v>2187</v>
      </c>
      <c r="F2215" t="s"/>
      <c r="G2215" t="s"/>
      <c r="H2215" t="s"/>
      <c r="I2215" t="s"/>
      <c r="J2215" t="n">
        <v>0.5574</v>
      </c>
      <c r="K2215" t="n">
        <v>0</v>
      </c>
      <c r="L2215" t="n">
        <v>0.796</v>
      </c>
      <c r="M2215" t="n">
        <v>0.204</v>
      </c>
    </row>
    <row r="2216" spans="1:13">
      <c r="A2216" s="1">
        <f>HYPERLINK("http://www.twitter.com/NathanBLawrence/status/991399385631207424", "991399385631207424")</f>
        <v/>
      </c>
      <c r="B2216" s="2" t="n">
        <v>43221.81258101852</v>
      </c>
      <c r="C2216" t="n">
        <v>2</v>
      </c>
      <c r="D2216" t="n">
        <v>0</v>
      </c>
      <c r="E2216" t="s">
        <v>2188</v>
      </c>
      <c r="F2216" t="s"/>
      <c r="G2216" t="s"/>
      <c r="H2216" t="s"/>
      <c r="I2216" t="s"/>
      <c r="J2216" t="n">
        <v>0.4717</v>
      </c>
      <c r="K2216" t="n">
        <v>0</v>
      </c>
      <c r="L2216" t="n">
        <v>0.619</v>
      </c>
      <c r="M2216" t="n">
        <v>0.381</v>
      </c>
    </row>
    <row r="2217" spans="1:13">
      <c r="A2217" s="1">
        <f>HYPERLINK("http://www.twitter.com/NathanBLawrence/status/991399298574245888", "991399298574245888")</f>
        <v/>
      </c>
      <c r="B2217" s="2" t="n">
        <v>43221.81233796296</v>
      </c>
      <c r="C2217" t="n">
        <v>0</v>
      </c>
      <c r="D2217" t="n">
        <v>47</v>
      </c>
      <c r="E2217" t="s">
        <v>2189</v>
      </c>
      <c r="F2217" t="s"/>
      <c r="G2217" t="s"/>
      <c r="H2217" t="s"/>
      <c r="I2217" t="s"/>
      <c r="J2217" t="n">
        <v>0</v>
      </c>
      <c r="K2217" t="n">
        <v>0</v>
      </c>
      <c r="L2217" t="n">
        <v>1</v>
      </c>
      <c r="M2217" t="n">
        <v>0</v>
      </c>
    </row>
    <row r="2218" spans="1:13">
      <c r="A2218" s="1">
        <f>HYPERLINK("http://www.twitter.com/NathanBLawrence/status/991399272712212481", "991399272712212481")</f>
        <v/>
      </c>
      <c r="B2218" s="2" t="n">
        <v>43221.81226851852</v>
      </c>
      <c r="C2218" t="n">
        <v>0</v>
      </c>
      <c r="D2218" t="n">
        <v>419</v>
      </c>
      <c r="E2218" t="s">
        <v>2190</v>
      </c>
      <c r="F2218" t="s"/>
      <c r="G2218" t="s"/>
      <c r="H2218" t="s"/>
      <c r="I2218" t="s"/>
      <c r="J2218" t="n">
        <v>0</v>
      </c>
      <c r="K2218" t="n">
        <v>0</v>
      </c>
      <c r="L2218" t="n">
        <v>1</v>
      </c>
      <c r="M2218" t="n">
        <v>0</v>
      </c>
    </row>
    <row r="2219" spans="1:13">
      <c r="A2219" s="1">
        <f>HYPERLINK("http://www.twitter.com/NathanBLawrence/status/991399245302390784", "991399245302390784")</f>
        <v/>
      </c>
      <c r="B2219" s="2" t="n">
        <v>43221.81219907408</v>
      </c>
      <c r="C2219" t="n">
        <v>0</v>
      </c>
      <c r="D2219" t="n">
        <v>114</v>
      </c>
      <c r="E2219" t="s">
        <v>2191</v>
      </c>
      <c r="F2219" t="s"/>
      <c r="G2219" t="s"/>
      <c r="H2219" t="s"/>
      <c r="I2219" t="s"/>
      <c r="J2219" t="n">
        <v>-0.4767</v>
      </c>
      <c r="K2219" t="n">
        <v>0.14</v>
      </c>
      <c r="L2219" t="n">
        <v>0.86</v>
      </c>
      <c r="M2219" t="n">
        <v>0</v>
      </c>
    </row>
    <row r="2220" spans="1:13">
      <c r="A2220" s="1">
        <f>HYPERLINK("http://www.twitter.com/NathanBLawrence/status/991399157150646273", "991399157150646273")</f>
        <v/>
      </c>
      <c r="B2220" s="2" t="n">
        <v>43221.81195601852</v>
      </c>
      <c r="C2220" t="n">
        <v>0</v>
      </c>
      <c r="D2220" t="n">
        <v>61</v>
      </c>
      <c r="E2220" t="s">
        <v>2192</v>
      </c>
      <c r="F2220" t="s"/>
      <c r="G2220" t="s"/>
      <c r="H2220" t="s"/>
      <c r="I2220" t="s"/>
      <c r="J2220" t="n">
        <v>-0.296</v>
      </c>
      <c r="K2220" t="n">
        <v>0.099</v>
      </c>
      <c r="L2220" t="n">
        <v>0.901</v>
      </c>
      <c r="M2220" t="n">
        <v>0</v>
      </c>
    </row>
    <row r="2221" spans="1:13">
      <c r="A2221" s="1">
        <f>HYPERLINK("http://www.twitter.com/NathanBLawrence/status/991388438116126720", "991388438116126720")</f>
        <v/>
      </c>
      <c r="B2221" s="2" t="n">
        <v>43221.78237268519</v>
      </c>
      <c r="C2221" t="n">
        <v>0</v>
      </c>
      <c r="D2221" t="n">
        <v>2</v>
      </c>
      <c r="E2221" t="s">
        <v>2193</v>
      </c>
      <c r="F2221" t="s"/>
      <c r="G2221" t="s"/>
      <c r="H2221" t="s"/>
      <c r="I2221" t="s"/>
      <c r="J2221" t="n">
        <v>0</v>
      </c>
      <c r="K2221" t="n">
        <v>0</v>
      </c>
      <c r="L2221" t="n">
        <v>1</v>
      </c>
      <c r="M2221" t="n">
        <v>0</v>
      </c>
    </row>
    <row r="2222" spans="1:13">
      <c r="A2222" s="1">
        <f>HYPERLINK("http://www.twitter.com/NathanBLawrence/status/991388425654751232", "991388425654751232")</f>
        <v/>
      </c>
      <c r="B2222" s="2" t="n">
        <v>43221.78233796296</v>
      </c>
      <c r="C2222" t="n">
        <v>0</v>
      </c>
      <c r="D2222" t="n">
        <v>5</v>
      </c>
      <c r="E2222" t="s">
        <v>2194</v>
      </c>
      <c r="F2222" t="s"/>
      <c r="G2222" t="s"/>
      <c r="H2222" t="s"/>
      <c r="I2222" t="s"/>
      <c r="J2222" t="n">
        <v>-0.6124000000000001</v>
      </c>
      <c r="K2222" t="n">
        <v>0.217</v>
      </c>
      <c r="L2222" t="n">
        <v>0.783</v>
      </c>
      <c r="M2222" t="n">
        <v>0</v>
      </c>
    </row>
    <row r="2223" spans="1:13">
      <c r="A2223" s="1">
        <f>HYPERLINK("http://www.twitter.com/NathanBLawrence/status/991388380746350592", "991388380746350592")</f>
        <v/>
      </c>
      <c r="B2223" s="2" t="n">
        <v>43221.78221064815</v>
      </c>
      <c r="C2223" t="n">
        <v>0</v>
      </c>
      <c r="D2223" t="n">
        <v>9</v>
      </c>
      <c r="E2223" t="s">
        <v>2195</v>
      </c>
      <c r="F2223" t="s"/>
      <c r="G2223" t="s"/>
      <c r="H2223" t="s"/>
      <c r="I2223" t="s"/>
      <c r="J2223" t="n">
        <v>0.2023</v>
      </c>
      <c r="K2223" t="n">
        <v>0.118</v>
      </c>
      <c r="L2223" t="n">
        <v>0.6909999999999999</v>
      </c>
      <c r="M2223" t="n">
        <v>0.191</v>
      </c>
    </row>
    <row r="2224" spans="1:13">
      <c r="A2224" s="1">
        <f>HYPERLINK("http://www.twitter.com/NathanBLawrence/status/991379632283947009", "991379632283947009")</f>
        <v/>
      </c>
      <c r="B2224" s="2" t="n">
        <v>43221.75806712963</v>
      </c>
      <c r="C2224" t="n">
        <v>0</v>
      </c>
      <c r="D2224" t="n">
        <v>2</v>
      </c>
      <c r="E2224" t="s">
        <v>2196</v>
      </c>
      <c r="F2224" t="s"/>
      <c r="G2224" t="s"/>
      <c r="H2224" t="s"/>
      <c r="I2224" t="s"/>
      <c r="J2224" t="n">
        <v>-0.2235</v>
      </c>
      <c r="K2224" t="n">
        <v>0.08599999999999999</v>
      </c>
      <c r="L2224" t="n">
        <v>0.914</v>
      </c>
      <c r="M2224" t="n">
        <v>0</v>
      </c>
    </row>
    <row r="2225" spans="1:13">
      <c r="A2225" s="1">
        <f>HYPERLINK("http://www.twitter.com/NathanBLawrence/status/991379509231439873", "991379509231439873")</f>
        <v/>
      </c>
      <c r="B2225" s="2" t="n">
        <v>43221.75773148148</v>
      </c>
      <c r="C2225" t="n">
        <v>0</v>
      </c>
      <c r="D2225" t="n">
        <v>6</v>
      </c>
      <c r="E2225" t="s">
        <v>2197</v>
      </c>
      <c r="F2225" t="s"/>
      <c r="G2225" t="s"/>
      <c r="H2225" t="s"/>
      <c r="I2225" t="s"/>
      <c r="J2225" t="n">
        <v>0.4404</v>
      </c>
      <c r="K2225" t="n">
        <v>0</v>
      </c>
      <c r="L2225" t="n">
        <v>0.868</v>
      </c>
      <c r="M2225" t="n">
        <v>0.132</v>
      </c>
    </row>
    <row r="2226" spans="1:13">
      <c r="A2226" s="1">
        <f>HYPERLINK("http://www.twitter.com/NathanBLawrence/status/991379338686881793", "991379338686881793")</f>
        <v/>
      </c>
      <c r="B2226" s="2" t="n">
        <v>43221.75725694445</v>
      </c>
      <c r="C2226" t="n">
        <v>0</v>
      </c>
      <c r="D2226" t="n">
        <v>1</v>
      </c>
      <c r="E2226" t="s">
        <v>2198</v>
      </c>
      <c r="F2226" t="s"/>
      <c r="G2226" t="s"/>
      <c r="H2226" t="s"/>
      <c r="I2226" t="s"/>
      <c r="J2226" t="n">
        <v>-0.4926</v>
      </c>
      <c r="K2226" t="n">
        <v>0.21</v>
      </c>
      <c r="L2226" t="n">
        <v>0.79</v>
      </c>
      <c r="M2226" t="n">
        <v>0</v>
      </c>
    </row>
    <row r="2227" spans="1:13">
      <c r="A2227" s="1">
        <f>HYPERLINK("http://www.twitter.com/NathanBLawrence/status/991379328549126144", "991379328549126144")</f>
        <v/>
      </c>
      <c r="B2227" s="2" t="n">
        <v>43221.7572337963</v>
      </c>
      <c r="C2227" t="n">
        <v>0</v>
      </c>
      <c r="D2227" t="n">
        <v>4</v>
      </c>
      <c r="E2227" t="s">
        <v>2199</v>
      </c>
      <c r="F2227" t="s"/>
      <c r="G2227" t="s"/>
      <c r="H2227" t="s"/>
      <c r="I2227" t="s"/>
      <c r="J2227" t="n">
        <v>0.25</v>
      </c>
      <c r="K2227" t="n">
        <v>0</v>
      </c>
      <c r="L2227" t="n">
        <v>0.92</v>
      </c>
      <c r="M2227" t="n">
        <v>0.08</v>
      </c>
    </row>
    <row r="2228" spans="1:13">
      <c r="A2228" s="1">
        <f>HYPERLINK("http://www.twitter.com/NathanBLawrence/status/991379172764381185", "991379172764381185")</f>
        <v/>
      </c>
      <c r="B2228" s="2" t="n">
        <v>43221.75680555555</v>
      </c>
      <c r="C2228" t="n">
        <v>0</v>
      </c>
      <c r="D2228" t="n">
        <v>12</v>
      </c>
      <c r="E2228" t="s">
        <v>2200</v>
      </c>
      <c r="F2228" t="s"/>
      <c r="G2228" t="s"/>
      <c r="H2228" t="s"/>
      <c r="I2228" t="s"/>
      <c r="J2228" t="n">
        <v>-0.1779</v>
      </c>
      <c r="K2228" t="n">
        <v>0.177</v>
      </c>
      <c r="L2228" t="n">
        <v>0.707</v>
      </c>
      <c r="M2228" t="n">
        <v>0.117</v>
      </c>
    </row>
    <row r="2229" spans="1:13">
      <c r="A2229" s="1">
        <f>HYPERLINK("http://www.twitter.com/NathanBLawrence/status/991379131509112832", "991379131509112832")</f>
        <v/>
      </c>
      <c r="B2229" s="2" t="n">
        <v>43221.75668981481</v>
      </c>
      <c r="C2229" t="n">
        <v>0</v>
      </c>
      <c r="D2229" t="n">
        <v>13</v>
      </c>
      <c r="E2229" t="s">
        <v>2201</v>
      </c>
      <c r="F2229" t="s"/>
      <c r="G2229" t="s"/>
      <c r="H2229" t="s"/>
      <c r="I2229" t="s"/>
      <c r="J2229" t="n">
        <v>-0.1316</v>
      </c>
      <c r="K2229" t="n">
        <v>0.07000000000000001</v>
      </c>
      <c r="L2229" t="n">
        <v>0.93</v>
      </c>
      <c r="M2229" t="n">
        <v>0</v>
      </c>
    </row>
    <row r="2230" spans="1:13">
      <c r="A2230" s="1">
        <f>HYPERLINK("http://www.twitter.com/NathanBLawrence/status/991378989154492421", "991378989154492421")</f>
        <v/>
      </c>
      <c r="B2230" s="2" t="n">
        <v>43221.7562962963</v>
      </c>
      <c r="C2230" t="n">
        <v>0</v>
      </c>
      <c r="D2230" t="n">
        <v>17</v>
      </c>
      <c r="E2230" t="s">
        <v>2202</v>
      </c>
      <c r="F2230">
        <f>HYPERLINK("http://pbs.twimg.com/media/DcIQ_1-X0AA7Qe0.jpg", "http://pbs.twimg.com/media/DcIQ_1-X0AA7Qe0.jpg")</f>
        <v/>
      </c>
      <c r="G2230" t="s"/>
      <c r="H2230" t="s"/>
      <c r="I2230" t="s"/>
      <c r="J2230" t="n">
        <v>0</v>
      </c>
      <c r="K2230" t="n">
        <v>0</v>
      </c>
      <c r="L2230" t="n">
        <v>1</v>
      </c>
      <c r="M2230" t="n">
        <v>0</v>
      </c>
    </row>
    <row r="2231" spans="1:13">
      <c r="A2231" s="1">
        <f>HYPERLINK("http://www.twitter.com/NathanBLawrence/status/991372601158197248", "991372601158197248")</f>
        <v/>
      </c>
      <c r="B2231" s="2" t="n">
        <v>43221.73866898148</v>
      </c>
      <c r="C2231" t="n">
        <v>0</v>
      </c>
      <c r="D2231" t="n">
        <v>5</v>
      </c>
      <c r="E2231" t="s">
        <v>2203</v>
      </c>
      <c r="F2231" t="s"/>
      <c r="G2231" t="s"/>
      <c r="H2231" t="s"/>
      <c r="I2231" t="s"/>
      <c r="J2231" t="n">
        <v>-0.4215</v>
      </c>
      <c r="K2231" t="n">
        <v>0.201</v>
      </c>
      <c r="L2231" t="n">
        <v>0.709</v>
      </c>
      <c r="M2231" t="n">
        <v>0.091</v>
      </c>
    </row>
    <row r="2232" spans="1:13">
      <c r="A2232" s="1">
        <f>HYPERLINK("http://www.twitter.com/NathanBLawrence/status/991372553955545089", "991372553955545089")</f>
        <v/>
      </c>
      <c r="B2232" s="2" t="n">
        <v>43221.73854166667</v>
      </c>
      <c r="C2232" t="n">
        <v>0</v>
      </c>
      <c r="D2232" t="n">
        <v>14</v>
      </c>
      <c r="E2232" t="s">
        <v>2204</v>
      </c>
      <c r="F2232" t="s"/>
      <c r="G2232" t="s"/>
      <c r="H2232" t="s"/>
      <c r="I2232" t="s"/>
      <c r="J2232" t="n">
        <v>-0.7315</v>
      </c>
      <c r="K2232" t="n">
        <v>0.23</v>
      </c>
      <c r="L2232" t="n">
        <v>0.77</v>
      </c>
      <c r="M2232" t="n">
        <v>0</v>
      </c>
    </row>
    <row r="2233" spans="1:13">
      <c r="A2233" s="1">
        <f>HYPERLINK("http://www.twitter.com/NathanBLawrence/status/991372525413203968", "991372525413203968")</f>
        <v/>
      </c>
      <c r="B2233" s="2" t="n">
        <v>43221.73846064815</v>
      </c>
      <c r="C2233" t="n">
        <v>0</v>
      </c>
      <c r="D2233" t="n">
        <v>16</v>
      </c>
      <c r="E2233" t="s">
        <v>2205</v>
      </c>
      <c r="F2233" t="s"/>
      <c r="G2233" t="s"/>
      <c r="H2233" t="s"/>
      <c r="I2233" t="s"/>
      <c r="J2233" t="n">
        <v>-0.1613</v>
      </c>
      <c r="K2233" t="n">
        <v>0.109</v>
      </c>
      <c r="L2233" t="n">
        <v>0.803</v>
      </c>
      <c r="M2233" t="n">
        <v>0.08699999999999999</v>
      </c>
    </row>
    <row r="2234" spans="1:13">
      <c r="A2234" s="1">
        <f>HYPERLINK("http://www.twitter.com/NathanBLawrence/status/991372483742896130", "991372483742896130")</f>
        <v/>
      </c>
      <c r="B2234" s="2" t="n">
        <v>43221.7383449074</v>
      </c>
      <c r="C2234" t="n">
        <v>0</v>
      </c>
      <c r="D2234" t="n">
        <v>8</v>
      </c>
      <c r="E2234" t="s">
        <v>2206</v>
      </c>
      <c r="F2234" t="s"/>
      <c r="G2234" t="s"/>
      <c r="H2234" t="s"/>
      <c r="I2234" t="s"/>
      <c r="J2234" t="n">
        <v>-0.2263</v>
      </c>
      <c r="K2234" t="n">
        <v>0.142</v>
      </c>
      <c r="L2234" t="n">
        <v>0.753</v>
      </c>
      <c r="M2234" t="n">
        <v>0.105</v>
      </c>
    </row>
    <row r="2235" spans="1:13">
      <c r="A2235" s="1">
        <f>HYPERLINK("http://www.twitter.com/NathanBLawrence/status/991372434602385408", "991372434602385408")</f>
        <v/>
      </c>
      <c r="B2235" s="2" t="n">
        <v>43221.73820601852</v>
      </c>
      <c r="C2235" t="n">
        <v>0</v>
      </c>
      <c r="D2235" t="n">
        <v>14</v>
      </c>
      <c r="E2235" t="s">
        <v>2207</v>
      </c>
      <c r="F2235">
        <f>HYPERLINK("http://pbs.twimg.com/media/DcGp-MGWAAAhVJz.jpg", "http://pbs.twimg.com/media/DcGp-MGWAAAhVJz.jpg")</f>
        <v/>
      </c>
      <c r="G2235" t="s"/>
      <c r="H2235" t="s"/>
      <c r="I2235" t="s"/>
      <c r="J2235" t="n">
        <v>0</v>
      </c>
      <c r="K2235" t="n">
        <v>0</v>
      </c>
      <c r="L2235" t="n">
        <v>1</v>
      </c>
      <c r="M2235" t="n">
        <v>0</v>
      </c>
    </row>
    <row r="2236" spans="1:13">
      <c r="A2236" s="1">
        <f>HYPERLINK("http://www.twitter.com/NathanBLawrence/status/991372401945595904", "991372401945595904")</f>
        <v/>
      </c>
      <c r="B2236" s="2" t="n">
        <v>43221.738125</v>
      </c>
      <c r="C2236" t="n">
        <v>0</v>
      </c>
      <c r="D2236" t="n">
        <v>14</v>
      </c>
      <c r="E2236" t="s">
        <v>2208</v>
      </c>
      <c r="F2236">
        <f>HYPERLINK("http://pbs.twimg.com/media/DcGsH0VX0AABr6d.jpg", "http://pbs.twimg.com/media/DcGsH0VX0AABr6d.jpg")</f>
        <v/>
      </c>
      <c r="G2236" t="s"/>
      <c r="H2236" t="s"/>
      <c r="I2236" t="s"/>
      <c r="J2236" t="n">
        <v>-0.3818</v>
      </c>
      <c r="K2236" t="n">
        <v>0.133</v>
      </c>
      <c r="L2236" t="n">
        <v>0.867</v>
      </c>
      <c r="M2236" t="n">
        <v>0</v>
      </c>
    </row>
    <row r="2237" spans="1:13">
      <c r="A2237" s="1">
        <f>HYPERLINK("http://www.twitter.com/NathanBLawrence/status/991370830595665921", "991370830595665921")</f>
        <v/>
      </c>
      <c r="B2237" s="2" t="n">
        <v>43221.73378472222</v>
      </c>
      <c r="C2237" t="n">
        <v>3</v>
      </c>
      <c r="D2237" t="n">
        <v>2</v>
      </c>
      <c r="E2237" t="s">
        <v>2209</v>
      </c>
      <c r="F2237" t="s"/>
      <c r="G2237" t="s"/>
      <c r="H2237" t="s"/>
      <c r="I2237" t="s"/>
      <c r="J2237" t="n">
        <v>-0.2235</v>
      </c>
      <c r="K2237" t="n">
        <v>0.057</v>
      </c>
      <c r="L2237" t="n">
        <v>0.9429999999999999</v>
      </c>
      <c r="M2237" t="n">
        <v>0</v>
      </c>
    </row>
    <row r="2238" spans="1:13">
      <c r="A2238" s="1">
        <f>HYPERLINK("http://www.twitter.com/NathanBLawrence/status/991364846619955200", "991364846619955200")</f>
        <v/>
      </c>
      <c r="B2238" s="2" t="n">
        <v>43221.71726851852</v>
      </c>
      <c r="C2238" t="n">
        <v>0</v>
      </c>
      <c r="D2238" t="n">
        <v>339</v>
      </c>
      <c r="E2238" t="s">
        <v>2210</v>
      </c>
      <c r="F2238" t="s"/>
      <c r="G2238" t="s"/>
      <c r="H2238" t="s"/>
      <c r="I2238" t="s"/>
      <c r="J2238" t="n">
        <v>-0.0258</v>
      </c>
      <c r="K2238" t="n">
        <v>0.23</v>
      </c>
      <c r="L2238" t="n">
        <v>0.601</v>
      </c>
      <c r="M2238" t="n">
        <v>0.169</v>
      </c>
    </row>
    <row r="2239" spans="1:13">
      <c r="A2239" s="1">
        <f>HYPERLINK("http://www.twitter.com/NathanBLawrence/status/991364837027467266", "991364837027467266")</f>
        <v/>
      </c>
      <c r="B2239" s="2" t="n">
        <v>43221.71724537037</v>
      </c>
      <c r="C2239" t="n">
        <v>0</v>
      </c>
      <c r="D2239" t="n">
        <v>8</v>
      </c>
      <c r="E2239" t="s">
        <v>2211</v>
      </c>
      <c r="F2239" t="s"/>
      <c r="G2239" t="s"/>
      <c r="H2239" t="s"/>
      <c r="I2239" t="s"/>
      <c r="J2239" t="n">
        <v>-0.7603</v>
      </c>
      <c r="K2239" t="n">
        <v>0.318</v>
      </c>
      <c r="L2239" t="n">
        <v>0.6820000000000001</v>
      </c>
      <c r="M2239" t="n">
        <v>0</v>
      </c>
    </row>
    <row r="2240" spans="1:13">
      <c r="A2240" s="1">
        <f>HYPERLINK("http://www.twitter.com/NathanBLawrence/status/991364754861182982", "991364754861182982")</f>
        <v/>
      </c>
      <c r="B2240" s="2" t="n">
        <v>43221.71701388889</v>
      </c>
      <c r="C2240" t="n">
        <v>0</v>
      </c>
      <c r="D2240" t="n">
        <v>4</v>
      </c>
      <c r="E2240" t="s">
        <v>2212</v>
      </c>
      <c r="F2240" t="s"/>
      <c r="G2240" t="s"/>
      <c r="H2240" t="s"/>
      <c r="I2240" t="s"/>
      <c r="J2240" t="n">
        <v>0</v>
      </c>
      <c r="K2240" t="n">
        <v>0</v>
      </c>
      <c r="L2240" t="n">
        <v>1</v>
      </c>
      <c r="M2240" t="n">
        <v>0</v>
      </c>
    </row>
    <row r="2241" spans="1:13">
      <c r="A2241" s="1">
        <f>HYPERLINK("http://www.twitter.com/NathanBLawrence/status/991362542378389507", "991362542378389507")</f>
        <v/>
      </c>
      <c r="B2241" s="2" t="n">
        <v>43221.71091435185</v>
      </c>
      <c r="C2241" t="n">
        <v>8</v>
      </c>
      <c r="D2241" t="n">
        <v>4</v>
      </c>
      <c r="E2241" t="s">
        <v>2213</v>
      </c>
      <c r="F2241" t="s"/>
      <c r="G2241" t="s"/>
      <c r="H2241" t="s"/>
      <c r="I2241" t="s"/>
      <c r="J2241" t="n">
        <v>0</v>
      </c>
      <c r="K2241" t="n">
        <v>0</v>
      </c>
      <c r="L2241" t="n">
        <v>1</v>
      </c>
      <c r="M2241" t="n">
        <v>0</v>
      </c>
    </row>
    <row r="2242" spans="1:13">
      <c r="A2242" s="1">
        <f>HYPERLINK("http://www.twitter.com/NathanBLawrence/status/991355355769733121", "991355355769733121")</f>
        <v/>
      </c>
      <c r="B2242" s="2" t="n">
        <v>43221.69107638889</v>
      </c>
      <c r="C2242" t="n">
        <v>0</v>
      </c>
      <c r="D2242" t="n">
        <v>3</v>
      </c>
      <c r="E2242" t="s">
        <v>2214</v>
      </c>
      <c r="F2242" t="s"/>
      <c r="G2242" t="s"/>
      <c r="H2242" t="s"/>
      <c r="I2242" t="s"/>
      <c r="J2242" t="n">
        <v>0.7418</v>
      </c>
      <c r="K2242" t="n">
        <v>0.11</v>
      </c>
      <c r="L2242" t="n">
        <v>0.55</v>
      </c>
      <c r="M2242" t="n">
        <v>0.34</v>
      </c>
    </row>
    <row r="2243" spans="1:13">
      <c r="A2243" s="1">
        <f>HYPERLINK("http://www.twitter.com/NathanBLawrence/status/991355269430087686", "991355269430087686")</f>
        <v/>
      </c>
      <c r="B2243" s="2" t="n">
        <v>43221.69084490741</v>
      </c>
      <c r="C2243" t="n">
        <v>0</v>
      </c>
      <c r="D2243" t="n">
        <v>4</v>
      </c>
      <c r="E2243" t="s">
        <v>2215</v>
      </c>
      <c r="F2243" t="s"/>
      <c r="G2243" t="s"/>
      <c r="H2243" t="s"/>
      <c r="I2243" t="s"/>
      <c r="J2243" t="n">
        <v>0.8905999999999999</v>
      </c>
      <c r="K2243" t="n">
        <v>0</v>
      </c>
      <c r="L2243" t="n">
        <v>0.63</v>
      </c>
      <c r="M2243" t="n">
        <v>0.37</v>
      </c>
    </row>
    <row r="2244" spans="1:13">
      <c r="A2244" s="1">
        <f>HYPERLINK("http://www.twitter.com/NathanBLawrence/status/991355076802482176", "991355076802482176")</f>
        <v/>
      </c>
      <c r="B2244" s="2" t="n">
        <v>43221.6903125</v>
      </c>
      <c r="C2244" t="n">
        <v>0</v>
      </c>
      <c r="D2244" t="n">
        <v>13</v>
      </c>
      <c r="E2244" t="s">
        <v>2216</v>
      </c>
      <c r="F2244">
        <f>HYPERLINK("http://pbs.twimg.com/media/DcHyA84X0AAHWib.jpg", "http://pbs.twimg.com/media/DcHyA84X0AAHWib.jpg")</f>
        <v/>
      </c>
      <c r="G2244" t="s"/>
      <c r="H2244" t="s"/>
      <c r="I2244" t="s"/>
      <c r="J2244" t="n">
        <v>0.8201000000000001</v>
      </c>
      <c r="K2244" t="n">
        <v>0</v>
      </c>
      <c r="L2244" t="n">
        <v>0.63</v>
      </c>
      <c r="M2244" t="n">
        <v>0.37</v>
      </c>
    </row>
    <row r="2245" spans="1:13">
      <c r="A2245" s="1">
        <f>HYPERLINK("http://www.twitter.com/NathanBLawrence/status/991355037321498624", "991355037321498624")</f>
        <v/>
      </c>
      <c r="B2245" s="2" t="n">
        <v>43221.69020833333</v>
      </c>
      <c r="C2245" t="n">
        <v>0</v>
      </c>
      <c r="D2245" t="n">
        <v>4</v>
      </c>
      <c r="E2245" t="s">
        <v>2217</v>
      </c>
      <c r="F2245" t="s"/>
      <c r="G2245" t="s"/>
      <c r="H2245" t="s"/>
      <c r="I2245" t="s"/>
      <c r="J2245" t="n">
        <v>-0.474</v>
      </c>
      <c r="K2245" t="n">
        <v>0.146</v>
      </c>
      <c r="L2245" t="n">
        <v>0.854</v>
      </c>
      <c r="M2245" t="n">
        <v>0</v>
      </c>
    </row>
    <row r="2246" spans="1:13">
      <c r="A2246" s="1">
        <f>HYPERLINK("http://www.twitter.com/NathanBLawrence/status/991235061835096064", "991235061835096064")</f>
        <v/>
      </c>
      <c r="B2246" s="2" t="n">
        <v>43221.35913194445</v>
      </c>
      <c r="C2246" t="n">
        <v>0</v>
      </c>
      <c r="D2246" t="n">
        <v>3</v>
      </c>
      <c r="E2246" t="s">
        <v>2218</v>
      </c>
      <c r="F2246" t="s"/>
      <c r="G2246" t="s"/>
      <c r="H2246" t="s"/>
      <c r="I2246" t="s"/>
      <c r="J2246" t="n">
        <v>0</v>
      </c>
      <c r="K2246" t="n">
        <v>0</v>
      </c>
      <c r="L2246" t="n">
        <v>1</v>
      </c>
      <c r="M2246" t="n">
        <v>0</v>
      </c>
    </row>
    <row r="2247" spans="1:13">
      <c r="A2247" s="1">
        <f>HYPERLINK("http://www.twitter.com/NathanBLawrence/status/991224095109984256", "991224095109984256")</f>
        <v/>
      </c>
      <c r="B2247" s="2" t="n">
        <v>43221.32886574074</v>
      </c>
      <c r="C2247" t="n">
        <v>0</v>
      </c>
      <c r="D2247" t="n">
        <v>65</v>
      </c>
      <c r="E2247" t="s">
        <v>2219</v>
      </c>
      <c r="F2247" t="s"/>
      <c r="G2247" t="s"/>
      <c r="H2247" t="s"/>
      <c r="I2247" t="s"/>
      <c r="J2247" t="n">
        <v>-0.3182</v>
      </c>
      <c r="K2247" t="n">
        <v>0.108</v>
      </c>
      <c r="L2247" t="n">
        <v>0.892</v>
      </c>
      <c r="M2247" t="n">
        <v>0</v>
      </c>
    </row>
    <row r="2248" spans="1:13">
      <c r="A2248" s="1">
        <f>HYPERLINK("http://www.twitter.com/NathanBLawrence/status/991224054869889029", "991224054869889029")</f>
        <v/>
      </c>
      <c r="B2248" s="2" t="n">
        <v>43221.32876157408</v>
      </c>
      <c r="C2248" t="n">
        <v>0</v>
      </c>
      <c r="D2248" t="n">
        <v>34153</v>
      </c>
      <c r="E2248" t="s">
        <v>2220</v>
      </c>
      <c r="F2248" t="s"/>
      <c r="G2248" t="s"/>
      <c r="H2248" t="s"/>
      <c r="I2248" t="s"/>
      <c r="J2248" t="n">
        <v>0.6249</v>
      </c>
      <c r="K2248" t="n">
        <v>0</v>
      </c>
      <c r="L2248" t="n">
        <v>0.837</v>
      </c>
      <c r="M2248" t="n">
        <v>0.163</v>
      </c>
    </row>
    <row r="2249" spans="1:13">
      <c r="A2249" s="1">
        <f>HYPERLINK("http://www.twitter.com/NathanBLawrence/status/991222939772219393", "991222939772219393")</f>
        <v/>
      </c>
      <c r="B2249" s="2" t="n">
        <v>43221.32568287037</v>
      </c>
      <c r="C2249" t="n">
        <v>0</v>
      </c>
      <c r="D2249" t="n">
        <v>705</v>
      </c>
      <c r="E2249" t="s">
        <v>2221</v>
      </c>
      <c r="F2249">
        <f>HYPERLINK("http://pbs.twimg.com/media/Db9Gc5hX0AAV3gk.jpg", "http://pbs.twimg.com/media/Db9Gc5hX0AAV3gk.jpg")</f>
        <v/>
      </c>
      <c r="G2249">
        <f>HYPERLINK("http://pbs.twimg.com/media/Db9Gc5qXkAAwShZ.jpg", "http://pbs.twimg.com/media/Db9Gc5qXkAAwShZ.jpg")</f>
        <v/>
      </c>
      <c r="H2249" t="s"/>
      <c r="I2249" t="s"/>
      <c r="J2249" t="n">
        <v>0</v>
      </c>
      <c r="K2249" t="n">
        <v>0</v>
      </c>
      <c r="L2249" t="n">
        <v>1</v>
      </c>
      <c r="M2249" t="n">
        <v>0</v>
      </c>
    </row>
    <row r="2250" spans="1:13">
      <c r="A2250" s="1">
        <f>HYPERLINK("http://www.twitter.com/NathanBLawrence/status/991222921153662978", "991222921153662978")</f>
        <v/>
      </c>
      <c r="B2250" s="2" t="n">
        <v>43221.32563657407</v>
      </c>
      <c r="C2250" t="n">
        <v>0</v>
      </c>
      <c r="D2250" t="n">
        <v>132</v>
      </c>
      <c r="E2250" t="s">
        <v>2222</v>
      </c>
      <c r="F2250">
        <f>HYPERLINK("http://pbs.twimg.com/media/DcDjhomV4AM9LNR.jpg", "http://pbs.twimg.com/media/DcDjhomV4AM9LNR.jpg")</f>
        <v/>
      </c>
      <c r="G2250" t="s"/>
      <c r="H2250" t="s"/>
      <c r="I2250" t="s"/>
      <c r="J2250" t="n">
        <v>0.734</v>
      </c>
      <c r="K2250" t="n">
        <v>0</v>
      </c>
      <c r="L2250" t="n">
        <v>0.721</v>
      </c>
      <c r="M2250" t="n">
        <v>0.279</v>
      </c>
    </row>
    <row r="2251" spans="1:13">
      <c r="A2251" s="1">
        <f>HYPERLINK("http://www.twitter.com/NathanBLawrence/status/991222866313129984", "991222866313129984")</f>
        <v/>
      </c>
      <c r="B2251" s="2" t="n">
        <v>43221.32548611111</v>
      </c>
      <c r="C2251" t="n">
        <v>0</v>
      </c>
      <c r="D2251" t="n">
        <v>200</v>
      </c>
      <c r="E2251" t="s">
        <v>2223</v>
      </c>
      <c r="F2251" t="s"/>
      <c r="G2251" t="s"/>
      <c r="H2251" t="s"/>
      <c r="I2251" t="s"/>
      <c r="J2251" t="n">
        <v>-0.2263</v>
      </c>
      <c r="K2251" t="n">
        <v>0.302</v>
      </c>
      <c r="L2251" t="n">
        <v>0.439</v>
      </c>
      <c r="M2251" t="n">
        <v>0.259</v>
      </c>
    </row>
    <row r="2252" spans="1:13">
      <c r="A2252" s="1">
        <f>HYPERLINK("http://www.twitter.com/NathanBLawrence/status/991222827713007616", "991222827713007616")</f>
        <v/>
      </c>
      <c r="B2252" s="2" t="n">
        <v>43221.32537037037</v>
      </c>
      <c r="C2252" t="n">
        <v>0</v>
      </c>
      <c r="D2252" t="n">
        <v>24331</v>
      </c>
      <c r="E2252" t="s">
        <v>2224</v>
      </c>
      <c r="F2252" t="s"/>
      <c r="G2252" t="s"/>
      <c r="H2252" t="s"/>
      <c r="I2252" t="s"/>
      <c r="J2252" t="n">
        <v>-0.5266999999999999</v>
      </c>
      <c r="K2252" t="n">
        <v>0.18</v>
      </c>
      <c r="L2252" t="n">
        <v>0.82</v>
      </c>
      <c r="M2252" t="n">
        <v>0</v>
      </c>
    </row>
    <row r="2253" spans="1:13">
      <c r="A2253" s="1">
        <f>HYPERLINK("http://www.twitter.com/NathanBLawrence/status/991222702718554112", "991222702718554112")</f>
        <v/>
      </c>
      <c r="B2253" s="2" t="n">
        <v>43221.32503472222</v>
      </c>
      <c r="C2253" t="n">
        <v>0</v>
      </c>
      <c r="D2253" t="n">
        <v>2472</v>
      </c>
      <c r="E2253" t="s">
        <v>2225</v>
      </c>
      <c r="F2253">
        <f>HYPERLINK("http://pbs.twimg.com/media/DcFHmMoX4AEvIvx.jpg", "http://pbs.twimg.com/media/DcFHmMoX4AEvIvx.jpg")</f>
        <v/>
      </c>
      <c r="G2253" t="s"/>
      <c r="H2253" t="s"/>
      <c r="I2253" t="s"/>
      <c r="J2253" t="n">
        <v>0.4515</v>
      </c>
      <c r="K2253" t="n">
        <v>0</v>
      </c>
      <c r="L2253" t="n">
        <v>0.788</v>
      </c>
      <c r="M2253" t="n">
        <v>0.212</v>
      </c>
    </row>
    <row r="2254" spans="1:13">
      <c r="A2254" s="1">
        <f>HYPERLINK("http://www.twitter.com/NathanBLawrence/status/991222627942486016", "991222627942486016")</f>
        <v/>
      </c>
      <c r="B2254" s="2" t="n">
        <v>43221.32482638889</v>
      </c>
      <c r="C2254" t="n">
        <v>0</v>
      </c>
      <c r="D2254" t="n">
        <v>33</v>
      </c>
      <c r="E2254" t="s">
        <v>2226</v>
      </c>
      <c r="F2254" t="s"/>
      <c r="G2254" t="s"/>
      <c r="H2254" t="s"/>
      <c r="I2254" t="s"/>
      <c r="J2254" t="n">
        <v>-0.0772</v>
      </c>
      <c r="K2254" t="n">
        <v>0.129</v>
      </c>
      <c r="L2254" t="n">
        <v>0.753</v>
      </c>
      <c r="M2254" t="n">
        <v>0.118</v>
      </c>
    </row>
    <row r="2255" spans="1:13">
      <c r="A2255" s="1">
        <f>HYPERLINK("http://www.twitter.com/NathanBLawrence/status/991222493867331584", "991222493867331584")</f>
        <v/>
      </c>
      <c r="B2255" s="2" t="n">
        <v>43221.32445601852</v>
      </c>
      <c r="C2255" t="n">
        <v>0</v>
      </c>
      <c r="D2255" t="n">
        <v>1610</v>
      </c>
      <c r="E2255" t="s">
        <v>2227</v>
      </c>
      <c r="F2255">
        <f>HYPERLINK("http://pbs.twimg.com/media/DcEswtAXkAE5hgy.jpg", "http://pbs.twimg.com/media/DcEswtAXkAE5hgy.jpg")</f>
        <v/>
      </c>
      <c r="G2255" t="s"/>
      <c r="H2255" t="s"/>
      <c r="I2255" t="s"/>
      <c r="J2255" t="n">
        <v>0.6322</v>
      </c>
      <c r="K2255" t="n">
        <v>0</v>
      </c>
      <c r="L2255" t="n">
        <v>0.841</v>
      </c>
      <c r="M2255" t="n">
        <v>0.159</v>
      </c>
    </row>
    <row r="2256" spans="1:13">
      <c r="A2256" s="1">
        <f>HYPERLINK("http://www.twitter.com/NathanBLawrence/status/991221985115017216", "991221985115017216")</f>
        <v/>
      </c>
      <c r="B2256" s="2" t="n">
        <v>43221.32304398148</v>
      </c>
      <c r="C2256" t="n">
        <v>0</v>
      </c>
      <c r="D2256" t="n">
        <v>69</v>
      </c>
      <c r="E2256" t="s">
        <v>2228</v>
      </c>
      <c r="F2256" t="s"/>
      <c r="G2256" t="s"/>
      <c r="H2256" t="s"/>
      <c r="I2256" t="s"/>
      <c r="J2256" t="n">
        <v>0</v>
      </c>
      <c r="K2256" t="n">
        <v>0</v>
      </c>
      <c r="L2256" t="n">
        <v>1</v>
      </c>
      <c r="M2256" t="n">
        <v>0</v>
      </c>
    </row>
    <row r="2257" spans="1:13">
      <c r="A2257" s="1">
        <f>HYPERLINK("http://www.twitter.com/NathanBLawrence/status/991218564697919488", "991218564697919488")</f>
        <v/>
      </c>
      <c r="B2257" s="2" t="n">
        <v>43221.31361111111</v>
      </c>
      <c r="C2257" t="n">
        <v>0</v>
      </c>
      <c r="D2257" t="n">
        <v>8728</v>
      </c>
      <c r="E2257" t="s">
        <v>2229</v>
      </c>
      <c r="F2257" t="s"/>
      <c r="G2257" t="s"/>
      <c r="H2257" t="s"/>
      <c r="I2257" t="s"/>
      <c r="J2257" t="n">
        <v>0.7351</v>
      </c>
      <c r="K2257" t="n">
        <v>0</v>
      </c>
      <c r="L2257" t="n">
        <v>0.763</v>
      </c>
      <c r="M2257" t="n">
        <v>0.237</v>
      </c>
    </row>
    <row r="2258" spans="1:13">
      <c r="A2258" s="1">
        <f>HYPERLINK("http://www.twitter.com/NathanBLawrence/status/991218547526381568", "991218547526381568")</f>
        <v/>
      </c>
      <c r="B2258" s="2" t="n">
        <v>43221.31356481482</v>
      </c>
      <c r="C2258" t="n">
        <v>0</v>
      </c>
      <c r="D2258" t="n">
        <v>85</v>
      </c>
      <c r="E2258" t="s">
        <v>2230</v>
      </c>
      <c r="F2258" t="s"/>
      <c r="G2258" t="s"/>
      <c r="H2258" t="s"/>
      <c r="I2258" t="s"/>
      <c r="J2258" t="n">
        <v>-0.3612</v>
      </c>
      <c r="K2258" t="n">
        <v>0.172</v>
      </c>
      <c r="L2258" t="n">
        <v>0.828</v>
      </c>
      <c r="M2258" t="n">
        <v>0</v>
      </c>
    </row>
    <row r="2259" spans="1:13">
      <c r="A2259" s="1">
        <f>HYPERLINK("http://www.twitter.com/NathanBLawrence/status/991218481839435777", "991218481839435777")</f>
        <v/>
      </c>
      <c r="B2259" s="2" t="n">
        <v>43221.31337962963</v>
      </c>
      <c r="C2259" t="n">
        <v>0</v>
      </c>
      <c r="D2259" t="n">
        <v>112</v>
      </c>
      <c r="E2259" t="s">
        <v>2231</v>
      </c>
      <c r="F2259" t="s"/>
      <c r="G2259" t="s"/>
      <c r="H2259" t="s"/>
      <c r="I2259" t="s"/>
      <c r="J2259" t="n">
        <v>0</v>
      </c>
      <c r="K2259" t="n">
        <v>0</v>
      </c>
      <c r="L2259" t="n">
        <v>1</v>
      </c>
      <c r="M2259" t="n">
        <v>0</v>
      </c>
    </row>
    <row r="2260" spans="1:13">
      <c r="A2260" s="1">
        <f>HYPERLINK("http://www.twitter.com/NathanBLawrence/status/991182895065845761", "991182895065845761")</f>
        <v/>
      </c>
      <c r="B2260" s="2" t="n">
        <v>43221.21518518519</v>
      </c>
      <c r="C2260" t="n">
        <v>0</v>
      </c>
      <c r="D2260" t="n">
        <v>2</v>
      </c>
      <c r="E2260" t="s">
        <v>2232</v>
      </c>
      <c r="F2260" t="s"/>
      <c r="G2260" t="s"/>
      <c r="H2260" t="s"/>
      <c r="I2260" t="s"/>
      <c r="J2260" t="n">
        <v>0.2732</v>
      </c>
      <c r="K2260" t="n">
        <v>0</v>
      </c>
      <c r="L2260" t="n">
        <v>0.916</v>
      </c>
      <c r="M2260" t="n">
        <v>0.08400000000000001</v>
      </c>
    </row>
    <row r="2261" spans="1:13">
      <c r="A2261" s="1">
        <f>HYPERLINK("http://www.twitter.com/NathanBLawrence/status/991169380800172034", "991169380800172034")</f>
        <v/>
      </c>
      <c r="B2261" s="2" t="n">
        <v>43221.17789351852</v>
      </c>
      <c r="C2261" t="n">
        <v>2</v>
      </c>
      <c r="D2261" t="n">
        <v>0</v>
      </c>
      <c r="E2261" t="s">
        <v>2233</v>
      </c>
      <c r="F2261" t="s"/>
      <c r="G2261" t="s"/>
      <c r="H2261" t="s"/>
      <c r="I2261" t="s"/>
      <c r="J2261" t="n">
        <v>-0.296</v>
      </c>
      <c r="K2261" t="n">
        <v>0.128</v>
      </c>
      <c r="L2261" t="n">
        <v>0.872</v>
      </c>
      <c r="M2261" t="n">
        <v>0</v>
      </c>
    </row>
    <row r="2262" spans="1:13">
      <c r="A2262" s="1">
        <f>HYPERLINK("http://www.twitter.com/NathanBLawrence/status/991157985689964545", "991157985689964545")</f>
        <v/>
      </c>
      <c r="B2262" s="2" t="n">
        <v>43221.14644675926</v>
      </c>
      <c r="C2262" t="n">
        <v>0</v>
      </c>
      <c r="D2262" t="n">
        <v>5</v>
      </c>
      <c r="E2262" t="s">
        <v>2234</v>
      </c>
      <c r="F2262">
        <f>HYPERLINK("http://pbs.twimg.com/media/DcFMu8oWkAIkj5h.jpg", "http://pbs.twimg.com/media/DcFMu8oWkAIkj5h.jpg")</f>
        <v/>
      </c>
      <c r="G2262" t="s"/>
      <c r="H2262" t="s"/>
      <c r="I2262" t="s"/>
      <c r="J2262" t="n">
        <v>-0.0772</v>
      </c>
      <c r="K2262" t="n">
        <v>0.064</v>
      </c>
      <c r="L2262" t="n">
        <v>0.9360000000000001</v>
      </c>
      <c r="M2262" t="n">
        <v>0</v>
      </c>
    </row>
    <row r="2263" spans="1:13">
      <c r="A2263" s="1">
        <f>HYPERLINK("http://www.twitter.com/NathanBLawrence/status/991157937300221953", "991157937300221953")</f>
        <v/>
      </c>
      <c r="B2263" s="2" t="n">
        <v>43221.14630787037</v>
      </c>
      <c r="C2263" t="n">
        <v>0</v>
      </c>
      <c r="D2263" t="n">
        <v>4</v>
      </c>
      <c r="E2263" t="s">
        <v>2235</v>
      </c>
      <c r="F2263" t="s"/>
      <c r="G2263" t="s"/>
      <c r="H2263" t="s"/>
      <c r="I2263" t="s"/>
      <c r="J2263" t="n">
        <v>-0.5106000000000001</v>
      </c>
      <c r="K2263" t="n">
        <v>0.171</v>
      </c>
      <c r="L2263" t="n">
        <v>0.829</v>
      </c>
      <c r="M2263" t="n">
        <v>0</v>
      </c>
    </row>
    <row r="2264" spans="1:13">
      <c r="A2264" s="1">
        <f>HYPERLINK("http://www.twitter.com/NathanBLawrence/status/991157915775045632", "991157915775045632")</f>
        <v/>
      </c>
      <c r="B2264" s="2" t="n">
        <v>43221.14625</v>
      </c>
      <c r="C2264" t="n">
        <v>0</v>
      </c>
      <c r="D2264" t="n">
        <v>3</v>
      </c>
      <c r="E2264" t="s">
        <v>2236</v>
      </c>
      <c r="F2264" t="s"/>
      <c r="G2264" t="s"/>
      <c r="H2264" t="s"/>
      <c r="I2264" t="s"/>
      <c r="J2264" t="n">
        <v>0</v>
      </c>
      <c r="K2264" t="n">
        <v>0</v>
      </c>
      <c r="L2264" t="n">
        <v>1</v>
      </c>
      <c r="M2264" t="n">
        <v>0</v>
      </c>
    </row>
    <row r="2265" spans="1:13">
      <c r="A2265" s="1">
        <f>HYPERLINK("http://www.twitter.com/NathanBLawrence/status/991157832899878912", "991157832899878912")</f>
        <v/>
      </c>
      <c r="B2265" s="2" t="n">
        <v>43221.14601851852</v>
      </c>
      <c r="C2265" t="n">
        <v>0</v>
      </c>
      <c r="D2265" t="n">
        <v>4</v>
      </c>
      <c r="E2265" t="s">
        <v>2237</v>
      </c>
      <c r="F2265">
        <f>HYPERLINK("https://video.twimg.com/ext_tw_video/991142859255492609/pu/vid/640x360/GO6noy6TmvJPFeRE.mp4?tag=3", "https://video.twimg.com/ext_tw_video/991142859255492609/pu/vid/640x360/GO6noy6TmvJPFeRE.mp4?tag=3")</f>
        <v/>
      </c>
      <c r="G2265" t="s"/>
      <c r="H2265" t="s"/>
      <c r="I2265" t="s"/>
      <c r="J2265" t="n">
        <v>0</v>
      </c>
      <c r="K2265" t="n">
        <v>0</v>
      </c>
      <c r="L2265" t="n">
        <v>1</v>
      </c>
      <c r="M2265" t="n">
        <v>0</v>
      </c>
    </row>
    <row r="2266" spans="1:13">
      <c r="A2266" s="1">
        <f>HYPERLINK("http://www.twitter.com/NathanBLawrence/status/991157771348439040", "991157771348439040")</f>
        <v/>
      </c>
      <c r="B2266" s="2" t="n">
        <v>43221.14585648148</v>
      </c>
      <c r="C2266" t="n">
        <v>10</v>
      </c>
      <c r="D2266" t="n">
        <v>5</v>
      </c>
      <c r="E2266" t="s">
        <v>2238</v>
      </c>
      <c r="F2266">
        <f>HYPERLINK("http://pbs.twimg.com/media/DcFMu8oWkAIkj5h.jpg", "http://pbs.twimg.com/media/DcFMu8oWkAIkj5h.jpg")</f>
        <v/>
      </c>
      <c r="G2266" t="s"/>
      <c r="H2266" t="s"/>
      <c r="I2266" t="s"/>
      <c r="J2266" t="n">
        <v>-0.1779</v>
      </c>
      <c r="K2266" t="n">
        <v>0.106</v>
      </c>
      <c r="L2266" t="n">
        <v>0.804</v>
      </c>
      <c r="M2266" t="n">
        <v>0.09</v>
      </c>
    </row>
    <row r="2267" spans="1:13">
      <c r="A2267" s="1">
        <f>HYPERLINK("http://www.twitter.com/NathanBLawrence/status/991157205205508096", "991157205205508096")</f>
        <v/>
      </c>
      <c r="B2267" s="2" t="n">
        <v>43221.14429398148</v>
      </c>
      <c r="C2267" t="n">
        <v>0</v>
      </c>
      <c r="D2267" t="n">
        <v>4</v>
      </c>
      <c r="E2267" t="s">
        <v>2239</v>
      </c>
      <c r="F2267" t="s"/>
      <c r="G2267" t="s"/>
      <c r="H2267" t="s"/>
      <c r="I2267" t="s"/>
      <c r="J2267" t="n">
        <v>0.1531</v>
      </c>
      <c r="K2267" t="n">
        <v>0.132</v>
      </c>
      <c r="L2267" t="n">
        <v>0.752</v>
      </c>
      <c r="M2267" t="n">
        <v>0.117</v>
      </c>
    </row>
    <row r="2268" spans="1:13">
      <c r="A2268" s="1">
        <f>HYPERLINK("http://www.twitter.com/NathanBLawrence/status/991157183726477312", "991157183726477312")</f>
        <v/>
      </c>
      <c r="B2268" s="2" t="n">
        <v>43221.14423611111</v>
      </c>
      <c r="C2268" t="n">
        <v>0</v>
      </c>
      <c r="D2268" t="n">
        <v>10</v>
      </c>
      <c r="E2268" t="s">
        <v>1953</v>
      </c>
      <c r="F2268">
        <f>HYPERLINK("http://pbs.twimg.com/media/DcFHCq5WAAA_C_2.jpg", "http://pbs.twimg.com/media/DcFHCq5WAAA_C_2.jpg")</f>
        <v/>
      </c>
      <c r="G2268" t="s"/>
      <c r="H2268" t="s"/>
      <c r="I2268" t="s"/>
      <c r="J2268" t="n">
        <v>-0.2103</v>
      </c>
      <c r="K2268" t="n">
        <v>0.233</v>
      </c>
      <c r="L2268" t="n">
        <v>0.5629999999999999</v>
      </c>
      <c r="M2268" t="n">
        <v>0.204</v>
      </c>
    </row>
    <row r="2269" spans="1:13">
      <c r="A2269" s="1">
        <f>HYPERLINK("http://www.twitter.com/NathanBLawrence/status/991151781341253634", "991151781341253634")</f>
        <v/>
      </c>
      <c r="B2269" s="2" t="n">
        <v>43221.1293287037</v>
      </c>
      <c r="C2269" t="n">
        <v>0</v>
      </c>
      <c r="D2269" t="n">
        <v>6</v>
      </c>
      <c r="E2269" t="s">
        <v>2240</v>
      </c>
      <c r="F2269">
        <f>HYPERLINK("http://pbs.twimg.com/media/DcEF9s1WAAEyQ3E.jpg", "http://pbs.twimg.com/media/DcEF9s1WAAEyQ3E.jpg")</f>
        <v/>
      </c>
      <c r="G2269" t="s"/>
      <c r="H2269" t="s"/>
      <c r="I2269" t="s"/>
      <c r="J2269" t="n">
        <v>-0.3818</v>
      </c>
      <c r="K2269" t="n">
        <v>0.12</v>
      </c>
      <c r="L2269" t="n">
        <v>0.88</v>
      </c>
      <c r="M2269" t="n">
        <v>0</v>
      </c>
    </row>
    <row r="2270" spans="1:13">
      <c r="A2270" s="1">
        <f>HYPERLINK("http://www.twitter.com/NathanBLawrence/status/991151650114031616", "991151650114031616")</f>
        <v/>
      </c>
      <c r="B2270" s="2" t="n">
        <v>43221.12895833333</v>
      </c>
      <c r="C2270" t="n">
        <v>0</v>
      </c>
      <c r="D2270" t="n">
        <v>40</v>
      </c>
      <c r="E2270" t="s">
        <v>2241</v>
      </c>
      <c r="F2270">
        <f>HYPERLINK("http://pbs.twimg.com/media/DcEP1EyVAAAAJtl.jpg", "http://pbs.twimg.com/media/DcEP1EyVAAAAJtl.jpg")</f>
        <v/>
      </c>
      <c r="G2270" t="s"/>
      <c r="H2270" t="s"/>
      <c r="I2270" t="s"/>
      <c r="J2270" t="n">
        <v>0</v>
      </c>
      <c r="K2270" t="n">
        <v>0</v>
      </c>
      <c r="L2270" t="n">
        <v>1</v>
      </c>
      <c r="M2270" t="n">
        <v>0</v>
      </c>
    </row>
    <row r="2271" spans="1:13">
      <c r="A2271" s="1">
        <f>HYPERLINK("http://www.twitter.com/NathanBLawrence/status/991151628635000832", "991151628635000832")</f>
        <v/>
      </c>
      <c r="B2271" s="2" t="n">
        <v>43221.12890046297</v>
      </c>
      <c r="C2271" t="n">
        <v>0</v>
      </c>
      <c r="D2271" t="n">
        <v>7</v>
      </c>
      <c r="E2271" t="s">
        <v>2242</v>
      </c>
      <c r="F2271" t="s"/>
      <c r="G2271" t="s"/>
      <c r="H2271" t="s"/>
      <c r="I2271" t="s"/>
      <c r="J2271" t="n">
        <v>0.6588000000000001</v>
      </c>
      <c r="K2271" t="n">
        <v>0</v>
      </c>
      <c r="L2271" t="n">
        <v>0.614</v>
      </c>
      <c r="M2271" t="n">
        <v>0.386</v>
      </c>
    </row>
    <row r="2272" spans="1:13">
      <c r="A2272" s="1">
        <f>HYPERLINK("http://www.twitter.com/NathanBLawrence/status/991151596691230722", "991151596691230722")</f>
        <v/>
      </c>
      <c r="B2272" s="2" t="n">
        <v>43221.12881944444</v>
      </c>
      <c r="C2272" t="n">
        <v>0</v>
      </c>
      <c r="D2272" t="n">
        <v>13</v>
      </c>
      <c r="E2272" t="s">
        <v>2243</v>
      </c>
      <c r="F2272">
        <f>HYPERLINK("http://pbs.twimg.com/media/DcFGPGdU8AE2Ugo.jpg", "http://pbs.twimg.com/media/DcFGPGdU8AE2Ugo.jpg")</f>
        <v/>
      </c>
      <c r="G2272" t="s"/>
      <c r="H2272" t="s"/>
      <c r="I2272" t="s"/>
      <c r="J2272" t="n">
        <v>0.4019</v>
      </c>
      <c r="K2272" t="n">
        <v>0</v>
      </c>
      <c r="L2272" t="n">
        <v>0.903</v>
      </c>
      <c r="M2272" t="n">
        <v>0.097</v>
      </c>
    </row>
    <row r="2273" spans="1:13">
      <c r="A2273" s="1">
        <f>HYPERLINK("http://www.twitter.com/NathanBLawrence/status/991151585580462080", "991151585580462080")</f>
        <v/>
      </c>
      <c r="B2273" s="2" t="n">
        <v>43221.12878472222</v>
      </c>
      <c r="C2273" t="n">
        <v>0</v>
      </c>
      <c r="D2273" t="n">
        <v>8</v>
      </c>
      <c r="E2273" t="s">
        <v>2244</v>
      </c>
      <c r="F2273" t="s"/>
      <c r="G2273" t="s"/>
      <c r="H2273" t="s"/>
      <c r="I2273" t="s"/>
      <c r="J2273" t="n">
        <v>0.4939</v>
      </c>
      <c r="K2273" t="n">
        <v>0</v>
      </c>
      <c r="L2273" t="n">
        <v>0.802</v>
      </c>
      <c r="M2273" t="n">
        <v>0.198</v>
      </c>
    </row>
    <row r="2274" spans="1:13">
      <c r="A2274" s="1">
        <f>HYPERLINK("http://www.twitter.com/NathanBLawrence/status/991151547320070149", "991151547320070149")</f>
        <v/>
      </c>
      <c r="B2274" s="2" t="n">
        <v>43221.12868055556</v>
      </c>
      <c r="C2274" t="n">
        <v>0</v>
      </c>
      <c r="D2274" t="n">
        <v>8</v>
      </c>
      <c r="E2274" t="s">
        <v>2245</v>
      </c>
      <c r="F2274">
        <f>HYPERLINK("http://pbs.twimg.com/media/DcDJlchXUAAFwDh.jpg", "http://pbs.twimg.com/media/DcDJlchXUAAFwDh.jpg")</f>
        <v/>
      </c>
      <c r="G2274" t="s"/>
      <c r="H2274" t="s"/>
      <c r="I2274" t="s"/>
      <c r="J2274" t="n">
        <v>0.2023</v>
      </c>
      <c r="K2274" t="n">
        <v>0.123</v>
      </c>
      <c r="L2274" t="n">
        <v>0.678</v>
      </c>
      <c r="M2274" t="n">
        <v>0.199</v>
      </c>
    </row>
    <row r="2275" spans="1:13">
      <c r="A2275" s="1">
        <f>HYPERLINK("http://www.twitter.com/NathanBLawrence/status/991151512050176000", "991151512050176000")</f>
        <v/>
      </c>
      <c r="B2275" s="2" t="n">
        <v>43221.12857638889</v>
      </c>
      <c r="C2275" t="n">
        <v>18</v>
      </c>
      <c r="D2275" t="n">
        <v>10</v>
      </c>
      <c r="E2275" t="s">
        <v>2246</v>
      </c>
      <c r="F2275">
        <f>HYPERLINK("http://pbs.twimg.com/media/DcFHCq5WAAA_C_2.jpg", "http://pbs.twimg.com/media/DcFHCq5WAAA_C_2.jpg")</f>
        <v/>
      </c>
      <c r="G2275" t="s"/>
      <c r="H2275" t="s"/>
      <c r="I2275" t="s"/>
      <c r="J2275" t="n">
        <v>-0.1779</v>
      </c>
      <c r="K2275" t="n">
        <v>0.191</v>
      </c>
      <c r="L2275" t="n">
        <v>0.63</v>
      </c>
      <c r="M2275" t="n">
        <v>0.179</v>
      </c>
    </row>
    <row r="2276" spans="1:13">
      <c r="A2276" s="1">
        <f>HYPERLINK("http://www.twitter.com/NathanBLawrence/status/991150990714986497", "991150990714986497")</f>
        <v/>
      </c>
      <c r="B2276" s="2" t="n">
        <v>43221.1271412037</v>
      </c>
      <c r="C2276" t="n">
        <v>0</v>
      </c>
      <c r="D2276" t="n">
        <v>16356</v>
      </c>
      <c r="E2276" t="s">
        <v>2247</v>
      </c>
      <c r="F2276" t="s"/>
      <c r="G2276" t="s"/>
      <c r="H2276" t="s"/>
      <c r="I2276" t="s"/>
      <c r="J2276" t="n">
        <v>0.8316</v>
      </c>
      <c r="K2276" t="n">
        <v>0</v>
      </c>
      <c r="L2276" t="n">
        <v>0.6850000000000001</v>
      </c>
      <c r="M2276" t="n">
        <v>0.315</v>
      </c>
    </row>
    <row r="2277" spans="1:13">
      <c r="A2277" s="1">
        <f>HYPERLINK("http://www.twitter.com/NathanBLawrence/status/991150948373450753", "991150948373450753")</f>
        <v/>
      </c>
      <c r="B2277" s="2" t="n">
        <v>43221.12702546296</v>
      </c>
      <c r="C2277" t="n">
        <v>0</v>
      </c>
      <c r="D2277" t="n">
        <v>671</v>
      </c>
      <c r="E2277" t="s">
        <v>2248</v>
      </c>
      <c r="F2277" t="s"/>
      <c r="G2277" t="s"/>
      <c r="H2277" t="s"/>
      <c r="I2277" t="s"/>
      <c r="J2277" t="n">
        <v>0</v>
      </c>
      <c r="K2277" t="n">
        <v>0</v>
      </c>
      <c r="L2277" t="n">
        <v>1</v>
      </c>
      <c r="M2277" t="n">
        <v>0</v>
      </c>
    </row>
    <row r="2278" spans="1:13">
      <c r="A2278" s="1">
        <f>HYPERLINK("http://www.twitter.com/NathanBLawrence/status/991150747780898816", "991150747780898816")</f>
        <v/>
      </c>
      <c r="B2278" s="2" t="n">
        <v>43221.12646990741</v>
      </c>
      <c r="C2278" t="n">
        <v>0</v>
      </c>
      <c r="D2278" t="n">
        <v>24</v>
      </c>
      <c r="E2278" t="s">
        <v>2249</v>
      </c>
      <c r="F2278" t="s"/>
      <c r="G2278" t="s"/>
      <c r="H2278" t="s"/>
      <c r="I2278" t="s"/>
      <c r="J2278" t="n">
        <v>-0.4939</v>
      </c>
      <c r="K2278" t="n">
        <v>0.167</v>
      </c>
      <c r="L2278" t="n">
        <v>0.833</v>
      </c>
      <c r="M2278" t="n">
        <v>0</v>
      </c>
    </row>
    <row r="2279" spans="1:13">
      <c r="A2279" s="1">
        <f>HYPERLINK("http://www.twitter.com/NathanBLawrence/status/991150736020070400", "991150736020070400")</f>
        <v/>
      </c>
      <c r="B2279" s="2" t="n">
        <v>43221.12643518519</v>
      </c>
      <c r="C2279" t="n">
        <v>0</v>
      </c>
      <c r="D2279" t="n">
        <v>216</v>
      </c>
      <c r="E2279" t="s">
        <v>2250</v>
      </c>
      <c r="F2279" t="s"/>
      <c r="G2279" t="s"/>
      <c r="H2279" t="s"/>
      <c r="I2279" t="s"/>
      <c r="J2279" t="n">
        <v>-0.4939</v>
      </c>
      <c r="K2279" t="n">
        <v>0.167</v>
      </c>
      <c r="L2279" t="n">
        <v>0.833</v>
      </c>
      <c r="M2279" t="n">
        <v>0</v>
      </c>
    </row>
    <row r="2280" spans="1:13">
      <c r="A2280" s="1">
        <f>HYPERLINK("http://www.twitter.com/NathanBLawrence/status/991150635981725697", "991150635981725697")</f>
        <v/>
      </c>
      <c r="B2280" s="2" t="n">
        <v>43221.12615740741</v>
      </c>
      <c r="C2280" t="n">
        <v>20</v>
      </c>
      <c r="D2280" t="n">
        <v>13</v>
      </c>
      <c r="E2280" t="s">
        <v>2251</v>
      </c>
      <c r="F2280">
        <f>HYPERLINK("http://pbs.twimg.com/media/DcFGPGdU8AE2Ugo.jpg", "http://pbs.twimg.com/media/DcFGPGdU8AE2Ugo.jpg")</f>
        <v/>
      </c>
      <c r="G2280" t="s"/>
      <c r="H2280" t="s"/>
      <c r="I2280" t="s"/>
      <c r="J2280" t="n">
        <v>0.4588</v>
      </c>
      <c r="K2280" t="n">
        <v>0</v>
      </c>
      <c r="L2280" t="n">
        <v>0.92</v>
      </c>
      <c r="M2280" t="n">
        <v>0.08</v>
      </c>
    </row>
    <row r="2281" spans="1:13">
      <c r="A2281" s="1">
        <f>HYPERLINK("http://www.twitter.com/NathanBLawrence/status/991143616679698432", "991143616679698432")</f>
        <v/>
      </c>
      <c r="B2281" s="2" t="n">
        <v>43221.10679398148</v>
      </c>
      <c r="C2281" t="n">
        <v>7</v>
      </c>
      <c r="D2281" t="n">
        <v>4</v>
      </c>
      <c r="E2281" t="s">
        <v>2252</v>
      </c>
      <c r="F2281">
        <f>HYPERLINK("https://video.twimg.com/ext_tw_video/991142859255492609/pu/vid/640x360/GO6noy6TmvJPFeRE.mp4?tag=3", "https://video.twimg.com/ext_tw_video/991142859255492609/pu/vid/640x360/GO6noy6TmvJPFeRE.mp4?tag=3")</f>
        <v/>
      </c>
      <c r="G2281" t="s"/>
      <c r="H2281" t="s"/>
      <c r="I2281" t="s"/>
      <c r="J2281" t="n">
        <v>0</v>
      </c>
      <c r="K2281" t="n">
        <v>0</v>
      </c>
      <c r="L2281" t="n">
        <v>1</v>
      </c>
      <c r="M2281" t="n">
        <v>0</v>
      </c>
    </row>
    <row r="2282" spans="1:13">
      <c r="A2282" s="1">
        <f>HYPERLINK("http://www.twitter.com/NathanBLawrence/status/991143097718407168", "991143097718407168")</f>
        <v/>
      </c>
      <c r="B2282" s="2" t="n">
        <v>43221.1053587963</v>
      </c>
      <c r="C2282" t="n">
        <v>0</v>
      </c>
      <c r="D2282" t="n">
        <v>349</v>
      </c>
      <c r="E2282" t="s">
        <v>2253</v>
      </c>
      <c r="F2282" t="s"/>
      <c r="G2282" t="s"/>
      <c r="H2282" t="s"/>
      <c r="I2282" t="s"/>
      <c r="J2282" t="n">
        <v>-0.1449</v>
      </c>
      <c r="K2282" t="n">
        <v>0.213</v>
      </c>
      <c r="L2282" t="n">
        <v>0.609</v>
      </c>
      <c r="M2282" t="n">
        <v>0.178</v>
      </c>
    </row>
    <row r="2283" spans="1:13">
      <c r="A2283" s="1">
        <f>HYPERLINK("http://www.twitter.com/NathanBLawrence/status/991143019415068673", "991143019415068673")</f>
        <v/>
      </c>
      <c r="B2283" s="2" t="n">
        <v>43221.10515046296</v>
      </c>
      <c r="C2283" t="n">
        <v>0</v>
      </c>
      <c r="D2283" t="n">
        <v>35</v>
      </c>
      <c r="E2283" t="s">
        <v>2254</v>
      </c>
      <c r="F2283" t="s"/>
      <c r="G2283" t="s"/>
      <c r="H2283" t="s"/>
      <c r="I2283" t="s"/>
      <c r="J2283" t="n">
        <v>-0.5719</v>
      </c>
      <c r="K2283" t="n">
        <v>0.139</v>
      </c>
      <c r="L2283" t="n">
        <v>0.861</v>
      </c>
      <c r="M2283" t="n">
        <v>0</v>
      </c>
    </row>
    <row r="2284" spans="1:13">
      <c r="A2284" s="1">
        <f>HYPERLINK("http://www.twitter.com/NathanBLawrence/status/991142959096778752", "991142959096778752")</f>
        <v/>
      </c>
      <c r="B2284" s="2" t="n">
        <v>43221.10497685185</v>
      </c>
      <c r="C2284" t="n">
        <v>0</v>
      </c>
      <c r="D2284" t="n">
        <v>29</v>
      </c>
      <c r="E2284" t="s">
        <v>2255</v>
      </c>
      <c r="F2284" t="s"/>
      <c r="G2284" t="s"/>
      <c r="H2284" t="s"/>
      <c r="I2284" t="s"/>
      <c r="J2284" t="n">
        <v>0.3612</v>
      </c>
      <c r="K2284" t="n">
        <v>0</v>
      </c>
      <c r="L2284" t="n">
        <v>0.894</v>
      </c>
      <c r="M2284" t="n">
        <v>0.106</v>
      </c>
    </row>
    <row r="2285" spans="1:13">
      <c r="A2285" s="1">
        <f>HYPERLINK("http://www.twitter.com/NathanBLawrence/status/991141077297098753", "991141077297098753")</f>
        <v/>
      </c>
      <c r="B2285" s="2" t="n">
        <v>43221.09978009259</v>
      </c>
      <c r="C2285" t="n">
        <v>0</v>
      </c>
      <c r="D2285" t="n">
        <v>9123</v>
      </c>
      <c r="E2285" t="s">
        <v>2256</v>
      </c>
      <c r="F2285" t="s"/>
      <c r="G2285" t="s"/>
      <c r="H2285" t="s"/>
      <c r="I2285" t="s"/>
      <c r="J2285" t="n">
        <v>0</v>
      </c>
      <c r="K2285" t="n">
        <v>0</v>
      </c>
      <c r="L2285" t="n">
        <v>1</v>
      </c>
      <c r="M2285" t="n">
        <v>0</v>
      </c>
    </row>
    <row r="2286" spans="1:13">
      <c r="A2286" s="1">
        <f>HYPERLINK("http://www.twitter.com/NathanBLawrence/status/991140034513375232", "991140034513375232")</f>
        <v/>
      </c>
      <c r="B2286" s="2" t="n">
        <v>43221.09690972222</v>
      </c>
      <c r="C2286" t="n">
        <v>0</v>
      </c>
      <c r="D2286" t="n">
        <v>11</v>
      </c>
      <c r="E2286" t="s">
        <v>2257</v>
      </c>
      <c r="F2286" t="s"/>
      <c r="G2286" t="s"/>
      <c r="H2286" t="s"/>
      <c r="I2286" t="s"/>
      <c r="J2286" t="n">
        <v>0.504</v>
      </c>
      <c r="K2286" t="n">
        <v>0</v>
      </c>
      <c r="L2286" t="n">
        <v>0.854</v>
      </c>
      <c r="M2286" t="n">
        <v>0.146</v>
      </c>
    </row>
    <row r="2287" spans="1:13">
      <c r="A2287" s="1">
        <f>HYPERLINK("http://www.twitter.com/NathanBLawrence/status/991139979614093313", "991139979614093313")</f>
        <v/>
      </c>
      <c r="B2287" s="2" t="n">
        <v>43221.09675925926</v>
      </c>
      <c r="C2287" t="n">
        <v>0</v>
      </c>
      <c r="D2287" t="n">
        <v>18</v>
      </c>
      <c r="E2287" t="s">
        <v>2258</v>
      </c>
      <c r="F2287">
        <f>HYPERLINK("http://pbs.twimg.com/media/DcEVYnTX4AAwnac.jpg", "http://pbs.twimg.com/media/DcEVYnTX4AAwnac.jpg")</f>
        <v/>
      </c>
      <c r="G2287" t="s"/>
      <c r="H2287" t="s"/>
      <c r="I2287" t="s"/>
      <c r="J2287" t="n">
        <v>0</v>
      </c>
      <c r="K2287" t="n">
        <v>0</v>
      </c>
      <c r="L2287" t="n">
        <v>1</v>
      </c>
      <c r="M2287" t="n">
        <v>0</v>
      </c>
    </row>
    <row r="2288" spans="1:13">
      <c r="A2288" s="1">
        <f>HYPERLINK("http://www.twitter.com/NathanBLawrence/status/991139945174708225", "991139945174708225")</f>
        <v/>
      </c>
      <c r="B2288" s="2" t="n">
        <v>43221.09666666666</v>
      </c>
      <c r="C2288" t="n">
        <v>0</v>
      </c>
      <c r="D2288" t="n">
        <v>11</v>
      </c>
      <c r="E2288" t="s">
        <v>2259</v>
      </c>
      <c r="F2288" t="s"/>
      <c r="G2288" t="s"/>
      <c r="H2288" t="s"/>
      <c r="I2288" t="s"/>
      <c r="J2288" t="n">
        <v>-0.3182</v>
      </c>
      <c r="K2288" t="n">
        <v>0.145</v>
      </c>
      <c r="L2288" t="n">
        <v>0.766</v>
      </c>
      <c r="M2288" t="n">
        <v>0.089</v>
      </c>
    </row>
    <row r="2289" spans="1:13">
      <c r="A2289" s="1">
        <f>HYPERLINK("http://www.twitter.com/NathanBLawrence/status/991139910441631750", "991139910441631750")</f>
        <v/>
      </c>
      <c r="B2289" s="2" t="n">
        <v>43221.0965625</v>
      </c>
      <c r="C2289" t="n">
        <v>0</v>
      </c>
      <c r="D2289" t="n">
        <v>5</v>
      </c>
      <c r="E2289" t="s">
        <v>2260</v>
      </c>
      <c r="F2289" t="s"/>
      <c r="G2289" t="s"/>
      <c r="H2289" t="s"/>
      <c r="I2289" t="s"/>
      <c r="J2289" t="n">
        <v>-0.5423</v>
      </c>
      <c r="K2289" t="n">
        <v>0.17</v>
      </c>
      <c r="L2289" t="n">
        <v>0.83</v>
      </c>
      <c r="M2289" t="n">
        <v>0</v>
      </c>
    </row>
    <row r="2290" spans="1:13">
      <c r="A2290" s="1">
        <f>HYPERLINK("http://www.twitter.com/NathanBLawrence/status/991139887079358464", "991139887079358464")</f>
        <v/>
      </c>
      <c r="B2290" s="2" t="n">
        <v>43221.09650462963</v>
      </c>
      <c r="C2290" t="n">
        <v>0</v>
      </c>
      <c r="D2290" t="n">
        <v>16</v>
      </c>
      <c r="E2290" t="s">
        <v>2261</v>
      </c>
      <c r="F2290" t="s"/>
      <c r="G2290" t="s"/>
      <c r="H2290" t="s"/>
      <c r="I2290" t="s"/>
      <c r="J2290" t="n">
        <v>-0.1027</v>
      </c>
      <c r="K2290" t="n">
        <v>0.062</v>
      </c>
      <c r="L2290" t="n">
        <v>0.9379999999999999</v>
      </c>
      <c r="M2290" t="n">
        <v>0</v>
      </c>
    </row>
    <row r="2291" spans="1:13">
      <c r="A2291" s="1">
        <f>HYPERLINK("http://www.twitter.com/NathanBLawrence/status/991139822654951424", "991139822654951424")</f>
        <v/>
      </c>
      <c r="B2291" s="2" t="n">
        <v>43221.09631944444</v>
      </c>
      <c r="C2291" t="n">
        <v>0</v>
      </c>
      <c r="D2291" t="n">
        <v>46</v>
      </c>
      <c r="E2291" t="s">
        <v>2262</v>
      </c>
      <c r="F2291" t="s"/>
      <c r="G2291" t="s"/>
      <c r="H2291" t="s"/>
      <c r="I2291" t="s"/>
      <c r="J2291" t="n">
        <v>-0.6143999999999999</v>
      </c>
      <c r="K2291" t="n">
        <v>0.179</v>
      </c>
      <c r="L2291" t="n">
        <v>0.821</v>
      </c>
      <c r="M2291" t="n">
        <v>0</v>
      </c>
    </row>
    <row r="2292" spans="1:13">
      <c r="A2292" s="1">
        <f>HYPERLINK("http://www.twitter.com/NathanBLawrence/status/991135922979790848", "991135922979790848")</f>
        <v/>
      </c>
      <c r="B2292" s="2" t="n">
        <v>43221.08556712963</v>
      </c>
      <c r="C2292" t="n">
        <v>3</v>
      </c>
      <c r="D2292" t="n">
        <v>1</v>
      </c>
      <c r="E2292" t="s">
        <v>2263</v>
      </c>
      <c r="F2292" t="s"/>
      <c r="G2292" t="s"/>
      <c r="H2292" t="s"/>
      <c r="I2292" t="s"/>
      <c r="J2292" t="n">
        <v>0</v>
      </c>
      <c r="K2292" t="n">
        <v>0</v>
      </c>
      <c r="L2292" t="n">
        <v>1</v>
      </c>
      <c r="M2292" t="n">
        <v>0</v>
      </c>
    </row>
    <row r="2293" spans="1:13">
      <c r="A2293" s="1">
        <f>HYPERLINK("http://www.twitter.com/NathanBLawrence/status/991118596989472769", "991118596989472769")</f>
        <v/>
      </c>
      <c r="B2293" s="2" t="n">
        <v>43221.03775462963</v>
      </c>
      <c r="C2293" t="n">
        <v>0</v>
      </c>
      <c r="D2293" t="n">
        <v>2</v>
      </c>
      <c r="E2293" t="s">
        <v>2264</v>
      </c>
      <c r="F2293" t="s"/>
      <c r="G2293" t="s"/>
      <c r="H2293" t="s"/>
      <c r="I2293" t="s"/>
      <c r="J2293" t="n">
        <v>0</v>
      </c>
      <c r="K2293" t="n">
        <v>0</v>
      </c>
      <c r="L2293" t="n">
        <v>1</v>
      </c>
      <c r="M2293" t="n">
        <v>0</v>
      </c>
    </row>
    <row r="2294" spans="1:13">
      <c r="A2294" s="1">
        <f>HYPERLINK("http://www.twitter.com/NathanBLawrence/status/991117961313292293", "991117961313292293")</f>
        <v/>
      </c>
      <c r="B2294" s="2" t="n">
        <v>43221.03599537037</v>
      </c>
      <c r="C2294" t="n">
        <v>0</v>
      </c>
      <c r="D2294" t="n">
        <v>1</v>
      </c>
      <c r="E2294" t="s">
        <v>2265</v>
      </c>
      <c r="F2294" t="s"/>
      <c r="G2294" t="s"/>
      <c r="H2294" t="s"/>
      <c r="I2294" t="s"/>
      <c r="J2294" t="n">
        <v>0.3278</v>
      </c>
      <c r="K2294" t="n">
        <v>0</v>
      </c>
      <c r="L2294" t="n">
        <v>0.847</v>
      </c>
      <c r="M2294" t="n">
        <v>0.153</v>
      </c>
    </row>
    <row r="2295" spans="1:13">
      <c r="A2295" s="1">
        <f>HYPERLINK("http://www.twitter.com/NathanBLawrence/status/991117912030306305", "991117912030306305")</f>
        <v/>
      </c>
      <c r="B2295" s="2" t="n">
        <v>43221.03585648148</v>
      </c>
      <c r="C2295" t="n">
        <v>0</v>
      </c>
      <c r="D2295" t="n">
        <v>5</v>
      </c>
      <c r="E2295" t="s">
        <v>2266</v>
      </c>
      <c r="F2295" t="s"/>
      <c r="G2295" t="s"/>
      <c r="H2295" t="s"/>
      <c r="I2295" t="s"/>
      <c r="J2295" t="n">
        <v>-0.3147</v>
      </c>
      <c r="K2295" t="n">
        <v>0.187</v>
      </c>
      <c r="L2295" t="n">
        <v>0.6899999999999999</v>
      </c>
      <c r="M2295" t="n">
        <v>0.123</v>
      </c>
    </row>
    <row r="2296" spans="1:13">
      <c r="A2296" s="1">
        <f>HYPERLINK("http://www.twitter.com/NathanBLawrence/status/991117867025387521", "991117867025387521")</f>
        <v/>
      </c>
      <c r="B2296" s="2" t="n">
        <v>43221.03574074074</v>
      </c>
      <c r="C2296" t="n">
        <v>0</v>
      </c>
      <c r="D2296" t="n">
        <v>1</v>
      </c>
      <c r="E2296" t="s">
        <v>2267</v>
      </c>
      <c r="F2296" t="s"/>
      <c r="G2296" t="s"/>
      <c r="H2296" t="s"/>
      <c r="I2296" t="s"/>
      <c r="J2296" t="n">
        <v>0</v>
      </c>
      <c r="K2296" t="n">
        <v>0</v>
      </c>
      <c r="L2296" t="n">
        <v>1</v>
      </c>
      <c r="M2296" t="n">
        <v>0</v>
      </c>
    </row>
    <row r="2297" spans="1:13">
      <c r="A2297" s="1">
        <f>HYPERLINK("http://www.twitter.com/NathanBLawrence/status/991113617536929799", "991113617536929799")</f>
        <v/>
      </c>
      <c r="B2297" s="2" t="n">
        <v>43221.0240162037</v>
      </c>
      <c r="C2297" t="n">
        <v>0</v>
      </c>
      <c r="D2297" t="n">
        <v>23</v>
      </c>
      <c r="E2297" t="s">
        <v>2268</v>
      </c>
      <c r="F2297" t="s"/>
      <c r="G2297" t="s"/>
      <c r="H2297" t="s"/>
      <c r="I2297" t="s"/>
      <c r="J2297" t="n">
        <v>0.2263</v>
      </c>
      <c r="K2297" t="n">
        <v>0</v>
      </c>
      <c r="L2297" t="n">
        <v>0.917</v>
      </c>
      <c r="M2297" t="n">
        <v>0.083</v>
      </c>
    </row>
    <row r="2298" spans="1:13">
      <c r="A2298" s="1">
        <f>HYPERLINK("http://www.twitter.com/NathanBLawrence/status/991090284841795584", "991090284841795584")</f>
        <v/>
      </c>
      <c r="B2298" s="2" t="n">
        <v>43220.95962962963</v>
      </c>
      <c r="C2298" t="n">
        <v>0</v>
      </c>
      <c r="D2298" t="n">
        <v>2</v>
      </c>
      <c r="E2298" t="s">
        <v>2269</v>
      </c>
      <c r="F2298" t="s"/>
      <c r="G2298" t="s"/>
      <c r="H2298" t="s"/>
      <c r="I2298" t="s"/>
      <c r="J2298" t="n">
        <v>0.1779</v>
      </c>
      <c r="K2298" t="n">
        <v>0.111</v>
      </c>
      <c r="L2298" t="n">
        <v>0.741</v>
      </c>
      <c r="M2298" t="n">
        <v>0.148</v>
      </c>
    </row>
    <row r="2299" spans="1:13">
      <c r="A2299" s="1">
        <f>HYPERLINK("http://www.twitter.com/NathanBLawrence/status/991090238662508545", "991090238662508545")</f>
        <v/>
      </c>
      <c r="B2299" s="2" t="n">
        <v>43220.95950231481</v>
      </c>
      <c r="C2299" t="n">
        <v>0</v>
      </c>
      <c r="D2299" t="n">
        <v>0</v>
      </c>
      <c r="E2299" t="s">
        <v>2270</v>
      </c>
      <c r="F2299" t="s"/>
      <c r="G2299" t="s"/>
      <c r="H2299" t="s"/>
      <c r="I2299" t="s"/>
      <c r="J2299" t="n">
        <v>0</v>
      </c>
      <c r="K2299" t="n">
        <v>0</v>
      </c>
      <c r="L2299" t="n">
        <v>1</v>
      </c>
      <c r="M2299" t="n">
        <v>0</v>
      </c>
    </row>
    <row r="2300" spans="1:13">
      <c r="A2300" s="1">
        <f>HYPERLINK("http://www.twitter.com/NathanBLawrence/status/991090087743156224", "991090087743156224")</f>
        <v/>
      </c>
      <c r="B2300" s="2" t="n">
        <v>43220.95908564814</v>
      </c>
      <c r="C2300" t="n">
        <v>0</v>
      </c>
      <c r="D2300" t="n">
        <v>3</v>
      </c>
      <c r="E2300" t="s">
        <v>2271</v>
      </c>
      <c r="F2300" t="s"/>
      <c r="G2300" t="s"/>
      <c r="H2300" t="s"/>
      <c r="I2300" t="s"/>
      <c r="J2300" t="n">
        <v>0</v>
      </c>
      <c r="K2300" t="n">
        <v>0</v>
      </c>
      <c r="L2300" t="n">
        <v>1</v>
      </c>
      <c r="M2300" t="n">
        <v>0</v>
      </c>
    </row>
    <row r="2301" spans="1:13">
      <c r="A2301" s="1">
        <f>HYPERLINK("http://www.twitter.com/NathanBLawrence/status/991089736507936768", "991089736507936768")</f>
        <v/>
      </c>
      <c r="B2301" s="2" t="n">
        <v>43220.95811342593</v>
      </c>
      <c r="C2301" t="n">
        <v>0</v>
      </c>
      <c r="D2301" t="n">
        <v>4</v>
      </c>
      <c r="E2301" t="s">
        <v>2272</v>
      </c>
      <c r="F2301" t="s"/>
      <c r="G2301" t="s"/>
      <c r="H2301" t="s"/>
      <c r="I2301" t="s"/>
      <c r="J2301" t="n">
        <v>-0.6696</v>
      </c>
      <c r="K2301" t="n">
        <v>0.215</v>
      </c>
      <c r="L2301" t="n">
        <v>0.785</v>
      </c>
      <c r="M2301" t="n">
        <v>0</v>
      </c>
    </row>
    <row r="2302" spans="1:13">
      <c r="A2302" s="1">
        <f>HYPERLINK("http://www.twitter.com/NathanBLawrence/status/991089720993243136", "991089720993243136")</f>
        <v/>
      </c>
      <c r="B2302" s="2" t="n">
        <v>43220.95806712963</v>
      </c>
      <c r="C2302" t="n">
        <v>0</v>
      </c>
      <c r="D2302" t="n">
        <v>3</v>
      </c>
      <c r="E2302" t="s">
        <v>2273</v>
      </c>
      <c r="F2302">
        <f>HYPERLINK("http://pbs.twimg.com/media/DcEMrA4VAAAPly3.jpg", "http://pbs.twimg.com/media/DcEMrA4VAAAPly3.jpg")</f>
        <v/>
      </c>
      <c r="G2302" t="s"/>
      <c r="H2302" t="s"/>
      <c r="I2302" t="s"/>
      <c r="J2302" t="n">
        <v>0.128</v>
      </c>
      <c r="K2302" t="n">
        <v>0</v>
      </c>
      <c r="L2302" t="n">
        <v>0.93</v>
      </c>
      <c r="M2302" t="n">
        <v>0.07000000000000001</v>
      </c>
    </row>
    <row r="2303" spans="1:13">
      <c r="A2303" s="1">
        <f>HYPERLINK("http://www.twitter.com/NathanBLawrence/status/991089693671481344", "991089693671481344")</f>
        <v/>
      </c>
      <c r="B2303" s="2" t="n">
        <v>43220.95799768518</v>
      </c>
      <c r="C2303" t="n">
        <v>0</v>
      </c>
      <c r="D2303" t="n">
        <v>8</v>
      </c>
      <c r="E2303" t="s">
        <v>2274</v>
      </c>
      <c r="F2303" t="s"/>
      <c r="G2303" t="s"/>
      <c r="H2303" t="s"/>
      <c r="I2303" t="s"/>
      <c r="J2303" t="n">
        <v>0</v>
      </c>
      <c r="K2303" t="n">
        <v>0</v>
      </c>
      <c r="L2303" t="n">
        <v>1</v>
      </c>
      <c r="M2303" t="n">
        <v>0</v>
      </c>
    </row>
    <row r="2304" spans="1:13">
      <c r="A2304" s="1">
        <f>HYPERLINK("http://www.twitter.com/NathanBLawrence/status/991089680924979202", "991089680924979202")</f>
        <v/>
      </c>
      <c r="B2304" s="2" t="n">
        <v>43220.95796296297</v>
      </c>
      <c r="C2304" t="n">
        <v>0</v>
      </c>
      <c r="D2304" t="n">
        <v>5</v>
      </c>
      <c r="E2304" t="s">
        <v>2275</v>
      </c>
      <c r="F2304" t="s"/>
      <c r="G2304" t="s"/>
      <c r="H2304" t="s"/>
      <c r="I2304" t="s"/>
      <c r="J2304" t="n">
        <v>0.2401</v>
      </c>
      <c r="K2304" t="n">
        <v>0</v>
      </c>
      <c r="L2304" t="n">
        <v>0.885</v>
      </c>
      <c r="M2304" t="n">
        <v>0.115</v>
      </c>
    </row>
    <row r="2305" spans="1:13">
      <c r="A2305" s="1">
        <f>HYPERLINK("http://www.twitter.com/NathanBLawrence/status/991085316369993728", "991085316369993728")</f>
        <v/>
      </c>
      <c r="B2305" s="2" t="n">
        <v>43220.94591435185</v>
      </c>
      <c r="C2305" t="n">
        <v>0</v>
      </c>
      <c r="D2305" t="n">
        <v>7</v>
      </c>
      <c r="E2305" t="s">
        <v>2276</v>
      </c>
      <c r="F2305" t="s"/>
      <c r="G2305" t="s"/>
      <c r="H2305" t="s"/>
      <c r="I2305" t="s"/>
      <c r="J2305" t="n">
        <v>-0.5574</v>
      </c>
      <c r="K2305" t="n">
        <v>0.173</v>
      </c>
      <c r="L2305" t="n">
        <v>0.827</v>
      </c>
      <c r="M2305" t="n">
        <v>0</v>
      </c>
    </row>
    <row r="2306" spans="1:13">
      <c r="A2306" s="1">
        <f>HYPERLINK("http://www.twitter.com/NathanBLawrence/status/991084801284362240", "991084801284362240")</f>
        <v/>
      </c>
      <c r="B2306" s="2" t="n">
        <v>43220.94449074074</v>
      </c>
      <c r="C2306" t="n">
        <v>0</v>
      </c>
      <c r="D2306" t="n">
        <v>7</v>
      </c>
      <c r="E2306" t="s">
        <v>2277</v>
      </c>
      <c r="F2306" t="s"/>
      <c r="G2306" t="s"/>
      <c r="H2306" t="s"/>
      <c r="I2306" t="s"/>
      <c r="J2306" t="n">
        <v>0</v>
      </c>
      <c r="K2306" t="n">
        <v>0</v>
      </c>
      <c r="L2306" t="n">
        <v>1</v>
      </c>
      <c r="M2306" t="n">
        <v>0</v>
      </c>
    </row>
    <row r="2307" spans="1:13">
      <c r="A2307" s="1">
        <f>HYPERLINK("http://www.twitter.com/NathanBLawrence/status/991084714617397248", "991084714617397248")</f>
        <v/>
      </c>
      <c r="B2307" s="2" t="n">
        <v>43220.94425925926</v>
      </c>
      <c r="C2307" t="n">
        <v>0</v>
      </c>
      <c r="D2307" t="n">
        <v>18</v>
      </c>
      <c r="E2307" t="s">
        <v>2278</v>
      </c>
      <c r="F2307" t="s"/>
      <c r="G2307" t="s"/>
      <c r="H2307" t="s"/>
      <c r="I2307" t="s"/>
      <c r="J2307" t="n">
        <v>0.264</v>
      </c>
      <c r="K2307" t="n">
        <v>0.08599999999999999</v>
      </c>
      <c r="L2307" t="n">
        <v>0.788</v>
      </c>
      <c r="M2307" t="n">
        <v>0.126</v>
      </c>
    </row>
    <row r="2308" spans="1:13">
      <c r="A2308" s="1">
        <f>HYPERLINK("http://www.twitter.com/NathanBLawrence/status/991084693499011073", "991084693499011073")</f>
        <v/>
      </c>
      <c r="B2308" s="2" t="n">
        <v>43220.94420138889</v>
      </c>
      <c r="C2308" t="n">
        <v>2</v>
      </c>
      <c r="D2308" t="n">
        <v>2</v>
      </c>
      <c r="E2308" t="s">
        <v>2279</v>
      </c>
      <c r="F2308" t="s"/>
      <c r="G2308" t="s"/>
      <c r="H2308" t="s"/>
      <c r="I2308" t="s"/>
      <c r="J2308" t="n">
        <v>0.1779</v>
      </c>
      <c r="K2308" t="n">
        <v>0.124</v>
      </c>
      <c r="L2308" t="n">
        <v>0.71</v>
      </c>
      <c r="M2308" t="n">
        <v>0.166</v>
      </c>
    </row>
    <row r="2309" spans="1:13">
      <c r="A2309" s="1">
        <f>HYPERLINK("http://www.twitter.com/NathanBLawrence/status/991084555867181058", "991084555867181058")</f>
        <v/>
      </c>
      <c r="B2309" s="2" t="n">
        <v>43220.94381944444</v>
      </c>
      <c r="C2309" t="n">
        <v>0</v>
      </c>
      <c r="D2309" t="n">
        <v>9</v>
      </c>
      <c r="E2309" t="s">
        <v>2280</v>
      </c>
      <c r="F2309" t="s"/>
      <c r="G2309" t="s"/>
      <c r="H2309" t="s"/>
      <c r="I2309" t="s"/>
      <c r="J2309" t="n">
        <v>-0.6369</v>
      </c>
      <c r="K2309" t="n">
        <v>0.229</v>
      </c>
      <c r="L2309" t="n">
        <v>0.6850000000000001</v>
      </c>
      <c r="M2309" t="n">
        <v>0.08599999999999999</v>
      </c>
    </row>
    <row r="2310" spans="1:13">
      <c r="A2310" s="1">
        <f>HYPERLINK("http://www.twitter.com/NathanBLawrence/status/991084537152188416", "991084537152188416")</f>
        <v/>
      </c>
      <c r="B2310" s="2" t="n">
        <v>43220.94376157408</v>
      </c>
      <c r="C2310" t="n">
        <v>11</v>
      </c>
      <c r="D2310" t="n">
        <v>7</v>
      </c>
      <c r="E2310" t="s">
        <v>2281</v>
      </c>
      <c r="F2310" t="s"/>
      <c r="G2310" t="s"/>
      <c r="H2310" t="s"/>
      <c r="I2310" t="s"/>
      <c r="J2310" t="n">
        <v>-0.3182</v>
      </c>
      <c r="K2310" t="n">
        <v>0.07000000000000001</v>
      </c>
      <c r="L2310" t="n">
        <v>0.93</v>
      </c>
      <c r="M2310" t="n">
        <v>0</v>
      </c>
    </row>
    <row r="2311" spans="1:13">
      <c r="A2311" s="1">
        <f>HYPERLINK("http://www.twitter.com/NathanBLawrence/status/991083543580282880", "991083543580282880")</f>
        <v/>
      </c>
      <c r="B2311" s="2" t="n">
        <v>43220.94101851852</v>
      </c>
      <c r="C2311" t="n">
        <v>10</v>
      </c>
      <c r="D2311" t="n">
        <v>9</v>
      </c>
      <c r="E2311" t="s">
        <v>2282</v>
      </c>
      <c r="F2311" t="s"/>
      <c r="G2311" t="s"/>
      <c r="H2311" t="s"/>
      <c r="I2311" t="s"/>
      <c r="J2311" t="n">
        <v>-0.6369</v>
      </c>
      <c r="K2311" t="n">
        <v>0.215</v>
      </c>
      <c r="L2311" t="n">
        <v>0.705</v>
      </c>
      <c r="M2311" t="n">
        <v>0.08</v>
      </c>
    </row>
    <row r="2312" spans="1:13">
      <c r="A2312" s="1">
        <f>HYPERLINK("http://www.twitter.com/NathanBLawrence/status/991082964812517377", "991082964812517377")</f>
        <v/>
      </c>
      <c r="B2312" s="2" t="n">
        <v>43220.93942129629</v>
      </c>
      <c r="C2312" t="n">
        <v>0</v>
      </c>
      <c r="D2312" t="n">
        <v>6</v>
      </c>
      <c r="E2312" t="s">
        <v>2283</v>
      </c>
      <c r="F2312" t="s"/>
      <c r="G2312" t="s"/>
      <c r="H2312" t="s"/>
      <c r="I2312" t="s"/>
      <c r="J2312" t="n">
        <v>0</v>
      </c>
      <c r="K2312" t="n">
        <v>0</v>
      </c>
      <c r="L2312" t="n">
        <v>1</v>
      </c>
      <c r="M2312" t="n">
        <v>0</v>
      </c>
    </row>
    <row r="2313" spans="1:13">
      <c r="A2313" s="1">
        <f>HYPERLINK("http://www.twitter.com/NathanBLawrence/status/991082799615610881", "991082799615610881")</f>
        <v/>
      </c>
      <c r="B2313" s="2" t="n">
        <v>43220.93896990741</v>
      </c>
      <c r="C2313" t="n">
        <v>0</v>
      </c>
      <c r="D2313" t="n">
        <v>47</v>
      </c>
      <c r="E2313" t="s">
        <v>2284</v>
      </c>
      <c r="F2313" t="s"/>
      <c r="G2313" t="s"/>
      <c r="H2313" t="s"/>
      <c r="I2313" t="s"/>
      <c r="J2313" t="n">
        <v>0</v>
      </c>
      <c r="K2313" t="n">
        <v>0</v>
      </c>
      <c r="L2313" t="n">
        <v>1</v>
      </c>
      <c r="M2313" t="n">
        <v>0</v>
      </c>
    </row>
    <row r="2314" spans="1:13">
      <c r="A2314" s="1">
        <f>HYPERLINK("http://www.twitter.com/NathanBLawrence/status/991082593683722240", "991082593683722240")</f>
        <v/>
      </c>
      <c r="B2314" s="2" t="n">
        <v>43220.93840277778</v>
      </c>
      <c r="C2314" t="n">
        <v>0</v>
      </c>
      <c r="D2314" t="n">
        <v>11</v>
      </c>
      <c r="E2314" t="s">
        <v>2285</v>
      </c>
      <c r="F2314" t="s"/>
      <c r="G2314" t="s"/>
      <c r="H2314" t="s"/>
      <c r="I2314" t="s"/>
      <c r="J2314" t="n">
        <v>-0.5106000000000001</v>
      </c>
      <c r="K2314" t="n">
        <v>0.121</v>
      </c>
      <c r="L2314" t="n">
        <v>0.879</v>
      </c>
      <c r="M2314" t="n">
        <v>0</v>
      </c>
    </row>
    <row r="2315" spans="1:13">
      <c r="A2315" s="1">
        <f>HYPERLINK("http://www.twitter.com/NathanBLawrence/status/991082563983806464", "991082563983806464")</f>
        <v/>
      </c>
      <c r="B2315" s="2" t="n">
        <v>43220.93832175926</v>
      </c>
      <c r="C2315" t="n">
        <v>0</v>
      </c>
      <c r="D2315" t="n">
        <v>11</v>
      </c>
      <c r="E2315" t="s">
        <v>2286</v>
      </c>
      <c r="F2315" t="s"/>
      <c r="G2315" t="s"/>
      <c r="H2315" t="s"/>
      <c r="I2315" t="s"/>
      <c r="J2315" t="n">
        <v>-0.296</v>
      </c>
      <c r="K2315" t="n">
        <v>0.104</v>
      </c>
      <c r="L2315" t="n">
        <v>0.896</v>
      </c>
      <c r="M2315" t="n">
        <v>0</v>
      </c>
    </row>
    <row r="2316" spans="1:13">
      <c r="A2316" s="1">
        <f>HYPERLINK("http://www.twitter.com/NathanBLawrence/status/991082491845980160", "991082491845980160")</f>
        <v/>
      </c>
      <c r="B2316" s="2" t="n">
        <v>43220.938125</v>
      </c>
      <c r="C2316" t="n">
        <v>0</v>
      </c>
      <c r="D2316" t="n">
        <v>5</v>
      </c>
      <c r="E2316" t="s">
        <v>2287</v>
      </c>
      <c r="F2316" t="s"/>
      <c r="G2316" t="s"/>
      <c r="H2316" t="s"/>
      <c r="I2316" t="s"/>
      <c r="J2316" t="n">
        <v>-0.34</v>
      </c>
      <c r="K2316" t="n">
        <v>0.124</v>
      </c>
      <c r="L2316" t="n">
        <v>0.876</v>
      </c>
      <c r="M2316" t="n">
        <v>0</v>
      </c>
    </row>
    <row r="2317" spans="1:13">
      <c r="A2317" s="1">
        <f>HYPERLINK("http://www.twitter.com/NathanBLawrence/status/991082468425060354", "991082468425060354")</f>
        <v/>
      </c>
      <c r="B2317" s="2" t="n">
        <v>43220.93805555555</v>
      </c>
      <c r="C2317" t="n">
        <v>0</v>
      </c>
      <c r="D2317" t="n">
        <v>2</v>
      </c>
      <c r="E2317" t="s">
        <v>2288</v>
      </c>
      <c r="F2317" t="s"/>
      <c r="G2317" t="s"/>
      <c r="H2317" t="s"/>
      <c r="I2317" t="s"/>
      <c r="J2317" t="n">
        <v>0.4215</v>
      </c>
      <c r="K2317" t="n">
        <v>0</v>
      </c>
      <c r="L2317" t="n">
        <v>0.797</v>
      </c>
      <c r="M2317" t="n">
        <v>0.203</v>
      </c>
    </row>
    <row r="2318" spans="1:13">
      <c r="A2318" s="1">
        <f>HYPERLINK("http://www.twitter.com/NathanBLawrence/status/991082440071540736", "991082440071540736")</f>
        <v/>
      </c>
      <c r="B2318" s="2" t="n">
        <v>43220.93797453704</v>
      </c>
      <c r="C2318" t="n">
        <v>0</v>
      </c>
      <c r="D2318" t="n">
        <v>10</v>
      </c>
      <c r="E2318" t="s">
        <v>2289</v>
      </c>
      <c r="F2318" t="s"/>
      <c r="G2318" t="s"/>
      <c r="H2318" t="s"/>
      <c r="I2318" t="s"/>
      <c r="J2318" t="n">
        <v>0.3182</v>
      </c>
      <c r="K2318" t="n">
        <v>0</v>
      </c>
      <c r="L2318" t="n">
        <v>0.913</v>
      </c>
      <c r="M2318" t="n">
        <v>0.08699999999999999</v>
      </c>
    </row>
    <row r="2319" spans="1:13">
      <c r="A2319" s="1">
        <f>HYPERLINK("http://www.twitter.com/NathanBLawrence/status/991082429380288512", "991082429380288512")</f>
        <v/>
      </c>
      <c r="B2319" s="2" t="n">
        <v>43220.93795138889</v>
      </c>
      <c r="C2319" t="n">
        <v>0</v>
      </c>
      <c r="D2319" t="n">
        <v>13</v>
      </c>
      <c r="E2319" t="s">
        <v>2290</v>
      </c>
      <c r="F2319" t="s"/>
      <c r="G2319" t="s"/>
      <c r="H2319" t="s"/>
      <c r="I2319" t="s"/>
      <c r="J2319" t="n">
        <v>-0.1027</v>
      </c>
      <c r="K2319" t="n">
        <v>0.08</v>
      </c>
      <c r="L2319" t="n">
        <v>0.92</v>
      </c>
      <c r="M2319" t="n">
        <v>0</v>
      </c>
    </row>
    <row r="2320" spans="1:13">
      <c r="A2320" s="1">
        <f>HYPERLINK("http://www.twitter.com/NathanBLawrence/status/991082402113118208", "991082402113118208")</f>
        <v/>
      </c>
      <c r="B2320" s="2" t="n">
        <v>43220.93787037037</v>
      </c>
      <c r="C2320" t="n">
        <v>0</v>
      </c>
      <c r="D2320" t="n">
        <v>5</v>
      </c>
      <c r="E2320" t="s">
        <v>2291</v>
      </c>
      <c r="F2320" t="s"/>
      <c r="G2320" t="s"/>
      <c r="H2320" t="s"/>
      <c r="I2320" t="s"/>
      <c r="J2320" t="n">
        <v>0.4776</v>
      </c>
      <c r="K2320" t="n">
        <v>0</v>
      </c>
      <c r="L2320" t="n">
        <v>0.871</v>
      </c>
      <c r="M2320" t="n">
        <v>0.129</v>
      </c>
    </row>
    <row r="2321" spans="1:13">
      <c r="A2321" s="1">
        <f>HYPERLINK("http://www.twitter.com/NathanBLawrence/status/991082254603563009", "991082254603563009")</f>
        <v/>
      </c>
      <c r="B2321" s="2" t="n">
        <v>43220.93746527778</v>
      </c>
      <c r="C2321" t="n">
        <v>0</v>
      </c>
      <c r="D2321" t="n">
        <v>3</v>
      </c>
      <c r="E2321" t="s">
        <v>2292</v>
      </c>
      <c r="F2321" t="s"/>
      <c r="G2321" t="s"/>
      <c r="H2321" t="s"/>
      <c r="I2321" t="s"/>
      <c r="J2321" t="n">
        <v>0</v>
      </c>
      <c r="K2321" t="n">
        <v>0</v>
      </c>
      <c r="L2321" t="n">
        <v>1</v>
      </c>
      <c r="M2321" t="n">
        <v>0</v>
      </c>
    </row>
    <row r="2322" spans="1:13">
      <c r="A2322" s="1">
        <f>HYPERLINK("http://www.twitter.com/NathanBLawrence/status/991082221808308224", "991082221808308224")</f>
        <v/>
      </c>
      <c r="B2322" s="2" t="n">
        <v>43220.93737268518</v>
      </c>
      <c r="C2322" t="n">
        <v>0</v>
      </c>
      <c r="D2322" t="n">
        <v>34</v>
      </c>
      <c r="E2322" t="s">
        <v>2293</v>
      </c>
      <c r="F2322" t="s"/>
      <c r="G2322" t="s"/>
      <c r="H2322" t="s"/>
      <c r="I2322" t="s"/>
      <c r="J2322" t="n">
        <v>0</v>
      </c>
      <c r="K2322" t="n">
        <v>0</v>
      </c>
      <c r="L2322" t="n">
        <v>1</v>
      </c>
      <c r="M2322" t="n">
        <v>0</v>
      </c>
    </row>
    <row r="2323" spans="1:13">
      <c r="A2323" s="1">
        <f>HYPERLINK("http://www.twitter.com/NathanBLawrence/status/991082164765773825", "991082164765773825")</f>
        <v/>
      </c>
      <c r="B2323" s="2" t="n">
        <v>43220.93722222222</v>
      </c>
      <c r="C2323" t="n">
        <v>0</v>
      </c>
      <c r="D2323" t="n">
        <v>9</v>
      </c>
      <c r="E2323" t="s">
        <v>2294</v>
      </c>
      <c r="F2323" t="s"/>
      <c r="G2323" t="s"/>
      <c r="H2323" t="s"/>
      <c r="I2323" t="s"/>
      <c r="J2323" t="n">
        <v>-0.8807</v>
      </c>
      <c r="K2323" t="n">
        <v>0.327</v>
      </c>
      <c r="L2323" t="n">
        <v>0.673</v>
      </c>
      <c r="M2323" t="n">
        <v>0</v>
      </c>
    </row>
    <row r="2324" spans="1:13">
      <c r="A2324" s="1">
        <f>HYPERLINK("http://www.twitter.com/NathanBLawrence/status/991082122747228161", "991082122747228161")</f>
        <v/>
      </c>
      <c r="B2324" s="2" t="n">
        <v>43220.93710648148</v>
      </c>
      <c r="C2324" t="n">
        <v>0</v>
      </c>
      <c r="D2324" t="n">
        <v>6</v>
      </c>
      <c r="E2324" t="s">
        <v>2295</v>
      </c>
      <c r="F2324">
        <f>HYPERLINK("http://pbs.twimg.com/media/DcEF9s1WAAEyQ3E.jpg", "http://pbs.twimg.com/media/DcEF9s1WAAEyQ3E.jpg")</f>
        <v/>
      </c>
      <c r="G2324" t="s"/>
      <c r="H2324" t="s"/>
      <c r="I2324" t="s"/>
      <c r="J2324" t="n">
        <v>-0.3818</v>
      </c>
      <c r="K2324" t="n">
        <v>0.12</v>
      </c>
      <c r="L2324" t="n">
        <v>0.88</v>
      </c>
      <c r="M2324" t="n">
        <v>0</v>
      </c>
    </row>
    <row r="2325" spans="1:13">
      <c r="A2325" s="1">
        <f>HYPERLINK("http://www.twitter.com/NathanBLawrence/status/991082088358178816", "991082088358178816")</f>
        <v/>
      </c>
      <c r="B2325" s="2" t="n">
        <v>43220.93700231481</v>
      </c>
      <c r="C2325" t="n">
        <v>0</v>
      </c>
      <c r="D2325" t="n">
        <v>5</v>
      </c>
      <c r="E2325" t="s">
        <v>2296</v>
      </c>
      <c r="F2325" t="s"/>
      <c r="G2325" t="s"/>
      <c r="H2325" t="s"/>
      <c r="I2325" t="s"/>
      <c r="J2325" t="n">
        <v>0</v>
      </c>
      <c r="K2325" t="n">
        <v>0</v>
      </c>
      <c r="L2325" t="n">
        <v>1</v>
      </c>
      <c r="M2325" t="n">
        <v>0</v>
      </c>
    </row>
    <row r="2326" spans="1:13">
      <c r="A2326" s="1">
        <f>HYPERLINK("http://www.twitter.com/NathanBLawrence/status/991082076257603585", "991082076257603585")</f>
        <v/>
      </c>
      <c r="B2326" s="2" t="n">
        <v>43220.93697916667</v>
      </c>
      <c r="C2326" t="n">
        <v>0</v>
      </c>
      <c r="D2326" t="n">
        <v>3</v>
      </c>
      <c r="E2326" t="s">
        <v>2297</v>
      </c>
      <c r="F2326">
        <f>HYPERLINK("http://pbs.twimg.com/media/DcEHk8DUwAAQHpc.jpg", "http://pbs.twimg.com/media/DcEHk8DUwAAQHpc.jpg")</f>
        <v/>
      </c>
      <c r="G2326" t="s"/>
      <c r="H2326" t="s"/>
      <c r="I2326" t="s"/>
      <c r="J2326" t="n">
        <v>0</v>
      </c>
      <c r="K2326" t="n">
        <v>0</v>
      </c>
      <c r="L2326" t="n">
        <v>1</v>
      </c>
      <c r="M2326" t="n">
        <v>0</v>
      </c>
    </row>
    <row r="2327" spans="1:13">
      <c r="A2327" s="1">
        <f>HYPERLINK("http://www.twitter.com/NathanBLawrence/status/991082002546872321", "991082002546872321")</f>
        <v/>
      </c>
      <c r="B2327" s="2" t="n">
        <v>43220.93677083333</v>
      </c>
      <c r="C2327" t="n">
        <v>0</v>
      </c>
      <c r="D2327" t="n">
        <v>2</v>
      </c>
      <c r="E2327" t="s">
        <v>2298</v>
      </c>
      <c r="F2327" t="s"/>
      <c r="G2327" t="s"/>
      <c r="H2327" t="s"/>
      <c r="I2327" t="s"/>
      <c r="J2327" t="n">
        <v>-0.5499000000000001</v>
      </c>
      <c r="K2327" t="n">
        <v>0.152</v>
      </c>
      <c r="L2327" t="n">
        <v>0.784</v>
      </c>
      <c r="M2327" t="n">
        <v>0.065</v>
      </c>
    </row>
    <row r="2328" spans="1:13">
      <c r="A2328" s="1">
        <f>HYPERLINK("http://www.twitter.com/NathanBLawrence/status/991065830745092096", "991065830745092096")</f>
        <v/>
      </c>
      <c r="B2328" s="2" t="n">
        <v>43220.8921412037</v>
      </c>
      <c r="C2328" t="n">
        <v>0</v>
      </c>
      <c r="D2328" t="n">
        <v>11</v>
      </c>
      <c r="E2328" t="s">
        <v>2299</v>
      </c>
      <c r="F2328" t="s"/>
      <c r="G2328" t="s"/>
      <c r="H2328" t="s"/>
      <c r="I2328" t="s"/>
      <c r="J2328" t="n">
        <v>0</v>
      </c>
      <c r="K2328" t="n">
        <v>0</v>
      </c>
      <c r="L2328" t="n">
        <v>1</v>
      </c>
      <c r="M2328" t="n">
        <v>0</v>
      </c>
    </row>
    <row r="2329" spans="1:13">
      <c r="A2329" s="1">
        <f>HYPERLINK("http://www.twitter.com/NathanBLawrence/status/991065797832429569", "991065797832429569")</f>
        <v/>
      </c>
      <c r="B2329" s="2" t="n">
        <v>43220.89204861111</v>
      </c>
      <c r="C2329" t="n">
        <v>0</v>
      </c>
      <c r="D2329" t="n">
        <v>6</v>
      </c>
      <c r="E2329" t="s">
        <v>2300</v>
      </c>
      <c r="F2329" t="s"/>
      <c r="G2329" t="s"/>
      <c r="H2329" t="s"/>
      <c r="I2329" t="s"/>
      <c r="J2329" t="n">
        <v>0.5803</v>
      </c>
      <c r="K2329" t="n">
        <v>0</v>
      </c>
      <c r="L2329" t="n">
        <v>0.835</v>
      </c>
      <c r="M2329" t="n">
        <v>0.165</v>
      </c>
    </row>
    <row r="2330" spans="1:13">
      <c r="A2330" s="1">
        <f>HYPERLINK("http://www.twitter.com/NathanBLawrence/status/991065727573680129", "991065727573680129")</f>
        <v/>
      </c>
      <c r="B2330" s="2" t="n">
        <v>43220.89186342592</v>
      </c>
      <c r="C2330" t="n">
        <v>0</v>
      </c>
      <c r="D2330" t="n">
        <v>34</v>
      </c>
      <c r="E2330" t="s">
        <v>2301</v>
      </c>
      <c r="F2330" t="s"/>
      <c r="G2330" t="s"/>
      <c r="H2330" t="s"/>
      <c r="I2330" t="s"/>
      <c r="J2330" t="n">
        <v>-0.6908</v>
      </c>
      <c r="K2330" t="n">
        <v>0.213</v>
      </c>
      <c r="L2330" t="n">
        <v>0.787</v>
      </c>
      <c r="M2330" t="n">
        <v>0</v>
      </c>
    </row>
    <row r="2331" spans="1:13">
      <c r="A2331" s="1">
        <f>HYPERLINK("http://www.twitter.com/NathanBLawrence/status/991065714311290880", "991065714311290880")</f>
        <v/>
      </c>
      <c r="B2331" s="2" t="n">
        <v>43220.8918287037</v>
      </c>
      <c r="C2331" t="n">
        <v>0</v>
      </c>
      <c r="D2331" t="n">
        <v>5</v>
      </c>
      <c r="E2331" t="s">
        <v>2302</v>
      </c>
      <c r="F2331" t="s"/>
      <c r="G2331" t="s"/>
      <c r="H2331" t="s"/>
      <c r="I2331" t="s"/>
      <c r="J2331" t="n">
        <v>-0.7088</v>
      </c>
      <c r="K2331" t="n">
        <v>0.247</v>
      </c>
      <c r="L2331" t="n">
        <v>0.753</v>
      </c>
      <c r="M2331" t="n">
        <v>0</v>
      </c>
    </row>
    <row r="2332" spans="1:13">
      <c r="A2332" s="1">
        <f>HYPERLINK("http://www.twitter.com/NathanBLawrence/status/991065698809020416", "991065698809020416")</f>
        <v/>
      </c>
      <c r="B2332" s="2" t="n">
        <v>43220.89178240741</v>
      </c>
      <c r="C2332" t="n">
        <v>0</v>
      </c>
      <c r="D2332" t="n">
        <v>4</v>
      </c>
      <c r="E2332" t="s">
        <v>2303</v>
      </c>
      <c r="F2332" t="s"/>
      <c r="G2332" t="s"/>
      <c r="H2332" t="s"/>
      <c r="I2332" t="s"/>
      <c r="J2332" t="n">
        <v>0.2401</v>
      </c>
      <c r="K2332" t="n">
        <v>0</v>
      </c>
      <c r="L2332" t="n">
        <v>0.86</v>
      </c>
      <c r="M2332" t="n">
        <v>0.14</v>
      </c>
    </row>
    <row r="2333" spans="1:13">
      <c r="A2333" s="1">
        <f>HYPERLINK("http://www.twitter.com/NathanBLawrence/status/991065659030335495", "991065659030335495")</f>
        <v/>
      </c>
      <c r="B2333" s="2" t="n">
        <v>43220.89166666667</v>
      </c>
      <c r="C2333" t="n">
        <v>1</v>
      </c>
      <c r="D2333" t="n">
        <v>0</v>
      </c>
      <c r="E2333" t="s">
        <v>2304</v>
      </c>
      <c r="F2333" t="s"/>
      <c r="G2333" t="s"/>
      <c r="H2333" t="s"/>
      <c r="I2333" t="s"/>
      <c r="J2333" t="n">
        <v>0</v>
      </c>
      <c r="K2333" t="n">
        <v>0</v>
      </c>
      <c r="L2333" t="n">
        <v>1</v>
      </c>
      <c r="M2333" t="n">
        <v>0</v>
      </c>
    </row>
    <row r="2334" spans="1:13">
      <c r="A2334" s="1">
        <f>HYPERLINK("http://www.twitter.com/NathanBLawrence/status/991065608690241541", "991065608690241541")</f>
        <v/>
      </c>
      <c r="B2334" s="2" t="n">
        <v>43220.89152777778</v>
      </c>
      <c r="C2334" t="n">
        <v>0</v>
      </c>
      <c r="D2334" t="n">
        <v>2</v>
      </c>
      <c r="E2334" t="s">
        <v>2305</v>
      </c>
      <c r="F2334" t="s"/>
      <c r="G2334" t="s"/>
      <c r="H2334" t="s"/>
      <c r="I2334" t="s"/>
      <c r="J2334" t="n">
        <v>0</v>
      </c>
      <c r="K2334" t="n">
        <v>0</v>
      </c>
      <c r="L2334" t="n">
        <v>1</v>
      </c>
      <c r="M2334" t="n">
        <v>0</v>
      </c>
    </row>
    <row r="2335" spans="1:13">
      <c r="A2335" s="1">
        <f>HYPERLINK("http://www.twitter.com/NathanBLawrence/status/991065553354854400", "991065553354854400")</f>
        <v/>
      </c>
      <c r="B2335" s="2" t="n">
        <v>43220.89137731482</v>
      </c>
      <c r="C2335" t="n">
        <v>0</v>
      </c>
      <c r="D2335" t="n">
        <v>72</v>
      </c>
      <c r="E2335" t="s">
        <v>2306</v>
      </c>
      <c r="F2335" t="s"/>
      <c r="G2335" t="s"/>
      <c r="H2335" t="s"/>
      <c r="I2335" t="s"/>
      <c r="J2335" t="n">
        <v>-0.5423</v>
      </c>
      <c r="K2335" t="n">
        <v>0.204</v>
      </c>
      <c r="L2335" t="n">
        <v>0.735</v>
      </c>
      <c r="M2335" t="n">
        <v>0.061</v>
      </c>
    </row>
    <row r="2336" spans="1:13">
      <c r="A2336" s="1">
        <f>HYPERLINK("http://www.twitter.com/NathanBLawrence/status/991065529153720320", "991065529153720320")</f>
        <v/>
      </c>
      <c r="B2336" s="2" t="n">
        <v>43220.89130787037</v>
      </c>
      <c r="C2336" t="n">
        <v>5</v>
      </c>
      <c r="D2336" t="n">
        <v>2</v>
      </c>
      <c r="E2336" t="s">
        <v>2307</v>
      </c>
      <c r="F2336" t="s"/>
      <c r="G2336" t="s"/>
      <c r="H2336" t="s"/>
      <c r="I2336" t="s"/>
      <c r="J2336" t="n">
        <v>-0.7579</v>
      </c>
      <c r="K2336" t="n">
        <v>0.141</v>
      </c>
      <c r="L2336" t="n">
        <v>0.822</v>
      </c>
      <c r="M2336" t="n">
        <v>0.036</v>
      </c>
    </row>
    <row r="2337" spans="1:13">
      <c r="A2337" s="1">
        <f>HYPERLINK("http://www.twitter.com/NathanBLawrence/status/991065106145529858", "991065106145529858")</f>
        <v/>
      </c>
      <c r="B2337" s="2" t="n">
        <v>43220.89015046296</v>
      </c>
      <c r="C2337" t="n">
        <v>0</v>
      </c>
      <c r="D2337" t="n">
        <v>4</v>
      </c>
      <c r="E2337" t="s">
        <v>2308</v>
      </c>
      <c r="F2337" t="s"/>
      <c r="G2337" t="s"/>
      <c r="H2337" t="s"/>
      <c r="I2337" t="s"/>
      <c r="J2337" t="n">
        <v>-0.8481</v>
      </c>
      <c r="K2337" t="n">
        <v>0.331</v>
      </c>
      <c r="L2337" t="n">
        <v>0.621</v>
      </c>
      <c r="M2337" t="n">
        <v>0.048</v>
      </c>
    </row>
    <row r="2338" spans="1:13">
      <c r="A2338" s="1">
        <f>HYPERLINK("http://www.twitter.com/NathanBLawrence/status/991065013388529669", "991065013388529669")</f>
        <v/>
      </c>
      <c r="B2338" s="2" t="n">
        <v>43220.88988425926</v>
      </c>
      <c r="C2338" t="n">
        <v>0</v>
      </c>
      <c r="D2338" t="n">
        <v>6</v>
      </c>
      <c r="E2338" t="s">
        <v>2309</v>
      </c>
      <c r="F2338" t="s"/>
      <c r="G2338" t="s"/>
      <c r="H2338" t="s"/>
      <c r="I2338" t="s"/>
      <c r="J2338" t="n">
        <v>0</v>
      </c>
      <c r="K2338" t="n">
        <v>0</v>
      </c>
      <c r="L2338" t="n">
        <v>1</v>
      </c>
      <c r="M2338" t="n">
        <v>0</v>
      </c>
    </row>
    <row r="2339" spans="1:13">
      <c r="A2339" s="1">
        <f>HYPERLINK("http://www.twitter.com/NathanBLawrence/status/991064957319041024", "991064957319041024")</f>
        <v/>
      </c>
      <c r="B2339" s="2" t="n">
        <v>43220.8897337963</v>
      </c>
      <c r="C2339" t="n">
        <v>0</v>
      </c>
      <c r="D2339" t="n">
        <v>1</v>
      </c>
      <c r="E2339" t="s">
        <v>2310</v>
      </c>
      <c r="F2339" t="s"/>
      <c r="G2339" t="s"/>
      <c r="H2339" t="s"/>
      <c r="I2339" t="s"/>
      <c r="J2339" t="n">
        <v>-0.34</v>
      </c>
      <c r="K2339" t="n">
        <v>0.146</v>
      </c>
      <c r="L2339" t="n">
        <v>0.854</v>
      </c>
      <c r="M2339" t="n">
        <v>0</v>
      </c>
    </row>
    <row r="2340" spans="1:13">
      <c r="A2340" s="1">
        <f>HYPERLINK("http://www.twitter.com/NathanBLawrence/status/991064773352714246", "991064773352714246")</f>
        <v/>
      </c>
      <c r="B2340" s="2" t="n">
        <v>43220.88922453704</v>
      </c>
      <c r="C2340" t="n">
        <v>0</v>
      </c>
      <c r="D2340" t="n">
        <v>4</v>
      </c>
      <c r="E2340" t="s">
        <v>2311</v>
      </c>
      <c r="F2340" t="s"/>
      <c r="G2340" t="s"/>
      <c r="H2340" t="s"/>
      <c r="I2340" t="s"/>
      <c r="J2340" t="n">
        <v>0.3612</v>
      </c>
      <c r="K2340" t="n">
        <v>0</v>
      </c>
      <c r="L2340" t="n">
        <v>0.762</v>
      </c>
      <c r="M2340" t="n">
        <v>0.238</v>
      </c>
    </row>
    <row r="2341" spans="1:13">
      <c r="A2341" s="1">
        <f>HYPERLINK("http://www.twitter.com/NathanBLawrence/status/991064755396890624", "991064755396890624")</f>
        <v/>
      </c>
      <c r="B2341" s="2" t="n">
        <v>43220.88917824074</v>
      </c>
      <c r="C2341" t="n">
        <v>0</v>
      </c>
      <c r="D2341" t="n">
        <v>12</v>
      </c>
      <c r="E2341" t="s">
        <v>2312</v>
      </c>
      <c r="F2341" t="s"/>
      <c r="G2341" t="s"/>
      <c r="H2341" t="s"/>
      <c r="I2341" t="s"/>
      <c r="J2341" t="n">
        <v>0.128</v>
      </c>
      <c r="K2341" t="n">
        <v>0</v>
      </c>
      <c r="L2341" t="n">
        <v>0.909</v>
      </c>
      <c r="M2341" t="n">
        <v>0.091</v>
      </c>
    </row>
    <row r="2342" spans="1:13">
      <c r="A2342" s="1">
        <f>HYPERLINK("http://www.twitter.com/NathanBLawrence/status/991064739454373888", "991064739454373888")</f>
        <v/>
      </c>
      <c r="B2342" s="2" t="n">
        <v>43220.88913194444</v>
      </c>
      <c r="C2342" t="n">
        <v>0</v>
      </c>
      <c r="D2342" t="n">
        <v>10</v>
      </c>
      <c r="E2342" t="s">
        <v>2313</v>
      </c>
      <c r="F2342" t="s"/>
      <c r="G2342" t="s"/>
      <c r="H2342" t="s"/>
      <c r="I2342" t="s"/>
      <c r="J2342" t="n">
        <v>0</v>
      </c>
      <c r="K2342" t="n">
        <v>0</v>
      </c>
      <c r="L2342" t="n">
        <v>1</v>
      </c>
      <c r="M2342" t="n">
        <v>0</v>
      </c>
    </row>
    <row r="2343" spans="1:13">
      <c r="A2343" s="1">
        <f>HYPERLINK("http://www.twitter.com/NathanBLawrence/status/991064661628997634", "991064661628997634")</f>
        <v/>
      </c>
      <c r="B2343" s="2" t="n">
        <v>43220.88892361111</v>
      </c>
      <c r="C2343" t="n">
        <v>0</v>
      </c>
      <c r="D2343" t="n">
        <v>9</v>
      </c>
      <c r="E2343" t="s">
        <v>2314</v>
      </c>
      <c r="F2343" t="s"/>
      <c r="G2343" t="s"/>
      <c r="H2343" t="s"/>
      <c r="I2343" t="s"/>
      <c r="J2343" t="n">
        <v>0.2401</v>
      </c>
      <c r="K2343" t="n">
        <v>0</v>
      </c>
      <c r="L2343" t="n">
        <v>0.869</v>
      </c>
      <c r="M2343" t="n">
        <v>0.131</v>
      </c>
    </row>
    <row r="2344" spans="1:13">
      <c r="A2344" s="1">
        <f>HYPERLINK("http://www.twitter.com/NathanBLawrence/status/991059482049466368", "991059482049466368")</f>
        <v/>
      </c>
      <c r="B2344" s="2" t="n">
        <v>43220.87462962963</v>
      </c>
      <c r="C2344" t="n">
        <v>0</v>
      </c>
      <c r="D2344" t="n">
        <v>8</v>
      </c>
      <c r="E2344" t="s">
        <v>2315</v>
      </c>
      <c r="F2344">
        <f>HYPERLINK("http://pbs.twimg.com/media/DcDy6OZW0AEIXRi.jpg", "http://pbs.twimg.com/media/DcDy6OZW0AEIXRi.jpg")</f>
        <v/>
      </c>
      <c r="G2344">
        <f>HYPERLINK("http://pbs.twimg.com/media/DcDy6NiWkAALEy2.jpg", "http://pbs.twimg.com/media/DcDy6NiWkAALEy2.jpg")</f>
        <v/>
      </c>
      <c r="H2344" t="s"/>
      <c r="I2344" t="s"/>
      <c r="J2344" t="n">
        <v>0.6908</v>
      </c>
      <c r="K2344" t="n">
        <v>0</v>
      </c>
      <c r="L2344" t="n">
        <v>0.749</v>
      </c>
      <c r="M2344" t="n">
        <v>0.251</v>
      </c>
    </row>
    <row r="2345" spans="1:13">
      <c r="A2345" s="1">
        <f>HYPERLINK("http://www.twitter.com/NathanBLawrence/status/991059460729835521", "991059460729835521")</f>
        <v/>
      </c>
      <c r="B2345" s="2" t="n">
        <v>43220.87457175926</v>
      </c>
      <c r="C2345" t="n">
        <v>0</v>
      </c>
      <c r="D2345" t="n">
        <v>10</v>
      </c>
      <c r="E2345" t="s">
        <v>2316</v>
      </c>
      <c r="F2345">
        <f>HYPERLINK("http://pbs.twimg.com/media/DcDzCv3WAAAQM4v.jpg", "http://pbs.twimg.com/media/DcDzCv3WAAAQM4v.jpg")</f>
        <v/>
      </c>
      <c r="G2345" t="s"/>
      <c r="H2345" t="s"/>
      <c r="I2345" t="s"/>
      <c r="J2345" t="n">
        <v>0</v>
      </c>
      <c r="K2345" t="n">
        <v>0</v>
      </c>
      <c r="L2345" t="n">
        <v>1</v>
      </c>
      <c r="M2345" t="n">
        <v>0</v>
      </c>
    </row>
    <row r="2346" spans="1:13">
      <c r="A2346" s="1">
        <f>HYPERLINK("http://www.twitter.com/NathanBLawrence/status/991057630595616768", "991057630595616768")</f>
        <v/>
      </c>
      <c r="B2346" s="2" t="n">
        <v>43220.86951388889</v>
      </c>
      <c r="C2346" t="n">
        <v>0</v>
      </c>
      <c r="D2346" t="n">
        <v>2</v>
      </c>
      <c r="E2346" t="s">
        <v>2317</v>
      </c>
      <c r="F2346" t="s"/>
      <c r="G2346" t="s"/>
      <c r="H2346" t="s"/>
      <c r="I2346" t="s"/>
      <c r="J2346" t="n">
        <v>0.3597</v>
      </c>
      <c r="K2346" t="n">
        <v>0.078</v>
      </c>
      <c r="L2346" t="n">
        <v>0.745</v>
      </c>
      <c r="M2346" t="n">
        <v>0.176</v>
      </c>
    </row>
    <row r="2347" spans="1:13">
      <c r="A2347" s="1">
        <f>HYPERLINK("http://www.twitter.com/NathanBLawrence/status/991057590028242945", "991057590028242945")</f>
        <v/>
      </c>
      <c r="B2347" s="2" t="n">
        <v>43220.86940972223</v>
      </c>
      <c r="C2347" t="n">
        <v>0</v>
      </c>
      <c r="D2347" t="n">
        <v>8</v>
      </c>
      <c r="E2347" t="s">
        <v>2318</v>
      </c>
      <c r="F2347" t="s"/>
      <c r="G2347" t="s"/>
      <c r="H2347" t="s"/>
      <c r="I2347" t="s"/>
      <c r="J2347" t="n">
        <v>0</v>
      </c>
      <c r="K2347" t="n">
        <v>0</v>
      </c>
      <c r="L2347" t="n">
        <v>1</v>
      </c>
      <c r="M2347" t="n">
        <v>0</v>
      </c>
    </row>
    <row r="2348" spans="1:13">
      <c r="A2348" s="1">
        <f>HYPERLINK("http://www.twitter.com/NathanBLawrence/status/991057568951873536", "991057568951873536")</f>
        <v/>
      </c>
      <c r="B2348" s="2" t="n">
        <v>43220.86935185185</v>
      </c>
      <c r="C2348" t="n">
        <v>0</v>
      </c>
      <c r="D2348" t="n">
        <v>10</v>
      </c>
      <c r="E2348" t="s">
        <v>2319</v>
      </c>
      <c r="F2348" t="s"/>
      <c r="G2348" t="s"/>
      <c r="H2348" t="s"/>
      <c r="I2348" t="s"/>
      <c r="J2348" t="n">
        <v>0.5859</v>
      </c>
      <c r="K2348" t="n">
        <v>0</v>
      </c>
      <c r="L2348" t="n">
        <v>0.5679999999999999</v>
      </c>
      <c r="M2348" t="n">
        <v>0.432</v>
      </c>
    </row>
    <row r="2349" spans="1:13">
      <c r="A2349" s="1">
        <f>HYPERLINK("http://www.twitter.com/NathanBLawrence/status/991057553852391425", "991057553852391425")</f>
        <v/>
      </c>
      <c r="B2349" s="2" t="n">
        <v>43220.86930555556</v>
      </c>
      <c r="C2349" t="n">
        <v>0</v>
      </c>
      <c r="D2349" t="n">
        <v>9</v>
      </c>
      <c r="E2349" t="s">
        <v>2320</v>
      </c>
      <c r="F2349" t="s"/>
      <c r="G2349" t="s"/>
      <c r="H2349" t="s"/>
      <c r="I2349" t="s"/>
      <c r="J2349" t="n">
        <v>0</v>
      </c>
      <c r="K2349" t="n">
        <v>0</v>
      </c>
      <c r="L2349" t="n">
        <v>1</v>
      </c>
      <c r="M2349" t="n">
        <v>0</v>
      </c>
    </row>
    <row r="2350" spans="1:13">
      <c r="A2350" s="1">
        <f>HYPERLINK("http://www.twitter.com/NathanBLawrence/status/991057535611408392", "991057535611408392")</f>
        <v/>
      </c>
      <c r="B2350" s="2" t="n">
        <v>43220.86925925926</v>
      </c>
      <c r="C2350" t="n">
        <v>0</v>
      </c>
      <c r="D2350" t="n">
        <v>17</v>
      </c>
      <c r="E2350" t="s">
        <v>2321</v>
      </c>
      <c r="F2350" t="s"/>
      <c r="G2350" t="s"/>
      <c r="H2350" t="s"/>
      <c r="I2350" t="s"/>
      <c r="J2350" t="n">
        <v>0</v>
      </c>
      <c r="K2350" t="n">
        <v>0</v>
      </c>
      <c r="L2350" t="n">
        <v>1</v>
      </c>
      <c r="M2350" t="n">
        <v>0</v>
      </c>
    </row>
    <row r="2351" spans="1:13">
      <c r="A2351" s="1">
        <f>HYPERLINK("http://www.twitter.com/NathanBLawrence/status/991049043726995456", "991049043726995456")</f>
        <v/>
      </c>
      <c r="B2351" s="2" t="n">
        <v>43220.84582175926</v>
      </c>
      <c r="C2351" t="n">
        <v>0</v>
      </c>
      <c r="D2351" t="n">
        <v>0</v>
      </c>
      <c r="E2351" t="s">
        <v>2322</v>
      </c>
      <c r="F2351" t="s"/>
      <c r="G2351" t="s"/>
      <c r="H2351" t="s"/>
      <c r="I2351" t="s"/>
      <c r="J2351" t="n">
        <v>0.1431</v>
      </c>
      <c r="K2351" t="n">
        <v>0.132</v>
      </c>
      <c r="L2351" t="n">
        <v>0.764</v>
      </c>
      <c r="M2351" t="n">
        <v>0.104</v>
      </c>
    </row>
    <row r="2352" spans="1:13">
      <c r="A2352" s="1">
        <f>HYPERLINK("http://www.twitter.com/NathanBLawrence/status/991047461648130048", "991047461648130048")</f>
        <v/>
      </c>
      <c r="B2352" s="2" t="n">
        <v>43220.84145833334</v>
      </c>
      <c r="C2352" t="n">
        <v>0</v>
      </c>
      <c r="D2352" t="n">
        <v>0</v>
      </c>
      <c r="E2352" t="s">
        <v>2323</v>
      </c>
      <c r="F2352" t="s"/>
      <c r="G2352" t="s"/>
      <c r="H2352" t="s"/>
      <c r="I2352" t="s"/>
      <c r="J2352" t="n">
        <v>-0.6486</v>
      </c>
      <c r="K2352" t="n">
        <v>0.199</v>
      </c>
      <c r="L2352" t="n">
        <v>0.671</v>
      </c>
      <c r="M2352" t="n">
        <v>0.13</v>
      </c>
    </row>
    <row r="2353" spans="1:13">
      <c r="A2353" s="1">
        <f>HYPERLINK("http://www.twitter.com/NathanBLawrence/status/991047284463931393", "991047284463931393")</f>
        <v/>
      </c>
      <c r="B2353" s="2" t="n">
        <v>43220.84097222222</v>
      </c>
      <c r="C2353" t="n">
        <v>0</v>
      </c>
      <c r="D2353" t="n">
        <v>0</v>
      </c>
      <c r="E2353" t="s">
        <v>2324</v>
      </c>
      <c r="F2353" t="s"/>
      <c r="G2353" t="s"/>
      <c r="H2353" t="s"/>
      <c r="I2353" t="s"/>
      <c r="J2353" t="n">
        <v>-0.08649999999999999</v>
      </c>
      <c r="K2353" t="n">
        <v>0.057</v>
      </c>
      <c r="L2353" t="n">
        <v>0.874</v>
      </c>
      <c r="M2353" t="n">
        <v>0.068</v>
      </c>
    </row>
    <row r="2354" spans="1:13">
      <c r="A2354" s="1">
        <f>HYPERLINK("http://www.twitter.com/NathanBLawrence/status/991045953464487936", "991045953464487936")</f>
        <v/>
      </c>
      <c r="B2354" s="2" t="n">
        <v>43220.83729166666</v>
      </c>
      <c r="C2354" t="n">
        <v>4</v>
      </c>
      <c r="D2354" t="n">
        <v>2</v>
      </c>
      <c r="E2354" t="s">
        <v>2325</v>
      </c>
      <c r="F2354" t="s"/>
      <c r="G2354" t="s"/>
      <c r="H2354" t="s"/>
      <c r="I2354" t="s"/>
      <c r="J2354" t="n">
        <v>0.2732</v>
      </c>
      <c r="K2354" t="n">
        <v>0</v>
      </c>
      <c r="L2354" t="n">
        <v>0.923</v>
      </c>
      <c r="M2354" t="n">
        <v>0.077</v>
      </c>
    </row>
    <row r="2355" spans="1:13">
      <c r="A2355" s="1">
        <f>HYPERLINK("http://www.twitter.com/NathanBLawrence/status/991045736107212801", "991045736107212801")</f>
        <v/>
      </c>
      <c r="B2355" s="2" t="n">
        <v>43220.83668981482</v>
      </c>
      <c r="C2355" t="n">
        <v>0</v>
      </c>
      <c r="D2355" t="n">
        <v>10</v>
      </c>
      <c r="E2355" t="s">
        <v>2326</v>
      </c>
      <c r="F2355" t="s"/>
      <c r="G2355" t="s"/>
      <c r="H2355" t="s"/>
      <c r="I2355" t="s"/>
      <c r="J2355" t="n">
        <v>-0.3182</v>
      </c>
      <c r="K2355" t="n">
        <v>0.189</v>
      </c>
      <c r="L2355" t="n">
        <v>0.702</v>
      </c>
      <c r="M2355" t="n">
        <v>0.109</v>
      </c>
    </row>
    <row r="2356" spans="1:13">
      <c r="A2356" s="1">
        <f>HYPERLINK("http://www.twitter.com/NathanBLawrence/status/991045120391897088", "991045120391897088")</f>
        <v/>
      </c>
      <c r="B2356" s="2" t="n">
        <v>43220.835</v>
      </c>
      <c r="C2356" t="n">
        <v>0</v>
      </c>
      <c r="D2356" t="n">
        <v>0</v>
      </c>
      <c r="E2356" t="s">
        <v>2327</v>
      </c>
      <c r="F2356" t="s"/>
      <c r="G2356" t="s"/>
      <c r="H2356" t="s"/>
      <c r="I2356" t="s"/>
      <c r="J2356" t="n">
        <v>-0.193</v>
      </c>
      <c r="K2356" t="n">
        <v>0.067</v>
      </c>
      <c r="L2356" t="n">
        <v>0.906</v>
      </c>
      <c r="M2356" t="n">
        <v>0.027</v>
      </c>
    </row>
    <row r="2357" spans="1:13">
      <c r="A2357" s="1">
        <f>HYPERLINK("http://www.twitter.com/NathanBLawrence/status/991044795677265920", "991044795677265920")</f>
        <v/>
      </c>
      <c r="B2357" s="2" t="n">
        <v>43220.83409722222</v>
      </c>
      <c r="C2357" t="n">
        <v>0</v>
      </c>
      <c r="D2357" t="n">
        <v>0</v>
      </c>
      <c r="E2357" t="s">
        <v>2328</v>
      </c>
      <c r="F2357" t="s"/>
      <c r="G2357" t="s"/>
      <c r="H2357" t="s"/>
      <c r="I2357" t="s"/>
      <c r="J2357" t="n">
        <v>-0.7184</v>
      </c>
      <c r="K2357" t="n">
        <v>0.155</v>
      </c>
      <c r="L2357" t="n">
        <v>0.791</v>
      </c>
      <c r="M2357" t="n">
        <v>0.054</v>
      </c>
    </row>
    <row r="2358" spans="1:13">
      <c r="A2358" s="1">
        <f>HYPERLINK("http://www.twitter.com/NathanBLawrence/status/991044273356312579", "991044273356312579")</f>
        <v/>
      </c>
      <c r="B2358" s="2" t="n">
        <v>43220.83266203704</v>
      </c>
      <c r="C2358" t="n">
        <v>14</v>
      </c>
      <c r="D2358" t="n">
        <v>10</v>
      </c>
      <c r="E2358" t="s">
        <v>2329</v>
      </c>
      <c r="F2358" t="s"/>
      <c r="G2358" t="s"/>
      <c r="H2358" t="s"/>
      <c r="I2358" t="s"/>
      <c r="J2358" t="n">
        <v>0.4836</v>
      </c>
      <c r="K2358" t="n">
        <v>0.123</v>
      </c>
      <c r="L2358" t="n">
        <v>0.715</v>
      </c>
      <c r="M2358" t="n">
        <v>0.162</v>
      </c>
    </row>
    <row r="2359" spans="1:13">
      <c r="A2359" s="1">
        <f>HYPERLINK("http://www.twitter.com/NathanBLawrence/status/991042850388434945", "991042850388434945")</f>
        <v/>
      </c>
      <c r="B2359" s="2" t="n">
        <v>43220.82872685185</v>
      </c>
      <c r="C2359" t="n">
        <v>0</v>
      </c>
      <c r="D2359" t="n">
        <v>2</v>
      </c>
      <c r="E2359" t="s">
        <v>2330</v>
      </c>
      <c r="F2359" t="s"/>
      <c r="G2359" t="s"/>
      <c r="H2359" t="s"/>
      <c r="I2359" t="s"/>
      <c r="J2359" t="n">
        <v>-0.1531</v>
      </c>
      <c r="K2359" t="n">
        <v>0.092</v>
      </c>
      <c r="L2359" t="n">
        <v>0.84</v>
      </c>
      <c r="M2359" t="n">
        <v>0.06900000000000001</v>
      </c>
    </row>
    <row r="2360" spans="1:13">
      <c r="A2360" s="1">
        <f>HYPERLINK("http://www.twitter.com/NathanBLawrence/status/991042812203425793", "991042812203425793")</f>
        <v/>
      </c>
      <c r="B2360" s="2" t="n">
        <v>43220.82862268519</v>
      </c>
      <c r="C2360" t="n">
        <v>0</v>
      </c>
      <c r="D2360" t="n">
        <v>5116</v>
      </c>
      <c r="E2360" t="s">
        <v>2331</v>
      </c>
      <c r="F2360" t="s"/>
      <c r="G2360" t="s"/>
      <c r="H2360" t="s"/>
      <c r="I2360" t="s"/>
      <c r="J2360" t="n">
        <v>-0.3612</v>
      </c>
      <c r="K2360" t="n">
        <v>0.111</v>
      </c>
      <c r="L2360" t="n">
        <v>0.889</v>
      </c>
      <c r="M2360" t="n">
        <v>0</v>
      </c>
    </row>
    <row r="2361" spans="1:13">
      <c r="A2361" s="1">
        <f>HYPERLINK("http://www.twitter.com/NathanBLawrence/status/991041576242728960", "991041576242728960")</f>
        <v/>
      </c>
      <c r="B2361" s="2" t="n">
        <v>43220.8252199074</v>
      </c>
      <c r="C2361" t="n">
        <v>0</v>
      </c>
      <c r="D2361" t="n">
        <v>0</v>
      </c>
      <c r="E2361" t="s">
        <v>2332</v>
      </c>
      <c r="F2361" t="s"/>
      <c r="G2361" t="s"/>
      <c r="H2361" t="s"/>
      <c r="I2361" t="s"/>
      <c r="J2361" t="n">
        <v>-0.3612</v>
      </c>
      <c r="K2361" t="n">
        <v>0.07199999999999999</v>
      </c>
      <c r="L2361" t="n">
        <v>0.928</v>
      </c>
      <c r="M2361" t="n">
        <v>0</v>
      </c>
    </row>
    <row r="2362" spans="1:13">
      <c r="A2362" s="1">
        <f>HYPERLINK("http://www.twitter.com/NathanBLawrence/status/991039577845567490", "991039577845567490")</f>
        <v/>
      </c>
      <c r="B2362" s="2" t="n">
        <v>43220.81969907408</v>
      </c>
      <c r="C2362" t="n">
        <v>0</v>
      </c>
      <c r="D2362" t="n">
        <v>0</v>
      </c>
      <c r="E2362" t="s">
        <v>2333</v>
      </c>
      <c r="F2362" t="s"/>
      <c r="G2362" t="s"/>
      <c r="H2362" t="s"/>
      <c r="I2362" t="s"/>
      <c r="J2362" t="n">
        <v>-0.3471</v>
      </c>
      <c r="K2362" t="n">
        <v>0.157</v>
      </c>
      <c r="L2362" t="n">
        <v>0.694</v>
      </c>
      <c r="M2362" t="n">
        <v>0.149</v>
      </c>
    </row>
    <row r="2363" spans="1:13">
      <c r="A2363" s="1">
        <f>HYPERLINK("http://www.twitter.com/NathanBLawrence/status/991039380969213955", "991039380969213955")</f>
        <v/>
      </c>
      <c r="B2363" s="2" t="n">
        <v>43220.81915509259</v>
      </c>
      <c r="C2363" t="n">
        <v>0</v>
      </c>
      <c r="D2363" t="n">
        <v>0</v>
      </c>
      <c r="E2363" t="s">
        <v>2334</v>
      </c>
      <c r="F2363" t="s"/>
      <c r="G2363" t="s"/>
      <c r="H2363" t="s"/>
      <c r="I2363" t="s"/>
      <c r="J2363" t="n">
        <v>-0.0772</v>
      </c>
      <c r="K2363" t="n">
        <v>0.027</v>
      </c>
      <c r="L2363" t="n">
        <v>0.973</v>
      </c>
      <c r="M2363" t="n">
        <v>0</v>
      </c>
    </row>
    <row r="2364" spans="1:13">
      <c r="A2364" s="1">
        <f>HYPERLINK("http://www.twitter.com/NathanBLawrence/status/991038997303525379", "991038997303525379")</f>
        <v/>
      </c>
      <c r="B2364" s="2" t="n">
        <v>43220.81810185185</v>
      </c>
      <c r="C2364" t="n">
        <v>0</v>
      </c>
      <c r="D2364" t="n">
        <v>0</v>
      </c>
      <c r="E2364" t="s">
        <v>2335</v>
      </c>
      <c r="F2364" t="s"/>
      <c r="G2364" t="s"/>
      <c r="H2364" t="s"/>
      <c r="I2364" t="s"/>
      <c r="J2364" t="n">
        <v>-0.4678</v>
      </c>
      <c r="K2364" t="n">
        <v>0.22</v>
      </c>
      <c r="L2364" t="n">
        <v>0.675</v>
      </c>
      <c r="M2364" t="n">
        <v>0.105</v>
      </c>
    </row>
    <row r="2365" spans="1:13">
      <c r="A2365" s="1">
        <f>HYPERLINK("http://www.twitter.com/NathanBLawrence/status/991038872162390017", "991038872162390017")</f>
        <v/>
      </c>
      <c r="B2365" s="2" t="n">
        <v>43220.81775462963</v>
      </c>
      <c r="C2365" t="n">
        <v>0</v>
      </c>
      <c r="D2365" t="n">
        <v>0</v>
      </c>
      <c r="E2365" t="s">
        <v>2336</v>
      </c>
      <c r="F2365" t="s"/>
      <c r="G2365" t="s"/>
      <c r="H2365" t="s"/>
      <c r="I2365" t="s"/>
      <c r="J2365" t="n">
        <v>0.8011</v>
      </c>
      <c r="K2365" t="n">
        <v>0</v>
      </c>
      <c r="L2365" t="n">
        <v>0.867</v>
      </c>
      <c r="M2365" t="n">
        <v>0.133</v>
      </c>
    </row>
    <row r="2366" spans="1:13">
      <c r="A2366" s="1">
        <f>HYPERLINK("http://www.twitter.com/NathanBLawrence/status/991038535061987338", "991038535061987338")</f>
        <v/>
      </c>
      <c r="B2366" s="2" t="n">
        <v>43220.8168287037</v>
      </c>
      <c r="C2366" t="n">
        <v>0</v>
      </c>
      <c r="D2366" t="n">
        <v>0</v>
      </c>
      <c r="E2366" t="s">
        <v>2337</v>
      </c>
      <c r="F2366">
        <f>HYPERLINK("http://pbs.twimg.com/media/DcDgSizW4AE_xem.jpg", "http://pbs.twimg.com/media/DcDgSizW4AE_xem.jpg")</f>
        <v/>
      </c>
      <c r="G2366" t="s"/>
      <c r="H2366" t="s"/>
      <c r="I2366" t="s"/>
      <c r="J2366" t="n">
        <v>0</v>
      </c>
      <c r="K2366" t="n">
        <v>0</v>
      </c>
      <c r="L2366" t="n">
        <v>1</v>
      </c>
      <c r="M2366" t="n">
        <v>0</v>
      </c>
    </row>
    <row r="2367" spans="1:13">
      <c r="A2367" s="1">
        <f>HYPERLINK("http://www.twitter.com/NathanBLawrence/status/991036738599636993", "991036738599636993")</f>
        <v/>
      </c>
      <c r="B2367" s="2" t="n">
        <v>43220.81186342592</v>
      </c>
      <c r="C2367" t="n">
        <v>0</v>
      </c>
      <c r="D2367" t="n">
        <v>0</v>
      </c>
      <c r="E2367" t="s">
        <v>2338</v>
      </c>
      <c r="F2367" t="s"/>
      <c r="G2367" t="s"/>
      <c r="H2367" t="s"/>
      <c r="I2367" t="s"/>
      <c r="J2367" t="n">
        <v>0.8464</v>
      </c>
      <c r="K2367" t="n">
        <v>0.048</v>
      </c>
      <c r="L2367" t="n">
        <v>0.764</v>
      </c>
      <c r="M2367" t="n">
        <v>0.188</v>
      </c>
    </row>
    <row r="2368" spans="1:13">
      <c r="A2368" s="1">
        <f>HYPERLINK("http://www.twitter.com/NathanBLawrence/status/991036456452984835", "991036456452984835")</f>
        <v/>
      </c>
      <c r="B2368" s="2" t="n">
        <v>43220.81108796296</v>
      </c>
      <c r="C2368" t="n">
        <v>0</v>
      </c>
      <c r="D2368" t="n">
        <v>0</v>
      </c>
      <c r="E2368" t="s">
        <v>2339</v>
      </c>
      <c r="F2368" t="s"/>
      <c r="G2368" t="s"/>
      <c r="H2368" t="s"/>
      <c r="I2368" t="s"/>
      <c r="J2368" t="n">
        <v>-0.296</v>
      </c>
      <c r="K2368" t="n">
        <v>0.061</v>
      </c>
      <c r="L2368" t="n">
        <v>0.9389999999999999</v>
      </c>
      <c r="M2368" t="n">
        <v>0</v>
      </c>
    </row>
    <row r="2369" spans="1:13">
      <c r="A2369" s="1">
        <f>HYPERLINK("http://www.twitter.com/NathanBLawrence/status/991036156727971840", "991036156727971840")</f>
        <v/>
      </c>
      <c r="B2369" s="2" t="n">
        <v>43220.81025462963</v>
      </c>
      <c r="C2369" t="n">
        <v>1</v>
      </c>
      <c r="D2369" t="n">
        <v>0</v>
      </c>
      <c r="E2369" t="s">
        <v>2340</v>
      </c>
      <c r="F2369" t="s"/>
      <c r="G2369" t="s"/>
      <c r="H2369" t="s"/>
      <c r="I2369" t="s"/>
      <c r="J2369" t="n">
        <v>0.5815</v>
      </c>
      <c r="K2369" t="n">
        <v>0.064</v>
      </c>
      <c r="L2369" t="n">
        <v>0.8159999999999999</v>
      </c>
      <c r="M2369" t="n">
        <v>0.121</v>
      </c>
    </row>
    <row r="2370" spans="1:13">
      <c r="A2370" s="1">
        <f>HYPERLINK("http://www.twitter.com/NathanBLawrence/status/991035797351686155", "991035797351686155")</f>
        <v/>
      </c>
      <c r="B2370" s="2" t="n">
        <v>43220.80927083334</v>
      </c>
      <c r="C2370" t="n">
        <v>0</v>
      </c>
      <c r="D2370" t="n">
        <v>0</v>
      </c>
      <c r="E2370" t="s">
        <v>2341</v>
      </c>
      <c r="F2370" t="s"/>
      <c r="G2370" t="s"/>
      <c r="H2370" t="s"/>
      <c r="I2370" t="s"/>
      <c r="J2370" t="n">
        <v>0.2577</v>
      </c>
      <c r="K2370" t="n">
        <v>0</v>
      </c>
      <c r="L2370" t="n">
        <v>0.899</v>
      </c>
      <c r="M2370" t="n">
        <v>0.101</v>
      </c>
    </row>
    <row r="2371" spans="1:13">
      <c r="A2371" s="1">
        <f>HYPERLINK("http://www.twitter.com/NathanBLawrence/status/991035631294910465", "991035631294910465")</f>
        <v/>
      </c>
      <c r="B2371" s="2" t="n">
        <v>43220.80880787037</v>
      </c>
      <c r="C2371" t="n">
        <v>0</v>
      </c>
      <c r="D2371" t="n">
        <v>0</v>
      </c>
      <c r="E2371" t="s">
        <v>2342</v>
      </c>
      <c r="F2371" t="s"/>
      <c r="G2371" t="s"/>
      <c r="H2371" t="s"/>
      <c r="I2371" t="s"/>
      <c r="J2371" t="n">
        <v>-0.8801</v>
      </c>
      <c r="K2371" t="n">
        <v>0.194</v>
      </c>
      <c r="L2371" t="n">
        <v>0.781</v>
      </c>
      <c r="M2371" t="n">
        <v>0.025</v>
      </c>
    </row>
    <row r="2372" spans="1:13">
      <c r="A2372" s="1">
        <f>HYPERLINK("http://www.twitter.com/NathanBLawrence/status/991034993232285696", "991034993232285696")</f>
        <v/>
      </c>
      <c r="B2372" s="2" t="n">
        <v>43220.80704861111</v>
      </c>
      <c r="C2372" t="n">
        <v>0</v>
      </c>
      <c r="D2372" t="n">
        <v>0</v>
      </c>
      <c r="E2372" t="s">
        <v>2343</v>
      </c>
      <c r="F2372" t="s"/>
      <c r="G2372" t="s"/>
      <c r="H2372" t="s"/>
      <c r="I2372" t="s"/>
      <c r="J2372" t="n">
        <v>0.6468</v>
      </c>
      <c r="K2372" t="n">
        <v>0.043</v>
      </c>
      <c r="L2372" t="n">
        <v>0.83</v>
      </c>
      <c r="M2372" t="n">
        <v>0.127</v>
      </c>
    </row>
    <row r="2373" spans="1:13">
      <c r="A2373" s="1">
        <f>HYPERLINK("http://www.twitter.com/NathanBLawrence/status/991034724196941827", "991034724196941827")</f>
        <v/>
      </c>
      <c r="B2373" s="2" t="n">
        <v>43220.80630787037</v>
      </c>
      <c r="C2373" t="n">
        <v>0</v>
      </c>
      <c r="D2373" t="n">
        <v>0</v>
      </c>
      <c r="E2373" t="s">
        <v>2344</v>
      </c>
      <c r="F2373" t="s"/>
      <c r="G2373" t="s"/>
      <c r="H2373" t="s"/>
      <c r="I2373" t="s"/>
      <c r="J2373" t="n">
        <v>-0.25</v>
      </c>
      <c r="K2373" t="n">
        <v>0.134</v>
      </c>
      <c r="L2373" t="n">
        <v>0.747</v>
      </c>
      <c r="M2373" t="n">
        <v>0.119</v>
      </c>
    </row>
    <row r="2374" spans="1:13">
      <c r="A2374" s="1">
        <f>HYPERLINK("http://www.twitter.com/NathanBLawrence/status/991034179403091973", "991034179403091973")</f>
        <v/>
      </c>
      <c r="B2374" s="2" t="n">
        <v>43220.80480324074</v>
      </c>
      <c r="C2374" t="n">
        <v>0</v>
      </c>
      <c r="D2374" t="n">
        <v>0</v>
      </c>
      <c r="E2374" t="s">
        <v>2345</v>
      </c>
      <c r="F2374" t="s"/>
      <c r="G2374" t="s"/>
      <c r="H2374" t="s"/>
      <c r="I2374" t="s"/>
      <c r="J2374" t="n">
        <v>0</v>
      </c>
      <c r="K2374" t="n">
        <v>0</v>
      </c>
      <c r="L2374" t="n">
        <v>1</v>
      </c>
      <c r="M2374" t="n">
        <v>0</v>
      </c>
    </row>
    <row r="2375" spans="1:13">
      <c r="A2375" s="1">
        <f>HYPERLINK("http://www.twitter.com/NathanBLawrence/status/991034051636158466", "991034051636158466")</f>
        <v/>
      </c>
      <c r="B2375" s="2" t="n">
        <v>43220.80445601852</v>
      </c>
      <c r="C2375" t="n">
        <v>0</v>
      </c>
      <c r="D2375" t="n">
        <v>0</v>
      </c>
      <c r="E2375" t="s">
        <v>2346</v>
      </c>
      <c r="F2375" t="s"/>
      <c r="G2375" t="s"/>
      <c r="H2375" t="s"/>
      <c r="I2375" t="s"/>
      <c r="J2375" t="n">
        <v>-0.5423</v>
      </c>
      <c r="K2375" t="n">
        <v>0.241</v>
      </c>
      <c r="L2375" t="n">
        <v>0.613</v>
      </c>
      <c r="M2375" t="n">
        <v>0.146</v>
      </c>
    </row>
    <row r="2376" spans="1:13">
      <c r="A2376" s="1">
        <f>HYPERLINK("http://www.twitter.com/NathanBLawrence/status/991033943041478658", "991033943041478658")</f>
        <v/>
      </c>
      <c r="B2376" s="2" t="n">
        <v>43220.80415509259</v>
      </c>
      <c r="C2376" t="n">
        <v>0</v>
      </c>
      <c r="D2376" t="n">
        <v>0</v>
      </c>
      <c r="E2376" t="s">
        <v>2347</v>
      </c>
      <c r="F2376" t="s"/>
      <c r="G2376" t="s"/>
      <c r="H2376" t="s"/>
      <c r="I2376" t="s"/>
      <c r="J2376" t="n">
        <v>0.3595</v>
      </c>
      <c r="K2376" t="n">
        <v>0</v>
      </c>
      <c r="L2376" t="n">
        <v>0.9370000000000001</v>
      </c>
      <c r="M2376" t="n">
        <v>0.063</v>
      </c>
    </row>
    <row r="2377" spans="1:13">
      <c r="A2377" s="1">
        <f>HYPERLINK("http://www.twitter.com/NathanBLawrence/status/991033143388983297", "991033143388983297")</f>
        <v/>
      </c>
      <c r="B2377" s="2" t="n">
        <v>43220.80194444444</v>
      </c>
      <c r="C2377" t="n">
        <v>0</v>
      </c>
      <c r="D2377" t="n">
        <v>1642</v>
      </c>
      <c r="E2377" t="s">
        <v>2348</v>
      </c>
      <c r="F2377" t="s"/>
      <c r="G2377" t="s"/>
      <c r="H2377" t="s"/>
      <c r="I2377" t="s"/>
      <c r="J2377" t="n">
        <v>0.5775</v>
      </c>
      <c r="K2377" t="n">
        <v>0</v>
      </c>
      <c r="L2377" t="n">
        <v>0.8</v>
      </c>
      <c r="M2377" t="n">
        <v>0.2</v>
      </c>
    </row>
    <row r="2378" spans="1:13">
      <c r="A2378" s="1">
        <f>HYPERLINK("http://www.twitter.com/NathanBLawrence/status/991033009343225856", "991033009343225856")</f>
        <v/>
      </c>
      <c r="B2378" s="2" t="n">
        <v>43220.80157407407</v>
      </c>
      <c r="C2378" t="n">
        <v>0</v>
      </c>
      <c r="D2378" t="n">
        <v>4519</v>
      </c>
      <c r="E2378" t="s">
        <v>2349</v>
      </c>
      <c r="F2378" t="s"/>
      <c r="G2378" t="s"/>
      <c r="H2378" t="s"/>
      <c r="I2378" t="s"/>
      <c r="J2378" t="n">
        <v>0</v>
      </c>
      <c r="K2378" t="n">
        <v>0</v>
      </c>
      <c r="L2378" t="n">
        <v>1</v>
      </c>
      <c r="M2378" t="n">
        <v>0</v>
      </c>
    </row>
    <row r="2379" spans="1:13">
      <c r="A2379" s="1">
        <f>HYPERLINK("http://www.twitter.com/NathanBLawrence/status/991032902459756544", "991032902459756544")</f>
        <v/>
      </c>
      <c r="B2379" s="2" t="n">
        <v>43220.80128472222</v>
      </c>
      <c r="C2379" t="n">
        <v>0</v>
      </c>
      <c r="D2379" t="n">
        <v>4</v>
      </c>
      <c r="E2379" t="s">
        <v>2350</v>
      </c>
      <c r="F2379">
        <f>HYPERLINK("http://pbs.twimg.com/media/DcDTtFrWkAAnA8R.jpg", "http://pbs.twimg.com/media/DcDTtFrWkAAnA8R.jpg")</f>
        <v/>
      </c>
      <c r="G2379" t="s"/>
      <c r="H2379" t="s"/>
      <c r="I2379" t="s"/>
      <c r="J2379" t="n">
        <v>0</v>
      </c>
      <c r="K2379" t="n">
        <v>0</v>
      </c>
      <c r="L2379" t="n">
        <v>1</v>
      </c>
      <c r="M2379" t="n">
        <v>0</v>
      </c>
    </row>
    <row r="2380" spans="1:13">
      <c r="A2380" s="1">
        <f>HYPERLINK("http://www.twitter.com/NathanBLawrence/status/991032809291698176", "991032809291698176")</f>
        <v/>
      </c>
      <c r="B2380" s="2" t="n">
        <v>43220.80101851852</v>
      </c>
      <c r="C2380" t="n">
        <v>0</v>
      </c>
      <c r="D2380" t="n">
        <v>0</v>
      </c>
      <c r="E2380" t="s">
        <v>2351</v>
      </c>
      <c r="F2380" t="s"/>
      <c r="G2380" t="s"/>
      <c r="H2380" t="s"/>
      <c r="I2380" t="s"/>
      <c r="J2380" t="n">
        <v>-0.5016</v>
      </c>
      <c r="K2380" t="n">
        <v>0.08599999999999999</v>
      </c>
      <c r="L2380" t="n">
        <v>0.823</v>
      </c>
      <c r="M2380" t="n">
        <v>0.092</v>
      </c>
    </row>
    <row r="2381" spans="1:13">
      <c r="A2381" s="1">
        <f>HYPERLINK("http://www.twitter.com/NathanBLawrence/status/991029861350244352", "991029861350244352")</f>
        <v/>
      </c>
      <c r="B2381" s="2" t="n">
        <v>43220.79289351852</v>
      </c>
      <c r="C2381" t="n">
        <v>0</v>
      </c>
      <c r="D2381" t="n">
        <v>28</v>
      </c>
      <c r="E2381" t="s">
        <v>2352</v>
      </c>
      <c r="F2381" t="s"/>
      <c r="G2381" t="s"/>
      <c r="H2381" t="s"/>
      <c r="I2381" t="s"/>
      <c r="J2381" t="n">
        <v>0</v>
      </c>
      <c r="K2381" t="n">
        <v>0</v>
      </c>
      <c r="L2381" t="n">
        <v>1</v>
      </c>
      <c r="M2381" t="n">
        <v>0</v>
      </c>
    </row>
    <row r="2382" spans="1:13">
      <c r="A2382" s="1">
        <f>HYPERLINK("http://www.twitter.com/NathanBLawrence/status/991029805167644673", "991029805167644673")</f>
        <v/>
      </c>
      <c r="B2382" s="2" t="n">
        <v>43220.79273148148</v>
      </c>
      <c r="C2382" t="n">
        <v>0</v>
      </c>
      <c r="D2382" t="n">
        <v>196</v>
      </c>
      <c r="E2382" t="s">
        <v>2353</v>
      </c>
      <c r="F2382" t="s"/>
      <c r="G2382" t="s"/>
      <c r="H2382" t="s"/>
      <c r="I2382" t="s"/>
      <c r="J2382" t="n">
        <v>-0.4767</v>
      </c>
      <c r="K2382" t="n">
        <v>0.141</v>
      </c>
      <c r="L2382" t="n">
        <v>0.859</v>
      </c>
      <c r="M2382" t="n">
        <v>0</v>
      </c>
    </row>
    <row r="2383" spans="1:13">
      <c r="A2383" s="1">
        <f>HYPERLINK("http://www.twitter.com/NathanBLawrence/status/991029661768577030", "991029661768577030")</f>
        <v/>
      </c>
      <c r="B2383" s="2" t="n">
        <v>43220.79233796296</v>
      </c>
      <c r="C2383" t="n">
        <v>0</v>
      </c>
      <c r="D2383" t="n">
        <v>0</v>
      </c>
      <c r="E2383" t="s">
        <v>2354</v>
      </c>
      <c r="F2383" t="s"/>
      <c r="G2383" t="s"/>
      <c r="H2383" t="s"/>
      <c r="I2383" t="s"/>
      <c r="J2383" t="n">
        <v>-0.2965</v>
      </c>
      <c r="K2383" t="n">
        <v>0.146</v>
      </c>
      <c r="L2383" t="n">
        <v>0.729</v>
      </c>
      <c r="M2383" t="n">
        <v>0.125</v>
      </c>
    </row>
    <row r="2384" spans="1:13">
      <c r="A2384" s="1">
        <f>HYPERLINK("http://www.twitter.com/NathanBLawrence/status/991029173962657793", "991029173962657793")</f>
        <v/>
      </c>
      <c r="B2384" s="2" t="n">
        <v>43220.79099537037</v>
      </c>
      <c r="C2384" t="n">
        <v>0</v>
      </c>
      <c r="D2384" t="n">
        <v>0</v>
      </c>
      <c r="E2384" t="s">
        <v>2355</v>
      </c>
      <c r="F2384" t="s"/>
      <c r="G2384" t="s"/>
      <c r="H2384" t="s"/>
      <c r="I2384" t="s"/>
      <c r="J2384" t="n">
        <v>0.4486</v>
      </c>
      <c r="K2384" t="n">
        <v>0.062</v>
      </c>
      <c r="L2384" t="n">
        <v>0.846</v>
      </c>
      <c r="M2384" t="n">
        <v>0.091</v>
      </c>
    </row>
    <row r="2385" spans="1:13">
      <c r="A2385" s="1">
        <f>HYPERLINK("http://www.twitter.com/NathanBLawrence/status/991028729232134144", "991028729232134144")</f>
        <v/>
      </c>
      <c r="B2385" s="2" t="n">
        <v>43220.78976851852</v>
      </c>
      <c r="C2385" t="n">
        <v>2</v>
      </c>
      <c r="D2385" t="n">
        <v>0</v>
      </c>
      <c r="E2385" t="s">
        <v>2356</v>
      </c>
      <c r="F2385" t="s"/>
      <c r="G2385" t="s"/>
      <c r="H2385" t="s"/>
      <c r="I2385" t="s"/>
      <c r="J2385" t="n">
        <v>0.7876</v>
      </c>
      <c r="K2385" t="n">
        <v>0.045</v>
      </c>
      <c r="L2385" t="n">
        <v>0.797</v>
      </c>
      <c r="M2385" t="n">
        <v>0.158</v>
      </c>
    </row>
    <row r="2386" spans="1:13">
      <c r="A2386" s="1">
        <f>HYPERLINK("http://www.twitter.com/NathanBLawrence/status/991028259872804865", "991028259872804865")</f>
        <v/>
      </c>
      <c r="B2386" s="2" t="n">
        <v>43220.78847222222</v>
      </c>
      <c r="C2386" t="n">
        <v>0</v>
      </c>
      <c r="D2386" t="n">
        <v>30</v>
      </c>
      <c r="E2386" t="s">
        <v>2357</v>
      </c>
      <c r="F2386" t="s"/>
      <c r="G2386" t="s"/>
      <c r="H2386" t="s"/>
      <c r="I2386" t="s"/>
      <c r="J2386" t="n">
        <v>0.4404</v>
      </c>
      <c r="K2386" t="n">
        <v>0</v>
      </c>
      <c r="L2386" t="n">
        <v>0.861</v>
      </c>
      <c r="M2386" t="n">
        <v>0.139</v>
      </c>
    </row>
    <row r="2387" spans="1:13">
      <c r="A2387" s="1">
        <f>HYPERLINK("http://www.twitter.com/NathanBLawrence/status/991028194412302336", "991028194412302336")</f>
        <v/>
      </c>
      <c r="B2387" s="2" t="n">
        <v>43220.78828703704</v>
      </c>
      <c r="C2387" t="n">
        <v>1</v>
      </c>
      <c r="D2387" t="n">
        <v>0</v>
      </c>
      <c r="E2387" t="s">
        <v>2358</v>
      </c>
      <c r="F2387" t="s"/>
      <c r="G2387" t="s"/>
      <c r="H2387" t="s"/>
      <c r="I2387" t="s"/>
      <c r="J2387" t="n">
        <v>0.4926</v>
      </c>
      <c r="K2387" t="n">
        <v>0</v>
      </c>
      <c r="L2387" t="n">
        <v>0.484</v>
      </c>
      <c r="M2387" t="n">
        <v>0.516</v>
      </c>
    </row>
    <row r="2388" spans="1:13">
      <c r="A2388" s="1">
        <f>HYPERLINK("http://www.twitter.com/NathanBLawrence/status/991025510711988224", "991025510711988224")</f>
        <v/>
      </c>
      <c r="B2388" s="2" t="n">
        <v>43220.78087962963</v>
      </c>
      <c r="C2388" t="n">
        <v>0</v>
      </c>
      <c r="D2388" t="n">
        <v>1015</v>
      </c>
      <c r="E2388" t="s">
        <v>2359</v>
      </c>
      <c r="F2388">
        <f>HYPERLINK("http://pbs.twimg.com/media/DcBPZ1FXUAAzLK9.jpg", "http://pbs.twimg.com/media/DcBPZ1FXUAAzLK9.jpg")</f>
        <v/>
      </c>
      <c r="G2388" t="s"/>
      <c r="H2388" t="s"/>
      <c r="I2388" t="s"/>
      <c r="J2388" t="n">
        <v>0.717</v>
      </c>
      <c r="K2388" t="n">
        <v>0.098</v>
      </c>
      <c r="L2388" t="n">
        <v>0.594</v>
      </c>
      <c r="M2388" t="n">
        <v>0.309</v>
      </c>
    </row>
    <row r="2389" spans="1:13">
      <c r="A2389" s="1">
        <f>HYPERLINK("http://www.twitter.com/NathanBLawrence/status/991025473982468096", "991025473982468096")</f>
        <v/>
      </c>
      <c r="B2389" s="2" t="n">
        <v>43220.78078703704</v>
      </c>
      <c r="C2389" t="n">
        <v>1</v>
      </c>
      <c r="D2389" t="n">
        <v>0</v>
      </c>
      <c r="E2389" t="s">
        <v>2360</v>
      </c>
      <c r="F2389" t="s"/>
      <c r="G2389" t="s"/>
      <c r="H2389" t="s"/>
      <c r="I2389" t="s"/>
      <c r="J2389" t="n">
        <v>0.6229</v>
      </c>
      <c r="K2389" t="n">
        <v>0.05</v>
      </c>
      <c r="L2389" t="n">
        <v>0.753</v>
      </c>
      <c r="M2389" t="n">
        <v>0.197</v>
      </c>
    </row>
    <row r="2390" spans="1:13">
      <c r="A2390" s="1">
        <f>HYPERLINK("http://www.twitter.com/NathanBLawrence/status/991025293514158083", "991025293514158083")</f>
        <v/>
      </c>
      <c r="B2390" s="2" t="n">
        <v>43220.78027777778</v>
      </c>
      <c r="C2390" t="n">
        <v>0</v>
      </c>
      <c r="D2390" t="n">
        <v>24</v>
      </c>
      <c r="E2390" t="s">
        <v>2361</v>
      </c>
      <c r="F2390" t="s"/>
      <c r="G2390" t="s"/>
      <c r="H2390" t="s"/>
      <c r="I2390" t="s"/>
      <c r="J2390" t="n">
        <v>0.3818</v>
      </c>
      <c r="K2390" t="n">
        <v>0.08699999999999999</v>
      </c>
      <c r="L2390" t="n">
        <v>0.772</v>
      </c>
      <c r="M2390" t="n">
        <v>0.141</v>
      </c>
    </row>
    <row r="2391" spans="1:13">
      <c r="A2391" s="1">
        <f>HYPERLINK("http://www.twitter.com/NathanBLawrence/status/991025225289601029", "991025225289601029")</f>
        <v/>
      </c>
      <c r="B2391" s="2" t="n">
        <v>43220.78009259259</v>
      </c>
      <c r="C2391" t="n">
        <v>0</v>
      </c>
      <c r="D2391" t="n">
        <v>691</v>
      </c>
      <c r="E2391" t="s">
        <v>2362</v>
      </c>
      <c r="F2391" t="s"/>
      <c r="G2391" t="s"/>
      <c r="H2391" t="s"/>
      <c r="I2391" t="s"/>
      <c r="J2391" t="n">
        <v>0</v>
      </c>
      <c r="K2391" t="n">
        <v>0</v>
      </c>
      <c r="L2391" t="n">
        <v>1</v>
      </c>
      <c r="M2391" t="n">
        <v>0</v>
      </c>
    </row>
    <row r="2392" spans="1:13">
      <c r="A2392" s="1">
        <f>HYPERLINK("http://www.twitter.com/NathanBLawrence/status/991025205790302208", "991025205790302208")</f>
        <v/>
      </c>
      <c r="B2392" s="2" t="n">
        <v>43220.7800462963</v>
      </c>
      <c r="C2392" t="n">
        <v>0</v>
      </c>
      <c r="D2392" t="n">
        <v>7545</v>
      </c>
      <c r="E2392" t="s">
        <v>2363</v>
      </c>
      <c r="F2392" t="s"/>
      <c r="G2392" t="s"/>
      <c r="H2392" t="s"/>
      <c r="I2392" t="s"/>
      <c r="J2392" t="n">
        <v>0.2342</v>
      </c>
      <c r="K2392" t="n">
        <v>0.188</v>
      </c>
      <c r="L2392" t="n">
        <v>0.592</v>
      </c>
      <c r="M2392" t="n">
        <v>0.22</v>
      </c>
    </row>
    <row r="2393" spans="1:13">
      <c r="A2393" s="1">
        <f>HYPERLINK("http://www.twitter.com/NathanBLawrence/status/991025171728347138", "991025171728347138")</f>
        <v/>
      </c>
      <c r="B2393" s="2" t="n">
        <v>43220.77994212963</v>
      </c>
      <c r="C2393" t="n">
        <v>0</v>
      </c>
      <c r="D2393" t="n">
        <v>14131</v>
      </c>
      <c r="E2393" t="s">
        <v>2364</v>
      </c>
      <c r="F2393" t="s"/>
      <c r="G2393" t="s"/>
      <c r="H2393" t="s"/>
      <c r="I2393" t="s"/>
      <c r="J2393" t="n">
        <v>-0.188</v>
      </c>
      <c r="K2393" t="n">
        <v>0.126</v>
      </c>
      <c r="L2393" t="n">
        <v>0.777</v>
      </c>
      <c r="M2393" t="n">
        <v>0.097</v>
      </c>
    </row>
    <row r="2394" spans="1:13">
      <c r="A2394" s="1">
        <f>HYPERLINK("http://www.twitter.com/NathanBLawrence/status/991025154250674176", "991025154250674176")</f>
        <v/>
      </c>
      <c r="B2394" s="2" t="n">
        <v>43220.77989583334</v>
      </c>
      <c r="C2394" t="n">
        <v>0</v>
      </c>
      <c r="D2394" t="n">
        <v>287</v>
      </c>
      <c r="E2394" t="s">
        <v>2365</v>
      </c>
      <c r="F2394" t="s"/>
      <c r="G2394" t="s"/>
      <c r="H2394" t="s"/>
      <c r="I2394" t="s"/>
      <c r="J2394" t="n">
        <v>-0.0516</v>
      </c>
      <c r="K2394" t="n">
        <v>0.123</v>
      </c>
      <c r="L2394" t="n">
        <v>0.761</v>
      </c>
      <c r="M2394" t="n">
        <v>0.116</v>
      </c>
    </row>
    <row r="2395" spans="1:13">
      <c r="A2395" s="1">
        <f>HYPERLINK("http://www.twitter.com/NathanBLawrence/status/991024696463429633", "991024696463429633")</f>
        <v/>
      </c>
      <c r="B2395" s="2" t="n">
        <v>43220.77863425926</v>
      </c>
      <c r="C2395" t="n">
        <v>10</v>
      </c>
      <c r="D2395" t="n">
        <v>4</v>
      </c>
      <c r="E2395" t="s">
        <v>2366</v>
      </c>
      <c r="F2395">
        <f>HYPERLINK("http://pbs.twimg.com/media/DcDTtFrWkAAnA8R.jpg", "http://pbs.twimg.com/media/DcDTtFrWkAAnA8R.jpg")</f>
        <v/>
      </c>
      <c r="G2395" t="s"/>
      <c r="H2395" t="s"/>
      <c r="I2395" t="s"/>
      <c r="J2395" t="n">
        <v>0</v>
      </c>
      <c r="K2395" t="n">
        <v>0</v>
      </c>
      <c r="L2395" t="n">
        <v>1</v>
      </c>
      <c r="M2395" t="n">
        <v>0</v>
      </c>
    </row>
    <row r="2396" spans="1:13">
      <c r="A2396" s="1">
        <f>HYPERLINK("http://www.twitter.com/NathanBLawrence/status/991017120266883072", "991017120266883072")</f>
        <v/>
      </c>
      <c r="B2396" s="2" t="n">
        <v>43220.75773148148</v>
      </c>
      <c r="C2396" t="n">
        <v>0</v>
      </c>
      <c r="D2396" t="n">
        <v>18</v>
      </c>
      <c r="E2396" t="s">
        <v>2367</v>
      </c>
      <c r="F2396">
        <f>HYPERLINK("http://pbs.twimg.com/media/DcDMyHgWkAAABwq.jpg", "http://pbs.twimg.com/media/DcDMyHgWkAAABwq.jpg")</f>
        <v/>
      </c>
      <c r="G2396" t="s"/>
      <c r="H2396" t="s"/>
      <c r="I2396" t="s"/>
      <c r="J2396" t="n">
        <v>0</v>
      </c>
      <c r="K2396" t="n">
        <v>0</v>
      </c>
      <c r="L2396" t="n">
        <v>1</v>
      </c>
      <c r="M2396" t="n">
        <v>0</v>
      </c>
    </row>
    <row r="2397" spans="1:13">
      <c r="A2397" s="1">
        <f>HYPERLINK("http://www.twitter.com/NathanBLawrence/status/991017086632824832", "991017086632824832")</f>
        <v/>
      </c>
      <c r="B2397" s="2" t="n">
        <v>43220.75763888889</v>
      </c>
      <c r="C2397" t="n">
        <v>16</v>
      </c>
      <c r="D2397" t="n">
        <v>18</v>
      </c>
      <c r="E2397" t="s">
        <v>2368</v>
      </c>
      <c r="F2397">
        <f>HYPERLINK("http://pbs.twimg.com/media/DcDMyHgWkAAABwq.jpg", "http://pbs.twimg.com/media/DcDMyHgWkAAABwq.jpg")</f>
        <v/>
      </c>
      <c r="G2397" t="s"/>
      <c r="H2397" t="s"/>
      <c r="I2397" t="s"/>
      <c r="J2397" t="n">
        <v>0</v>
      </c>
      <c r="K2397" t="n">
        <v>0</v>
      </c>
      <c r="L2397" t="n">
        <v>1</v>
      </c>
      <c r="M2397" t="n">
        <v>0</v>
      </c>
    </row>
    <row r="2398" spans="1:13">
      <c r="A2398" s="1">
        <f>HYPERLINK("http://www.twitter.com/NathanBLawrence/status/991008534379876357", "991008534379876357")</f>
        <v/>
      </c>
      <c r="B2398" s="2" t="n">
        <v>43220.73403935185</v>
      </c>
      <c r="C2398" t="n">
        <v>0</v>
      </c>
      <c r="D2398" t="n">
        <v>199</v>
      </c>
      <c r="E2398" t="s">
        <v>2369</v>
      </c>
      <c r="F2398" t="s"/>
      <c r="G2398" t="s"/>
      <c r="H2398" t="s"/>
      <c r="I2398" t="s"/>
      <c r="J2398" t="n">
        <v>-0.6908</v>
      </c>
      <c r="K2398" t="n">
        <v>0.318</v>
      </c>
      <c r="L2398" t="n">
        <v>0.588</v>
      </c>
      <c r="M2398" t="n">
        <v>0.094</v>
      </c>
    </row>
    <row r="2399" spans="1:13">
      <c r="A2399" s="1">
        <f>HYPERLINK("http://www.twitter.com/NathanBLawrence/status/990996590746841088", "990996590746841088")</f>
        <v/>
      </c>
      <c r="B2399" s="2" t="n">
        <v>43220.70107638889</v>
      </c>
      <c r="C2399" t="n">
        <v>0</v>
      </c>
      <c r="D2399" t="n">
        <v>0</v>
      </c>
      <c r="E2399" t="s">
        <v>2370</v>
      </c>
      <c r="F2399" t="s"/>
      <c r="G2399" t="s"/>
      <c r="H2399" t="s"/>
      <c r="I2399" t="s"/>
      <c r="J2399" t="n">
        <v>0</v>
      </c>
      <c r="K2399" t="n">
        <v>0</v>
      </c>
      <c r="L2399" t="n">
        <v>1</v>
      </c>
      <c r="M2399" t="n">
        <v>0</v>
      </c>
    </row>
    <row r="2400" spans="1:13">
      <c r="A2400" s="1">
        <f>HYPERLINK("http://www.twitter.com/NathanBLawrence/status/990995865891418113", "990995865891418113")</f>
        <v/>
      </c>
      <c r="B2400" s="2" t="n">
        <v>43220.69907407407</v>
      </c>
      <c r="C2400" t="n">
        <v>0</v>
      </c>
      <c r="D2400" t="n">
        <v>3</v>
      </c>
      <c r="E2400" t="s">
        <v>2371</v>
      </c>
      <c r="F2400" t="s"/>
      <c r="G2400" t="s"/>
      <c r="H2400" t="s"/>
      <c r="I2400" t="s"/>
      <c r="J2400" t="n">
        <v>-0.6037</v>
      </c>
      <c r="K2400" t="n">
        <v>0.276</v>
      </c>
      <c r="L2400" t="n">
        <v>0.5570000000000001</v>
      </c>
      <c r="M2400" t="n">
        <v>0.167</v>
      </c>
    </row>
    <row r="2401" spans="1:13">
      <c r="A2401" s="1">
        <f>HYPERLINK("http://www.twitter.com/NathanBLawrence/status/990822815791185921", "990822815791185921")</f>
        <v/>
      </c>
      <c r="B2401" s="2" t="n">
        <v>43220.22155092593</v>
      </c>
      <c r="C2401" t="n">
        <v>0</v>
      </c>
      <c r="D2401" t="n">
        <v>5374</v>
      </c>
      <c r="E2401" t="s">
        <v>2372</v>
      </c>
      <c r="F2401" t="s"/>
      <c r="G2401" t="s"/>
      <c r="H2401" t="s"/>
      <c r="I2401" t="s"/>
      <c r="J2401" t="n">
        <v>0</v>
      </c>
      <c r="K2401" t="n">
        <v>0</v>
      </c>
      <c r="L2401" t="n">
        <v>1</v>
      </c>
      <c r="M2401" t="n">
        <v>0</v>
      </c>
    </row>
    <row r="2402" spans="1:13">
      <c r="A2402" s="1">
        <f>HYPERLINK("http://www.twitter.com/NathanBLawrence/status/990822371736084480", "990822371736084480")</f>
        <v/>
      </c>
      <c r="B2402" s="2" t="n">
        <v>43220.22032407407</v>
      </c>
      <c r="C2402" t="n">
        <v>0</v>
      </c>
      <c r="D2402" t="n">
        <v>5</v>
      </c>
      <c r="E2402" t="s">
        <v>2373</v>
      </c>
      <c r="F2402" t="s"/>
      <c r="G2402" t="s"/>
      <c r="H2402" t="s"/>
      <c r="I2402" t="s"/>
      <c r="J2402" t="n">
        <v>0.4404</v>
      </c>
      <c r="K2402" t="n">
        <v>0</v>
      </c>
      <c r="L2402" t="n">
        <v>0.873</v>
      </c>
      <c r="M2402" t="n">
        <v>0.127</v>
      </c>
    </row>
    <row r="2403" spans="1:13">
      <c r="A2403" s="1">
        <f>HYPERLINK("http://www.twitter.com/NathanBLawrence/status/990794094703235073", "990794094703235073")</f>
        <v/>
      </c>
      <c r="B2403" s="2" t="n">
        <v>43220.14229166666</v>
      </c>
      <c r="C2403" t="n">
        <v>7</v>
      </c>
      <c r="D2403" t="n">
        <v>3</v>
      </c>
      <c r="E2403" t="s">
        <v>2374</v>
      </c>
      <c r="F2403" t="s"/>
      <c r="G2403" t="s"/>
      <c r="H2403" t="s"/>
      <c r="I2403" t="s"/>
      <c r="J2403" t="n">
        <v>-0.6037</v>
      </c>
      <c r="K2403" t="n">
        <v>0.298</v>
      </c>
      <c r="L2403" t="n">
        <v>0.521</v>
      </c>
      <c r="M2403" t="n">
        <v>0.18</v>
      </c>
    </row>
    <row r="2404" spans="1:13">
      <c r="A2404" s="1">
        <f>HYPERLINK("http://www.twitter.com/NathanBLawrence/status/990793998414614528", "990793998414614528")</f>
        <v/>
      </c>
      <c r="B2404" s="2" t="n">
        <v>43220.14202546296</v>
      </c>
      <c r="C2404" t="n">
        <v>0</v>
      </c>
      <c r="D2404" t="n">
        <v>0</v>
      </c>
      <c r="E2404" t="s">
        <v>2375</v>
      </c>
      <c r="F2404" t="s"/>
      <c r="G2404" t="s"/>
      <c r="H2404" t="s"/>
      <c r="I2404" t="s"/>
      <c r="J2404" t="n">
        <v>-0.1531</v>
      </c>
      <c r="K2404" t="n">
        <v>0.315</v>
      </c>
      <c r="L2404" t="n">
        <v>0.435</v>
      </c>
      <c r="M2404" t="n">
        <v>0.25</v>
      </c>
    </row>
    <row r="2405" spans="1:13">
      <c r="A2405" s="1">
        <f>HYPERLINK("http://www.twitter.com/NathanBLawrence/status/990793934665388032", "990793934665388032")</f>
        <v/>
      </c>
      <c r="B2405" s="2" t="n">
        <v>43220.14185185185</v>
      </c>
      <c r="C2405" t="n">
        <v>0</v>
      </c>
      <c r="D2405" t="n">
        <v>1</v>
      </c>
      <c r="E2405" t="s">
        <v>2376</v>
      </c>
      <c r="F2405" t="s"/>
      <c r="G2405" t="s"/>
      <c r="H2405" t="s"/>
      <c r="I2405" t="s"/>
      <c r="J2405" t="n">
        <v>0.128</v>
      </c>
      <c r="K2405" t="n">
        <v>0</v>
      </c>
      <c r="L2405" t="n">
        <v>0.9389999999999999</v>
      </c>
      <c r="M2405" t="n">
        <v>0.061</v>
      </c>
    </row>
    <row r="2406" spans="1:13">
      <c r="A2406" s="1">
        <f>HYPERLINK("http://www.twitter.com/NathanBLawrence/status/990793898934063104", "990793898934063104")</f>
        <v/>
      </c>
      <c r="B2406" s="2" t="n">
        <v>43220.14175925926</v>
      </c>
      <c r="C2406" t="n">
        <v>0</v>
      </c>
      <c r="D2406" t="n">
        <v>0</v>
      </c>
      <c r="E2406" t="s">
        <v>2377</v>
      </c>
      <c r="F2406" t="s"/>
      <c r="G2406" t="s"/>
      <c r="H2406" t="s"/>
      <c r="I2406" t="s"/>
      <c r="J2406" t="n">
        <v>0</v>
      </c>
      <c r="K2406" t="n">
        <v>0</v>
      </c>
      <c r="L2406" t="n">
        <v>1</v>
      </c>
      <c r="M2406" t="n">
        <v>0</v>
      </c>
    </row>
    <row r="2407" spans="1:13">
      <c r="A2407" s="1">
        <f>HYPERLINK("http://www.twitter.com/NathanBLawrence/status/990793854398992384", "990793854398992384")</f>
        <v/>
      </c>
      <c r="B2407" s="2" t="n">
        <v>43220.14163194445</v>
      </c>
      <c r="C2407" t="n">
        <v>1</v>
      </c>
      <c r="D2407" t="n">
        <v>0</v>
      </c>
      <c r="E2407" t="s">
        <v>2378</v>
      </c>
      <c r="F2407" t="s"/>
      <c r="G2407" t="s"/>
      <c r="H2407" t="s"/>
      <c r="I2407" t="s"/>
      <c r="J2407" t="n">
        <v>-0.6037</v>
      </c>
      <c r="K2407" t="n">
        <v>0.298</v>
      </c>
      <c r="L2407" t="n">
        <v>0.521</v>
      </c>
      <c r="M2407" t="n">
        <v>0.18</v>
      </c>
    </row>
    <row r="2408" spans="1:13">
      <c r="A2408" s="1">
        <f>HYPERLINK("http://www.twitter.com/NathanBLawrence/status/990793693224464384", "990793693224464384")</f>
        <v/>
      </c>
      <c r="B2408" s="2" t="n">
        <v>43220.14119212963</v>
      </c>
      <c r="C2408" t="n">
        <v>0</v>
      </c>
      <c r="D2408" t="n">
        <v>62</v>
      </c>
      <c r="E2408" t="s">
        <v>2379</v>
      </c>
      <c r="F2408" t="s"/>
      <c r="G2408" t="s"/>
      <c r="H2408" t="s"/>
      <c r="I2408" t="s"/>
      <c r="J2408" t="n">
        <v>0.3804</v>
      </c>
      <c r="K2408" t="n">
        <v>0</v>
      </c>
      <c r="L2408" t="n">
        <v>0.853</v>
      </c>
      <c r="M2408" t="n">
        <v>0.147</v>
      </c>
    </row>
    <row r="2409" spans="1:13">
      <c r="A2409" s="1">
        <f>HYPERLINK("http://www.twitter.com/NathanBLawrence/status/990781466362695681", "990781466362695681")</f>
        <v/>
      </c>
      <c r="B2409" s="2" t="n">
        <v>43220.10745370371</v>
      </c>
      <c r="C2409" t="n">
        <v>0</v>
      </c>
      <c r="D2409" t="n">
        <v>1097</v>
      </c>
      <c r="E2409" t="s">
        <v>2380</v>
      </c>
      <c r="F2409" t="s"/>
      <c r="G2409" t="s"/>
      <c r="H2409" t="s"/>
      <c r="I2409" t="s"/>
      <c r="J2409" t="n">
        <v>0.1027</v>
      </c>
      <c r="K2409" t="n">
        <v>0.102</v>
      </c>
      <c r="L2409" t="n">
        <v>0.779</v>
      </c>
      <c r="M2409" t="n">
        <v>0.119</v>
      </c>
    </row>
    <row r="2410" spans="1:13">
      <c r="A2410" s="1">
        <f>HYPERLINK("http://www.twitter.com/NathanBLawrence/status/990781285332410369", "990781285332410369")</f>
        <v/>
      </c>
      <c r="B2410" s="2" t="n">
        <v>43220.10694444444</v>
      </c>
      <c r="C2410" t="n">
        <v>0</v>
      </c>
      <c r="D2410" t="n">
        <v>74</v>
      </c>
      <c r="E2410" t="s">
        <v>2381</v>
      </c>
      <c r="F2410">
        <f>HYPERLINK("http://pbs.twimg.com/media/Db-KFwzXcAABs44.jpg", "http://pbs.twimg.com/media/Db-KFwzXcAABs44.jpg")</f>
        <v/>
      </c>
      <c r="G2410" t="s"/>
      <c r="H2410" t="s"/>
      <c r="I2410" t="s"/>
      <c r="J2410" t="n">
        <v>0</v>
      </c>
      <c r="K2410" t="n">
        <v>0</v>
      </c>
      <c r="L2410" t="n">
        <v>1</v>
      </c>
      <c r="M2410" t="n">
        <v>0</v>
      </c>
    </row>
    <row r="2411" spans="1:13">
      <c r="A2411" s="1">
        <f>HYPERLINK("http://www.twitter.com/NathanBLawrence/status/990778637795328000", "990778637795328000")</f>
        <v/>
      </c>
      <c r="B2411" s="2" t="n">
        <v>43220.09964120371</v>
      </c>
      <c r="C2411" t="n">
        <v>0</v>
      </c>
      <c r="D2411" t="n">
        <v>3</v>
      </c>
      <c r="E2411" t="s">
        <v>2382</v>
      </c>
      <c r="F2411" t="s"/>
      <c r="G2411" t="s"/>
      <c r="H2411" t="s"/>
      <c r="I2411" t="s"/>
      <c r="J2411" t="n">
        <v>0.7783</v>
      </c>
      <c r="K2411" t="n">
        <v>0</v>
      </c>
      <c r="L2411" t="n">
        <v>0.698</v>
      </c>
      <c r="M2411" t="n">
        <v>0.302</v>
      </c>
    </row>
    <row r="2412" spans="1:13">
      <c r="A2412" s="1">
        <f>HYPERLINK("http://www.twitter.com/NathanBLawrence/status/990778552487378944", "990778552487378944")</f>
        <v/>
      </c>
      <c r="B2412" s="2" t="n">
        <v>43220.09940972222</v>
      </c>
      <c r="C2412" t="n">
        <v>0</v>
      </c>
      <c r="D2412" t="n">
        <v>16</v>
      </c>
      <c r="E2412" t="s">
        <v>2383</v>
      </c>
      <c r="F2412" t="s"/>
      <c r="G2412" t="s"/>
      <c r="H2412" t="s"/>
      <c r="I2412" t="s"/>
      <c r="J2412" t="n">
        <v>-0.5946</v>
      </c>
      <c r="K2412" t="n">
        <v>0.291</v>
      </c>
      <c r="L2412" t="n">
        <v>0.572</v>
      </c>
      <c r="M2412" t="n">
        <v>0.137</v>
      </c>
    </row>
    <row r="2413" spans="1:13">
      <c r="A2413" s="1">
        <f>HYPERLINK("http://www.twitter.com/NathanBLawrence/status/990767796240965632", "990767796240965632")</f>
        <v/>
      </c>
      <c r="B2413" s="2" t="n">
        <v>43220.06972222222</v>
      </c>
      <c r="C2413" t="n">
        <v>0</v>
      </c>
      <c r="D2413" t="n">
        <v>12</v>
      </c>
      <c r="E2413" t="s">
        <v>2384</v>
      </c>
      <c r="F2413" t="s"/>
      <c r="G2413" t="s"/>
      <c r="H2413" t="s"/>
      <c r="I2413" t="s"/>
      <c r="J2413" t="n">
        <v>0</v>
      </c>
      <c r="K2413" t="n">
        <v>0</v>
      </c>
      <c r="L2413" t="n">
        <v>1</v>
      </c>
      <c r="M2413" t="n">
        <v>0</v>
      </c>
    </row>
    <row r="2414" spans="1:13">
      <c r="A2414" s="1">
        <f>HYPERLINK("http://www.twitter.com/NathanBLawrence/status/990736913232486401", "990736913232486401")</f>
        <v/>
      </c>
      <c r="B2414" s="2" t="n">
        <v>43219.98450231482</v>
      </c>
      <c r="C2414" t="n">
        <v>0</v>
      </c>
      <c r="D2414" t="n">
        <v>10</v>
      </c>
      <c r="E2414" t="s">
        <v>1953</v>
      </c>
      <c r="F2414">
        <f>HYPERLINK("http://pbs.twimg.com/media/Db_DTweUQAA-AMl.jpg", "http://pbs.twimg.com/media/Db_DTweUQAA-AMl.jpg")</f>
        <v/>
      </c>
      <c r="G2414" t="s"/>
      <c r="H2414" t="s"/>
      <c r="I2414" t="s"/>
      <c r="J2414" t="n">
        <v>-0.2103</v>
      </c>
      <c r="K2414" t="n">
        <v>0.233</v>
      </c>
      <c r="L2414" t="n">
        <v>0.5629999999999999</v>
      </c>
      <c r="M2414" t="n">
        <v>0.204</v>
      </c>
    </row>
    <row r="2415" spans="1:13">
      <c r="A2415" s="1">
        <f>HYPERLINK("http://www.twitter.com/NathanBLawrence/status/990725739342385153", "990725739342385153")</f>
        <v/>
      </c>
      <c r="B2415" s="2" t="n">
        <v>43219.95366898148</v>
      </c>
      <c r="C2415" t="n">
        <v>0</v>
      </c>
      <c r="D2415" t="n">
        <v>7</v>
      </c>
      <c r="E2415" t="s">
        <v>2385</v>
      </c>
      <c r="F2415" t="s"/>
      <c r="G2415" t="s"/>
      <c r="H2415" t="s"/>
      <c r="I2415" t="s"/>
      <c r="J2415" t="n">
        <v>0.7776999999999999</v>
      </c>
      <c r="K2415" t="n">
        <v>0</v>
      </c>
      <c r="L2415" t="n">
        <v>0.6860000000000001</v>
      </c>
      <c r="M2415" t="n">
        <v>0.314</v>
      </c>
    </row>
    <row r="2416" spans="1:13">
      <c r="A2416" s="1">
        <f>HYPERLINK("http://www.twitter.com/NathanBLawrence/status/990725194862997504", "990725194862997504")</f>
        <v/>
      </c>
      <c r="B2416" s="2" t="n">
        <v>43219.95216435185</v>
      </c>
      <c r="C2416" t="n">
        <v>17</v>
      </c>
      <c r="D2416" t="n">
        <v>10</v>
      </c>
      <c r="E2416" t="s">
        <v>2386</v>
      </c>
      <c r="F2416">
        <f>HYPERLINK("http://pbs.twimg.com/media/Db_DTweUQAA-AMl.jpg", "http://pbs.twimg.com/media/Db_DTweUQAA-AMl.jpg")</f>
        <v/>
      </c>
      <c r="G2416" t="s"/>
      <c r="H2416" t="s"/>
      <c r="I2416" t="s"/>
      <c r="J2416" t="n">
        <v>-0.1779</v>
      </c>
      <c r="K2416" t="n">
        <v>0.191</v>
      </c>
      <c r="L2416" t="n">
        <v>0.63</v>
      </c>
      <c r="M2416" t="n">
        <v>0.179</v>
      </c>
    </row>
    <row r="2417" spans="1:13">
      <c r="A2417" s="1">
        <f>HYPERLINK("http://www.twitter.com/NathanBLawrence/status/990723349818068992", "990723349818068992")</f>
        <v/>
      </c>
      <c r="B2417" s="2" t="n">
        <v>43219.94708333333</v>
      </c>
      <c r="C2417" t="n">
        <v>0</v>
      </c>
      <c r="D2417" t="n">
        <v>1</v>
      </c>
      <c r="E2417" t="s">
        <v>2387</v>
      </c>
      <c r="F2417" t="s"/>
      <c r="G2417" t="s"/>
      <c r="H2417" t="s"/>
      <c r="I2417" t="s"/>
      <c r="J2417" t="n">
        <v>0</v>
      </c>
      <c r="K2417" t="n">
        <v>0</v>
      </c>
      <c r="L2417" t="n">
        <v>1</v>
      </c>
      <c r="M2417" t="n">
        <v>0</v>
      </c>
    </row>
    <row r="2418" spans="1:13">
      <c r="A2418" s="1">
        <f>HYPERLINK("http://www.twitter.com/NathanBLawrence/status/990719025859715072", "990719025859715072")</f>
        <v/>
      </c>
      <c r="B2418" s="2" t="n">
        <v>43219.93515046296</v>
      </c>
      <c r="C2418" t="n">
        <v>0</v>
      </c>
      <c r="D2418" t="n">
        <v>3700</v>
      </c>
      <c r="E2418" t="s">
        <v>2388</v>
      </c>
      <c r="F2418" t="s"/>
      <c r="G2418" t="s"/>
      <c r="H2418" t="s"/>
      <c r="I2418" t="s"/>
      <c r="J2418" t="n">
        <v>0</v>
      </c>
      <c r="K2418" t="n">
        <v>0</v>
      </c>
      <c r="L2418" t="n">
        <v>1</v>
      </c>
      <c r="M2418" t="n">
        <v>0</v>
      </c>
    </row>
    <row r="2419" spans="1:13">
      <c r="A2419" s="1">
        <f>HYPERLINK("http://www.twitter.com/NathanBLawrence/status/990718991797772288", "990718991797772288")</f>
        <v/>
      </c>
      <c r="B2419" s="2" t="n">
        <v>43219.9350462963</v>
      </c>
      <c r="C2419" t="n">
        <v>0</v>
      </c>
      <c r="D2419" t="n">
        <v>28106</v>
      </c>
      <c r="E2419" t="s">
        <v>2389</v>
      </c>
      <c r="F2419" t="s"/>
      <c r="G2419" t="s"/>
      <c r="H2419" t="s"/>
      <c r="I2419" t="s"/>
      <c r="J2419" t="n">
        <v>-0.0772</v>
      </c>
      <c r="K2419" t="n">
        <v>0.139</v>
      </c>
      <c r="L2419" t="n">
        <v>0.734</v>
      </c>
      <c r="M2419" t="n">
        <v>0.127</v>
      </c>
    </row>
    <row r="2420" spans="1:13">
      <c r="A2420" s="1">
        <f>HYPERLINK("http://www.twitter.com/NathanBLawrence/status/990718860482445314", "990718860482445314")</f>
        <v/>
      </c>
      <c r="B2420" s="2" t="n">
        <v>43219.9346875</v>
      </c>
      <c r="C2420" t="n">
        <v>2</v>
      </c>
      <c r="D2420" t="n">
        <v>0</v>
      </c>
      <c r="E2420" t="s">
        <v>2390</v>
      </c>
      <c r="F2420" t="s"/>
      <c r="G2420" t="s"/>
      <c r="H2420" t="s"/>
      <c r="I2420" t="s"/>
      <c r="J2420" t="n">
        <v>-0.1027</v>
      </c>
      <c r="K2420" t="n">
        <v>0.23</v>
      </c>
      <c r="L2420" t="n">
        <v>0.574</v>
      </c>
      <c r="M2420" t="n">
        <v>0.197</v>
      </c>
    </row>
    <row r="2421" spans="1:13">
      <c r="A2421" s="1">
        <f>HYPERLINK("http://www.twitter.com/NathanBLawrence/status/990718690344820737", "990718690344820737")</f>
        <v/>
      </c>
      <c r="B2421" s="2" t="n">
        <v>43219.93422453704</v>
      </c>
      <c r="C2421" t="n">
        <v>0</v>
      </c>
      <c r="D2421" t="n">
        <v>15</v>
      </c>
      <c r="E2421" t="s">
        <v>2391</v>
      </c>
      <c r="F2421">
        <f>HYPERLINK("https://video.twimg.com/ext_tw_video/990716019965595649/pu/vid/1280x720/QZ-gh-7kTDJccVv-.mp4?tag=3", "https://video.twimg.com/ext_tw_video/990716019965595649/pu/vid/1280x720/QZ-gh-7kTDJccVv-.mp4?tag=3")</f>
        <v/>
      </c>
      <c r="G2421" t="s"/>
      <c r="H2421" t="s"/>
      <c r="I2421" t="s"/>
      <c r="J2421" t="n">
        <v>-0.2649</v>
      </c>
      <c r="K2421" t="n">
        <v>0.128</v>
      </c>
      <c r="L2421" t="n">
        <v>0.787</v>
      </c>
      <c r="M2421" t="n">
        <v>0.08400000000000001</v>
      </c>
    </row>
    <row r="2422" spans="1:13">
      <c r="A2422" s="1">
        <f>HYPERLINK("http://www.twitter.com/NathanBLawrence/status/990716601258397696", "990716601258397696")</f>
        <v/>
      </c>
      <c r="B2422" s="2" t="n">
        <v>43219.92846064815</v>
      </c>
      <c r="C2422" t="n">
        <v>17</v>
      </c>
      <c r="D2422" t="n">
        <v>15</v>
      </c>
      <c r="E2422" t="s">
        <v>2392</v>
      </c>
      <c r="F2422">
        <f>HYPERLINK("https://video.twimg.com/ext_tw_video/990716019965595649/pu/vid/1280x720/QZ-gh-7kTDJccVv-.mp4?tag=3", "https://video.twimg.com/ext_tw_video/990716019965595649/pu/vid/1280x720/QZ-gh-7kTDJccVv-.mp4?tag=3")</f>
        <v/>
      </c>
      <c r="G2422" t="s"/>
      <c r="H2422" t="s"/>
      <c r="I2422" t="s"/>
      <c r="J2422" t="n">
        <v>0.0325</v>
      </c>
      <c r="K2422" t="n">
        <v>0.103</v>
      </c>
      <c r="L2422" t="n">
        <v>0.791</v>
      </c>
      <c r="M2422" t="n">
        <v>0.106</v>
      </c>
    </row>
    <row r="2423" spans="1:13">
      <c r="A2423" s="1">
        <f>HYPERLINK("http://www.twitter.com/NathanBLawrence/status/990715882543439873", "990715882543439873")</f>
        <v/>
      </c>
      <c r="B2423" s="2" t="n">
        <v>43219.9264699074</v>
      </c>
      <c r="C2423" t="n">
        <v>0</v>
      </c>
      <c r="D2423" t="n">
        <v>10</v>
      </c>
      <c r="E2423" t="s">
        <v>2393</v>
      </c>
      <c r="F2423" t="s"/>
      <c r="G2423" t="s"/>
      <c r="H2423" t="s"/>
      <c r="I2423" t="s"/>
      <c r="J2423" t="n">
        <v>0</v>
      </c>
      <c r="K2423" t="n">
        <v>0</v>
      </c>
      <c r="L2423" t="n">
        <v>1</v>
      </c>
      <c r="M2423" t="n">
        <v>0</v>
      </c>
    </row>
    <row r="2424" spans="1:13">
      <c r="A2424" s="1">
        <f>HYPERLINK("http://www.twitter.com/NathanBLawrence/status/990713063170035713", "990713063170035713")</f>
        <v/>
      </c>
      <c r="B2424" s="2" t="n">
        <v>43219.91869212963</v>
      </c>
      <c r="C2424" t="n">
        <v>0</v>
      </c>
      <c r="D2424" t="n">
        <v>0</v>
      </c>
      <c r="E2424" t="s">
        <v>2394</v>
      </c>
      <c r="F2424">
        <f>HYPERLINK("http://pbs.twimg.com/media/Db-4RhcX0AAXQbX.jpg", "http://pbs.twimg.com/media/Db-4RhcX0AAXQbX.jpg")</f>
        <v/>
      </c>
      <c r="G2424" t="s"/>
      <c r="H2424" t="s"/>
      <c r="I2424" t="s"/>
      <c r="J2424" t="n">
        <v>0</v>
      </c>
      <c r="K2424" t="n">
        <v>0</v>
      </c>
      <c r="L2424" t="n">
        <v>1</v>
      </c>
      <c r="M2424" t="n">
        <v>0</v>
      </c>
    </row>
    <row r="2425" spans="1:13">
      <c r="A2425" s="1">
        <f>HYPERLINK("http://www.twitter.com/NathanBLawrence/status/990705595799031810", "990705595799031810")</f>
        <v/>
      </c>
      <c r="B2425" s="2" t="n">
        <v>43219.89809027778</v>
      </c>
      <c r="C2425" t="n">
        <v>0</v>
      </c>
      <c r="D2425" t="n">
        <v>4</v>
      </c>
      <c r="E2425" t="s">
        <v>2395</v>
      </c>
      <c r="F2425" t="s"/>
      <c r="G2425" t="s"/>
      <c r="H2425" t="s"/>
      <c r="I2425" t="s"/>
      <c r="J2425" t="n">
        <v>0</v>
      </c>
      <c r="K2425" t="n">
        <v>0</v>
      </c>
      <c r="L2425" t="n">
        <v>1</v>
      </c>
      <c r="M2425" t="n">
        <v>0</v>
      </c>
    </row>
    <row r="2426" spans="1:13">
      <c r="A2426" s="1">
        <f>HYPERLINK("http://www.twitter.com/NathanBLawrence/status/990705581471293440", "990705581471293440")</f>
        <v/>
      </c>
      <c r="B2426" s="2" t="n">
        <v>43219.89804398148</v>
      </c>
      <c r="C2426" t="n">
        <v>0</v>
      </c>
      <c r="D2426" t="n">
        <v>12</v>
      </c>
      <c r="E2426" t="s">
        <v>2396</v>
      </c>
      <c r="F2426" t="s"/>
      <c r="G2426" t="s"/>
      <c r="H2426" t="s"/>
      <c r="I2426" t="s"/>
      <c r="J2426" t="n">
        <v>-0.296</v>
      </c>
      <c r="K2426" t="n">
        <v>0.095</v>
      </c>
      <c r="L2426" t="n">
        <v>0.905</v>
      </c>
      <c r="M2426" t="n">
        <v>0</v>
      </c>
    </row>
    <row r="2427" spans="1:13">
      <c r="A2427" s="1">
        <f>HYPERLINK("http://www.twitter.com/NathanBLawrence/status/990700649229750272", "990700649229750272")</f>
        <v/>
      </c>
      <c r="B2427" s="2" t="n">
        <v>43219.88443287037</v>
      </c>
      <c r="C2427" t="n">
        <v>0</v>
      </c>
      <c r="D2427" t="n">
        <v>0</v>
      </c>
      <c r="E2427" t="s">
        <v>2397</v>
      </c>
      <c r="F2427" t="s"/>
      <c r="G2427" t="s"/>
      <c r="H2427" t="s"/>
      <c r="I2427" t="s"/>
      <c r="J2427" t="n">
        <v>-0.163</v>
      </c>
      <c r="K2427" t="n">
        <v>0.102</v>
      </c>
      <c r="L2427" t="n">
        <v>0.755</v>
      </c>
      <c r="M2427" t="n">
        <v>0.143</v>
      </c>
    </row>
    <row r="2428" spans="1:13">
      <c r="A2428" s="1">
        <f>HYPERLINK("http://www.twitter.com/NathanBLawrence/status/990695471747395584", "990695471747395584")</f>
        <v/>
      </c>
      <c r="B2428" s="2" t="n">
        <v>43219.87015046296</v>
      </c>
      <c r="C2428" t="n">
        <v>16</v>
      </c>
      <c r="D2428" t="n">
        <v>10</v>
      </c>
      <c r="E2428" t="s">
        <v>2398</v>
      </c>
      <c r="F2428" t="s"/>
      <c r="G2428" t="s"/>
      <c r="H2428" t="s"/>
      <c r="I2428" t="s"/>
      <c r="J2428" t="n">
        <v>-0.5423</v>
      </c>
      <c r="K2428" t="n">
        <v>0.07199999999999999</v>
      </c>
      <c r="L2428" t="n">
        <v>0.928</v>
      </c>
      <c r="M2428" t="n">
        <v>0</v>
      </c>
    </row>
    <row r="2429" spans="1:13">
      <c r="A2429" s="1">
        <f>HYPERLINK("http://www.twitter.com/NathanBLawrence/status/990680960101470209", "990680960101470209")</f>
        <v/>
      </c>
      <c r="B2429" s="2" t="n">
        <v>43219.83010416666</v>
      </c>
      <c r="C2429" t="n">
        <v>0</v>
      </c>
      <c r="D2429" t="n">
        <v>9</v>
      </c>
      <c r="E2429" t="s">
        <v>2399</v>
      </c>
      <c r="F2429" t="s"/>
      <c r="G2429" t="s"/>
      <c r="H2429" t="s"/>
      <c r="I2429" t="s"/>
      <c r="J2429" t="n">
        <v>0</v>
      </c>
      <c r="K2429" t="n">
        <v>0</v>
      </c>
      <c r="L2429" t="n">
        <v>1</v>
      </c>
      <c r="M2429" t="n">
        <v>0</v>
      </c>
    </row>
    <row r="2430" spans="1:13">
      <c r="A2430" s="1">
        <f>HYPERLINK("http://www.twitter.com/NathanBLawrence/status/990680863468814342", "990680863468814342")</f>
        <v/>
      </c>
      <c r="B2430" s="2" t="n">
        <v>43219.82983796296</v>
      </c>
      <c r="C2430" t="n">
        <v>0</v>
      </c>
      <c r="D2430" t="n">
        <v>3</v>
      </c>
      <c r="E2430" t="s">
        <v>2400</v>
      </c>
      <c r="F2430" t="s"/>
      <c r="G2430" t="s"/>
      <c r="H2430" t="s"/>
      <c r="I2430" t="s"/>
      <c r="J2430" t="n">
        <v>0</v>
      </c>
      <c r="K2430" t="n">
        <v>0</v>
      </c>
      <c r="L2430" t="n">
        <v>1</v>
      </c>
      <c r="M2430" t="n">
        <v>0</v>
      </c>
    </row>
    <row r="2431" spans="1:13">
      <c r="A2431" s="1">
        <f>HYPERLINK("http://www.twitter.com/NathanBLawrence/status/990680828647796736", "990680828647796736")</f>
        <v/>
      </c>
      <c r="B2431" s="2" t="n">
        <v>43219.82974537037</v>
      </c>
      <c r="C2431" t="n">
        <v>0</v>
      </c>
      <c r="D2431" t="n">
        <v>8</v>
      </c>
      <c r="E2431" t="s">
        <v>2401</v>
      </c>
      <c r="F2431" t="s"/>
      <c r="G2431" t="s"/>
      <c r="H2431" t="s"/>
      <c r="I2431" t="s"/>
      <c r="J2431" t="n">
        <v>0</v>
      </c>
      <c r="K2431" t="n">
        <v>0</v>
      </c>
      <c r="L2431" t="n">
        <v>1</v>
      </c>
      <c r="M2431" t="n">
        <v>0</v>
      </c>
    </row>
    <row r="2432" spans="1:13">
      <c r="A2432" s="1">
        <f>HYPERLINK("http://www.twitter.com/NathanBLawrence/status/990680792903929856", "990680792903929856")</f>
        <v/>
      </c>
      <c r="B2432" s="2" t="n">
        <v>43219.8296412037</v>
      </c>
      <c r="C2432" t="n">
        <v>0</v>
      </c>
      <c r="D2432" t="n">
        <v>3</v>
      </c>
      <c r="E2432" t="s">
        <v>2402</v>
      </c>
      <c r="F2432" t="s"/>
      <c r="G2432" t="s"/>
      <c r="H2432" t="s"/>
      <c r="I2432" t="s"/>
      <c r="J2432" t="n">
        <v>0.6249</v>
      </c>
      <c r="K2432" t="n">
        <v>0</v>
      </c>
      <c r="L2432" t="n">
        <v>0.837</v>
      </c>
      <c r="M2432" t="n">
        <v>0.163</v>
      </c>
    </row>
    <row r="2433" spans="1:13">
      <c r="A2433" s="1">
        <f>HYPERLINK("http://www.twitter.com/NathanBLawrence/status/990390511142866945", "990390511142866945")</f>
        <v/>
      </c>
      <c r="B2433" s="2" t="n">
        <v>43219.02862268518</v>
      </c>
      <c r="C2433" t="n">
        <v>0</v>
      </c>
      <c r="D2433" t="n">
        <v>192</v>
      </c>
      <c r="E2433" t="s">
        <v>2403</v>
      </c>
      <c r="F2433">
        <f>HYPERLINK("http://pbs.twimg.com/media/Db6NseHXcAAfz8x.jpg", "http://pbs.twimg.com/media/Db6NseHXcAAfz8x.jpg")</f>
        <v/>
      </c>
      <c r="G2433" t="s"/>
      <c r="H2433" t="s"/>
      <c r="I2433" t="s"/>
      <c r="J2433" t="n">
        <v>0</v>
      </c>
      <c r="K2433" t="n">
        <v>0</v>
      </c>
      <c r="L2433" t="n">
        <v>1</v>
      </c>
      <c r="M2433" t="n">
        <v>0</v>
      </c>
    </row>
    <row r="2434" spans="1:13">
      <c r="A2434" s="1">
        <f>HYPERLINK("http://www.twitter.com/NathanBLawrence/status/990390456935739393", "990390456935739393")</f>
        <v/>
      </c>
      <c r="B2434" s="2" t="n">
        <v>43219.02847222222</v>
      </c>
      <c r="C2434" t="n">
        <v>0</v>
      </c>
      <c r="D2434" t="n">
        <v>11</v>
      </c>
      <c r="E2434" t="s">
        <v>2404</v>
      </c>
      <c r="F2434" t="s"/>
      <c r="G2434" t="s"/>
      <c r="H2434" t="s"/>
      <c r="I2434" t="s"/>
      <c r="J2434" t="n">
        <v>0</v>
      </c>
      <c r="K2434" t="n">
        <v>0</v>
      </c>
      <c r="L2434" t="n">
        <v>1</v>
      </c>
      <c r="M2434" t="n">
        <v>0</v>
      </c>
    </row>
    <row r="2435" spans="1:13">
      <c r="A2435" s="1">
        <f>HYPERLINK("http://www.twitter.com/NathanBLawrence/status/990390382788775938", "990390382788775938")</f>
        <v/>
      </c>
      <c r="B2435" s="2" t="n">
        <v>43219.02826388889</v>
      </c>
      <c r="C2435" t="n">
        <v>0</v>
      </c>
      <c r="D2435" t="n">
        <v>2642</v>
      </c>
      <c r="E2435" t="s">
        <v>2405</v>
      </c>
      <c r="F2435" t="s"/>
      <c r="G2435" t="s"/>
      <c r="H2435" t="s"/>
      <c r="I2435" t="s"/>
      <c r="J2435" t="n">
        <v>0.5859</v>
      </c>
      <c r="K2435" t="n">
        <v>0</v>
      </c>
      <c r="L2435" t="n">
        <v>0.847</v>
      </c>
      <c r="M2435" t="n">
        <v>0.153</v>
      </c>
    </row>
    <row r="2436" spans="1:13">
      <c r="A2436" s="1">
        <f>HYPERLINK("http://www.twitter.com/NathanBLawrence/status/990390364493242369", "990390364493242369")</f>
        <v/>
      </c>
      <c r="B2436" s="2" t="n">
        <v>43219.02821759259</v>
      </c>
      <c r="C2436" t="n">
        <v>0</v>
      </c>
      <c r="D2436" t="n">
        <v>1579</v>
      </c>
      <c r="E2436" t="s">
        <v>2406</v>
      </c>
      <c r="F2436" t="s"/>
      <c r="G2436" t="s"/>
      <c r="H2436" t="s"/>
      <c r="I2436" t="s"/>
      <c r="J2436" t="n">
        <v>0.6486</v>
      </c>
      <c r="K2436" t="n">
        <v>0</v>
      </c>
      <c r="L2436" t="n">
        <v>0.73</v>
      </c>
      <c r="M2436" t="n">
        <v>0.27</v>
      </c>
    </row>
    <row r="2437" spans="1:13">
      <c r="A2437" s="1">
        <f>HYPERLINK("http://www.twitter.com/NathanBLawrence/status/990390349213335552", "990390349213335552")</f>
        <v/>
      </c>
      <c r="B2437" s="2" t="n">
        <v>43219.0281712963</v>
      </c>
      <c r="C2437" t="n">
        <v>0</v>
      </c>
      <c r="D2437" t="n">
        <v>3</v>
      </c>
      <c r="E2437" t="s">
        <v>2407</v>
      </c>
      <c r="F2437" t="s"/>
      <c r="G2437" t="s"/>
      <c r="H2437" t="s"/>
      <c r="I2437" t="s"/>
      <c r="J2437" t="n">
        <v>-0.3875</v>
      </c>
      <c r="K2437" t="n">
        <v>0.107</v>
      </c>
      <c r="L2437" t="n">
        <v>0.893</v>
      </c>
      <c r="M2437" t="n">
        <v>0</v>
      </c>
    </row>
    <row r="2438" spans="1:13">
      <c r="A2438" s="1">
        <f>HYPERLINK("http://www.twitter.com/NathanBLawrence/status/990390336173244416", "990390336173244416")</f>
        <v/>
      </c>
      <c r="B2438" s="2" t="n">
        <v>43219.02813657407</v>
      </c>
      <c r="C2438" t="n">
        <v>0</v>
      </c>
      <c r="D2438" t="n">
        <v>8557</v>
      </c>
      <c r="E2438" t="s">
        <v>2408</v>
      </c>
      <c r="F2438" t="s"/>
      <c r="G2438" t="s"/>
      <c r="H2438" t="s"/>
      <c r="I2438" t="s"/>
      <c r="J2438" t="n">
        <v>0.3595</v>
      </c>
      <c r="K2438" t="n">
        <v>0</v>
      </c>
      <c r="L2438" t="n">
        <v>0.828</v>
      </c>
      <c r="M2438" t="n">
        <v>0.172</v>
      </c>
    </row>
    <row r="2439" spans="1:13">
      <c r="A2439" s="1">
        <f>HYPERLINK("http://www.twitter.com/NathanBLawrence/status/990388827276660736", "990388827276660736")</f>
        <v/>
      </c>
      <c r="B2439" s="2" t="n">
        <v>43219.02396990741</v>
      </c>
      <c r="C2439" t="n">
        <v>0</v>
      </c>
      <c r="D2439" t="n">
        <v>445</v>
      </c>
      <c r="E2439" t="s">
        <v>2409</v>
      </c>
      <c r="F2439" t="s"/>
      <c r="G2439" t="s"/>
      <c r="H2439" t="s"/>
      <c r="I2439" t="s"/>
      <c r="J2439" t="n">
        <v>-0.8316</v>
      </c>
      <c r="K2439" t="n">
        <v>0.35</v>
      </c>
      <c r="L2439" t="n">
        <v>0.584</v>
      </c>
      <c r="M2439" t="n">
        <v>0.066</v>
      </c>
    </row>
    <row r="2440" spans="1:13">
      <c r="A2440" s="1">
        <f>HYPERLINK("http://www.twitter.com/NathanBLawrence/status/990388798784790529", "990388798784790529")</f>
        <v/>
      </c>
      <c r="B2440" s="2" t="n">
        <v>43219.02388888889</v>
      </c>
      <c r="C2440" t="n">
        <v>0</v>
      </c>
      <c r="D2440" t="n">
        <v>11</v>
      </c>
      <c r="E2440" t="s">
        <v>2410</v>
      </c>
      <c r="F2440" t="s"/>
      <c r="G2440" t="s"/>
      <c r="H2440" t="s"/>
      <c r="I2440" t="s"/>
      <c r="J2440" t="n">
        <v>0</v>
      </c>
      <c r="K2440" t="n">
        <v>0</v>
      </c>
      <c r="L2440" t="n">
        <v>1</v>
      </c>
      <c r="M2440" t="n">
        <v>0</v>
      </c>
    </row>
    <row r="2441" spans="1:13">
      <c r="A2441" s="1">
        <f>HYPERLINK("http://www.twitter.com/NathanBLawrence/status/990380874901458944", "990380874901458944")</f>
        <v/>
      </c>
      <c r="B2441" s="2" t="n">
        <v>43219.00202546296</v>
      </c>
      <c r="C2441" t="n">
        <v>0</v>
      </c>
      <c r="D2441" t="n">
        <v>231</v>
      </c>
      <c r="E2441" t="s">
        <v>2411</v>
      </c>
      <c r="F2441" t="s"/>
      <c r="G2441" t="s"/>
      <c r="H2441" t="s"/>
      <c r="I2441" t="s"/>
      <c r="J2441" t="n">
        <v>-0.6597</v>
      </c>
      <c r="K2441" t="n">
        <v>0.197</v>
      </c>
      <c r="L2441" t="n">
        <v>0.803</v>
      </c>
      <c r="M2441" t="n">
        <v>0</v>
      </c>
    </row>
    <row r="2442" spans="1:13">
      <c r="A2442" s="1">
        <f>HYPERLINK("http://www.twitter.com/NathanBLawrence/status/990380813958242305", "990380813958242305")</f>
        <v/>
      </c>
      <c r="B2442" s="2" t="n">
        <v>43219.00186342592</v>
      </c>
      <c r="C2442" t="n">
        <v>0</v>
      </c>
      <c r="D2442" t="n">
        <v>2762</v>
      </c>
      <c r="E2442" t="s">
        <v>2412</v>
      </c>
      <c r="F2442" t="s"/>
      <c r="G2442" t="s"/>
      <c r="H2442" t="s"/>
      <c r="I2442" t="s"/>
      <c r="J2442" t="n">
        <v>0.4588</v>
      </c>
      <c r="K2442" t="n">
        <v>0.08</v>
      </c>
      <c r="L2442" t="n">
        <v>0.6870000000000001</v>
      </c>
      <c r="M2442" t="n">
        <v>0.233</v>
      </c>
    </row>
    <row r="2443" spans="1:13">
      <c r="A2443" s="1">
        <f>HYPERLINK("http://www.twitter.com/NathanBLawrence/status/990369756237754369", "990369756237754369")</f>
        <v/>
      </c>
      <c r="B2443" s="2" t="n">
        <v>43218.97134259259</v>
      </c>
      <c r="C2443" t="n">
        <v>0</v>
      </c>
      <c r="D2443" t="n">
        <v>5</v>
      </c>
      <c r="E2443" t="s">
        <v>1953</v>
      </c>
      <c r="F2443">
        <f>HYPERLINK("http://pbs.twimg.com/media/Db5_38uWkAYcBlr.jpg", "http://pbs.twimg.com/media/Db5_38uWkAYcBlr.jpg")</f>
        <v/>
      </c>
      <c r="G2443" t="s"/>
      <c r="H2443" t="s"/>
      <c r="I2443" t="s"/>
      <c r="J2443" t="n">
        <v>-0.2103</v>
      </c>
      <c r="K2443" t="n">
        <v>0.233</v>
      </c>
      <c r="L2443" t="n">
        <v>0.5629999999999999</v>
      </c>
      <c r="M2443" t="n">
        <v>0.204</v>
      </c>
    </row>
    <row r="2444" spans="1:13">
      <c r="A2444" s="1">
        <f>HYPERLINK("http://www.twitter.com/NathanBLawrence/status/990369582639706113", "990369582639706113")</f>
        <v/>
      </c>
      <c r="B2444" s="2" t="n">
        <v>43218.97086805556</v>
      </c>
      <c r="C2444" t="n">
        <v>5</v>
      </c>
      <c r="D2444" t="n">
        <v>5</v>
      </c>
      <c r="E2444" t="s">
        <v>2413</v>
      </c>
      <c r="F2444">
        <f>HYPERLINK("http://pbs.twimg.com/media/Db5_38uWkAYcBlr.jpg", "http://pbs.twimg.com/media/Db5_38uWkAYcBlr.jpg")</f>
        <v/>
      </c>
      <c r="G2444" t="s"/>
      <c r="H2444" t="s"/>
      <c r="I2444" t="s"/>
      <c r="J2444" t="n">
        <v>-0.6739000000000001</v>
      </c>
      <c r="K2444" t="n">
        <v>0.245</v>
      </c>
      <c r="L2444" t="n">
        <v>0.617</v>
      </c>
      <c r="M2444" t="n">
        <v>0.138</v>
      </c>
    </row>
    <row r="2445" spans="1:13">
      <c r="A2445" s="1">
        <f>HYPERLINK("http://www.twitter.com/NathanBLawrence/status/990337731506180102", "990337731506180102")</f>
        <v/>
      </c>
      <c r="B2445" s="2" t="n">
        <v>43218.88297453704</v>
      </c>
      <c r="C2445" t="n">
        <v>0</v>
      </c>
      <c r="D2445" t="n">
        <v>18</v>
      </c>
      <c r="E2445" t="s">
        <v>2414</v>
      </c>
      <c r="F2445" t="s"/>
      <c r="G2445" t="s"/>
      <c r="H2445" t="s"/>
      <c r="I2445" t="s"/>
      <c r="J2445" t="n">
        <v>0.5574</v>
      </c>
      <c r="K2445" t="n">
        <v>0</v>
      </c>
      <c r="L2445" t="n">
        <v>0.825</v>
      </c>
      <c r="M2445" t="n">
        <v>0.175</v>
      </c>
    </row>
    <row r="2446" spans="1:13">
      <c r="A2446" s="1">
        <f>HYPERLINK("http://www.twitter.com/NathanBLawrence/status/990335771105202176", "990335771105202176")</f>
        <v/>
      </c>
      <c r="B2446" s="2" t="n">
        <v>43218.87756944444</v>
      </c>
      <c r="C2446" t="n">
        <v>17</v>
      </c>
      <c r="D2446" t="n">
        <v>18</v>
      </c>
      <c r="E2446" t="s">
        <v>2415</v>
      </c>
      <c r="F2446" t="s"/>
      <c r="G2446" t="s"/>
      <c r="H2446" t="s"/>
      <c r="I2446" t="s"/>
      <c r="J2446" t="n">
        <v>0.128</v>
      </c>
      <c r="K2446" t="n">
        <v>0.123</v>
      </c>
      <c r="L2446" t="n">
        <v>0.744</v>
      </c>
      <c r="M2446" t="n">
        <v>0.133</v>
      </c>
    </row>
    <row r="2447" spans="1:13">
      <c r="A2447" s="1">
        <f>HYPERLINK("http://www.twitter.com/NathanBLawrence/status/990328872083312640", "990328872083312640")</f>
        <v/>
      </c>
      <c r="B2447" s="2" t="n">
        <v>43218.85853009259</v>
      </c>
      <c r="C2447" t="n">
        <v>0</v>
      </c>
      <c r="D2447" t="n">
        <v>27</v>
      </c>
      <c r="E2447" t="s">
        <v>2416</v>
      </c>
      <c r="F2447">
        <f>HYPERLINK("http://pbs.twimg.com/media/Dar6YYPXcAAKBny.jpg", "http://pbs.twimg.com/media/Dar6YYPXcAAKBny.jpg")</f>
        <v/>
      </c>
      <c r="G2447">
        <f>HYPERLINK("http://pbs.twimg.com/media/Dar6YYOWkAEWFPg.jpg", "http://pbs.twimg.com/media/Dar6YYOWkAEWFPg.jpg")</f>
        <v/>
      </c>
      <c r="H2447">
        <f>HYPERLINK("http://pbs.twimg.com/media/Dar6bWNX4AA1pq0.jpg", "http://pbs.twimg.com/media/Dar6bWNX4AA1pq0.jpg")</f>
        <v/>
      </c>
      <c r="I2447">
        <f>HYPERLINK("http://pbs.twimg.com/media/Dar6d3CXkAA9AFo.jpg", "http://pbs.twimg.com/media/Dar6d3CXkAA9AFo.jpg")</f>
        <v/>
      </c>
      <c r="J2447" t="n">
        <v>-0.5994</v>
      </c>
      <c r="K2447" t="n">
        <v>0.145</v>
      </c>
      <c r="L2447" t="n">
        <v>0.855</v>
      </c>
      <c r="M2447" t="n">
        <v>0</v>
      </c>
    </row>
    <row r="2448" spans="1:13">
      <c r="A2448" s="1">
        <f>HYPERLINK("http://www.twitter.com/NathanBLawrence/status/990325350164062208", "990325350164062208")</f>
        <v/>
      </c>
      <c r="B2448" s="2" t="n">
        <v>43218.84880787037</v>
      </c>
      <c r="C2448" t="n">
        <v>0</v>
      </c>
      <c r="D2448" t="n">
        <v>72</v>
      </c>
      <c r="E2448" t="s">
        <v>2417</v>
      </c>
      <c r="F2448" t="s"/>
      <c r="G2448" t="s"/>
      <c r="H2448" t="s"/>
      <c r="I2448" t="s"/>
      <c r="J2448" t="n">
        <v>-0.4767</v>
      </c>
      <c r="K2448" t="n">
        <v>0.11</v>
      </c>
      <c r="L2448" t="n">
        <v>0.89</v>
      </c>
      <c r="M2448" t="n">
        <v>0</v>
      </c>
    </row>
    <row r="2449" spans="1:13">
      <c r="A2449" s="1">
        <f>HYPERLINK("http://www.twitter.com/NathanBLawrence/status/990325100347121664", "990325100347121664")</f>
        <v/>
      </c>
      <c r="B2449" s="2" t="n">
        <v>43218.84811342593</v>
      </c>
      <c r="C2449" t="n">
        <v>0</v>
      </c>
      <c r="D2449" t="n">
        <v>1</v>
      </c>
      <c r="E2449" t="s">
        <v>2418</v>
      </c>
      <c r="F2449" t="s"/>
      <c r="G2449" t="s"/>
      <c r="H2449" t="s"/>
      <c r="I2449" t="s"/>
      <c r="J2449" t="n">
        <v>-0.5423</v>
      </c>
      <c r="K2449" t="n">
        <v>0.2</v>
      </c>
      <c r="L2449" t="n">
        <v>0.8</v>
      </c>
      <c r="M2449" t="n">
        <v>0</v>
      </c>
    </row>
    <row r="2450" spans="1:13">
      <c r="A2450" s="1">
        <f>HYPERLINK("http://www.twitter.com/NathanBLawrence/status/990325045657554944", "990325045657554944")</f>
        <v/>
      </c>
      <c r="B2450" s="2" t="n">
        <v>43218.84796296297</v>
      </c>
      <c r="C2450" t="n">
        <v>0</v>
      </c>
      <c r="D2450" t="n">
        <v>2</v>
      </c>
      <c r="E2450" t="s">
        <v>2419</v>
      </c>
      <c r="F2450" t="s"/>
      <c r="G2450" t="s"/>
      <c r="H2450" t="s"/>
      <c r="I2450" t="s"/>
      <c r="J2450" t="n">
        <v>-0.4767</v>
      </c>
      <c r="K2450" t="n">
        <v>0.14</v>
      </c>
      <c r="L2450" t="n">
        <v>0.86</v>
      </c>
      <c r="M2450" t="n">
        <v>0</v>
      </c>
    </row>
    <row r="2451" spans="1:13">
      <c r="A2451" s="1">
        <f>HYPERLINK("http://www.twitter.com/NathanBLawrence/status/990324999390220290", "990324999390220290")</f>
        <v/>
      </c>
      <c r="B2451" s="2" t="n">
        <v>43218.84783564815</v>
      </c>
      <c r="C2451" t="n">
        <v>0</v>
      </c>
      <c r="D2451" t="n">
        <v>1</v>
      </c>
      <c r="E2451" t="s">
        <v>2420</v>
      </c>
      <c r="F2451" t="s"/>
      <c r="G2451" t="s"/>
      <c r="H2451" t="s"/>
      <c r="I2451" t="s"/>
      <c r="J2451" t="n">
        <v>-0.4588</v>
      </c>
      <c r="K2451" t="n">
        <v>0.252</v>
      </c>
      <c r="L2451" t="n">
        <v>0.5669999999999999</v>
      </c>
      <c r="M2451" t="n">
        <v>0.181</v>
      </c>
    </row>
    <row r="2452" spans="1:13">
      <c r="A2452" s="1">
        <f>HYPERLINK("http://www.twitter.com/NathanBLawrence/status/990324985800613894", "990324985800613894")</f>
        <v/>
      </c>
      <c r="B2452" s="2" t="n">
        <v>43218.84780092593</v>
      </c>
      <c r="C2452" t="n">
        <v>0</v>
      </c>
      <c r="D2452" t="n">
        <v>2</v>
      </c>
      <c r="E2452" t="s">
        <v>2421</v>
      </c>
      <c r="F2452" t="s"/>
      <c r="G2452" t="s"/>
      <c r="H2452" t="s"/>
      <c r="I2452" t="s"/>
      <c r="J2452" t="n">
        <v>0</v>
      </c>
      <c r="K2452" t="n">
        <v>0</v>
      </c>
      <c r="L2452" t="n">
        <v>1</v>
      </c>
      <c r="M2452" t="n">
        <v>0</v>
      </c>
    </row>
    <row r="2453" spans="1:13">
      <c r="A2453" s="1">
        <f>HYPERLINK("http://www.twitter.com/NathanBLawrence/status/990324959577890816", "990324959577890816")</f>
        <v/>
      </c>
      <c r="B2453" s="2" t="n">
        <v>43218.84773148148</v>
      </c>
      <c r="C2453" t="n">
        <v>0</v>
      </c>
      <c r="D2453" t="n">
        <v>36</v>
      </c>
      <c r="E2453" t="s">
        <v>2422</v>
      </c>
      <c r="F2453" t="s"/>
      <c r="G2453" t="s"/>
      <c r="H2453" t="s"/>
      <c r="I2453" t="s"/>
      <c r="J2453" t="n">
        <v>-0.3612</v>
      </c>
      <c r="K2453" t="n">
        <v>0.333</v>
      </c>
      <c r="L2453" t="n">
        <v>0.667</v>
      </c>
      <c r="M2453" t="n">
        <v>0</v>
      </c>
    </row>
    <row r="2454" spans="1:13">
      <c r="A2454" s="1">
        <f>HYPERLINK("http://www.twitter.com/NathanBLawrence/status/990324926375776256", "990324926375776256")</f>
        <v/>
      </c>
      <c r="B2454" s="2" t="n">
        <v>43218.84763888889</v>
      </c>
      <c r="C2454" t="n">
        <v>0</v>
      </c>
      <c r="D2454" t="n">
        <v>4</v>
      </c>
      <c r="E2454" t="s">
        <v>2423</v>
      </c>
      <c r="F2454" t="s"/>
      <c r="G2454" t="s"/>
      <c r="H2454" t="s"/>
      <c r="I2454" t="s"/>
      <c r="J2454" t="n">
        <v>0.4574</v>
      </c>
      <c r="K2454" t="n">
        <v>0.077</v>
      </c>
      <c r="L2454" t="n">
        <v>0.772</v>
      </c>
      <c r="M2454" t="n">
        <v>0.15</v>
      </c>
    </row>
    <row r="2455" spans="1:13">
      <c r="A2455" s="1">
        <f>HYPERLINK("http://www.twitter.com/NathanBLawrence/status/990323510701645830", "990323510701645830")</f>
        <v/>
      </c>
      <c r="B2455" s="2" t="n">
        <v>43218.84372685185</v>
      </c>
      <c r="C2455" t="n">
        <v>0</v>
      </c>
      <c r="D2455" t="n">
        <v>0</v>
      </c>
      <c r="E2455" t="s">
        <v>2424</v>
      </c>
      <c r="F2455">
        <f>HYPERLINK("http://pbs.twimg.com/media/Db5V-ARW0AIFKJq.jpg", "http://pbs.twimg.com/media/Db5V-ARW0AIFKJq.jpg")</f>
        <v/>
      </c>
      <c r="G2455" t="s"/>
      <c r="H2455" t="s"/>
      <c r="I2455" t="s"/>
      <c r="J2455" t="n">
        <v>0</v>
      </c>
      <c r="K2455" t="n">
        <v>0</v>
      </c>
      <c r="L2455" t="n">
        <v>1</v>
      </c>
      <c r="M2455" t="n">
        <v>0</v>
      </c>
    </row>
    <row r="2456" spans="1:13">
      <c r="A2456" s="1">
        <f>HYPERLINK("http://www.twitter.com/NathanBLawrence/status/990322544757608449", "990322544757608449")</f>
        <v/>
      </c>
      <c r="B2456" s="2" t="n">
        <v>43218.84106481481</v>
      </c>
      <c r="C2456" t="n">
        <v>0</v>
      </c>
      <c r="D2456" t="n">
        <v>350</v>
      </c>
      <c r="E2456" t="s">
        <v>2425</v>
      </c>
      <c r="F2456" t="s"/>
      <c r="G2456" t="s"/>
      <c r="H2456" t="s"/>
      <c r="I2456" t="s"/>
      <c r="J2456" t="n">
        <v>0</v>
      </c>
      <c r="K2456" t="n">
        <v>0</v>
      </c>
      <c r="L2456" t="n">
        <v>1</v>
      </c>
      <c r="M2456" t="n">
        <v>0</v>
      </c>
    </row>
    <row r="2457" spans="1:13">
      <c r="A2457" s="1">
        <f>HYPERLINK("http://www.twitter.com/NathanBLawrence/status/990322518106963968", "990322518106963968")</f>
        <v/>
      </c>
      <c r="B2457" s="2" t="n">
        <v>43218.84099537037</v>
      </c>
      <c r="C2457" t="n">
        <v>0</v>
      </c>
      <c r="D2457" t="n">
        <v>1349</v>
      </c>
      <c r="E2457" t="s">
        <v>2426</v>
      </c>
      <c r="F2457" t="s"/>
      <c r="G2457" t="s"/>
      <c r="H2457" t="s"/>
      <c r="I2457" t="s"/>
      <c r="J2457" t="n">
        <v>0</v>
      </c>
      <c r="K2457" t="n">
        <v>0</v>
      </c>
      <c r="L2457" t="n">
        <v>1</v>
      </c>
      <c r="M2457" t="n">
        <v>0</v>
      </c>
    </row>
    <row r="2458" spans="1:13">
      <c r="A2458" s="1">
        <f>HYPERLINK("http://www.twitter.com/NathanBLawrence/status/990322502265196547", "990322502265196547")</f>
        <v/>
      </c>
      <c r="B2458" s="2" t="n">
        <v>43218.84094907407</v>
      </c>
      <c r="C2458" t="n">
        <v>0</v>
      </c>
      <c r="D2458" t="n">
        <v>3971</v>
      </c>
      <c r="E2458" t="s">
        <v>2427</v>
      </c>
      <c r="F2458" t="s"/>
      <c r="G2458" t="s"/>
      <c r="H2458" t="s"/>
      <c r="I2458" t="s"/>
      <c r="J2458" t="n">
        <v>-0.5266999999999999</v>
      </c>
      <c r="K2458" t="n">
        <v>0.211</v>
      </c>
      <c r="L2458" t="n">
        <v>0.6830000000000001</v>
      </c>
      <c r="M2458" t="n">
        <v>0.106</v>
      </c>
    </row>
    <row r="2459" spans="1:13">
      <c r="A2459" s="1">
        <f>HYPERLINK("http://www.twitter.com/NathanBLawrence/status/990322463581130753", "990322463581130753")</f>
        <v/>
      </c>
      <c r="B2459" s="2" t="n">
        <v>43218.8408449074</v>
      </c>
      <c r="C2459" t="n">
        <v>0</v>
      </c>
      <c r="D2459" t="n">
        <v>89</v>
      </c>
      <c r="E2459" t="s">
        <v>2428</v>
      </c>
      <c r="F2459" t="s"/>
      <c r="G2459" t="s"/>
      <c r="H2459" t="s"/>
      <c r="I2459" t="s"/>
      <c r="J2459" t="n">
        <v>0.4019</v>
      </c>
      <c r="K2459" t="n">
        <v>0</v>
      </c>
      <c r="L2459" t="n">
        <v>0.856</v>
      </c>
      <c r="M2459" t="n">
        <v>0.144</v>
      </c>
    </row>
    <row r="2460" spans="1:13">
      <c r="A2460" s="1">
        <f>HYPERLINK("http://www.twitter.com/NathanBLawrence/status/990322275806261248", "990322275806261248")</f>
        <v/>
      </c>
      <c r="B2460" s="2" t="n">
        <v>43218.84032407407</v>
      </c>
      <c r="C2460" t="n">
        <v>7</v>
      </c>
      <c r="D2460" t="n">
        <v>5</v>
      </c>
      <c r="E2460" t="s">
        <v>2429</v>
      </c>
      <c r="F2460">
        <f>HYPERLINK("http://pbs.twimg.com/media/Db5U2CAXUAA9QIp.jpg", "http://pbs.twimg.com/media/Db5U2CAXUAA9QIp.jpg")</f>
        <v/>
      </c>
      <c r="G2460" t="s"/>
      <c r="H2460" t="s"/>
      <c r="I2460" t="s"/>
      <c r="J2460" t="n">
        <v>0</v>
      </c>
      <c r="K2460" t="n">
        <v>0</v>
      </c>
      <c r="L2460" t="n">
        <v>1</v>
      </c>
      <c r="M2460" t="n">
        <v>0</v>
      </c>
    </row>
    <row r="2461" spans="1:13">
      <c r="A2461" s="1">
        <f>HYPERLINK("http://www.twitter.com/NathanBLawrence/status/990321889926156288", "990321889926156288")</f>
        <v/>
      </c>
      <c r="B2461" s="2" t="n">
        <v>43218.83925925926</v>
      </c>
      <c r="C2461" t="n">
        <v>0</v>
      </c>
      <c r="D2461" t="n">
        <v>10</v>
      </c>
      <c r="E2461" t="s">
        <v>2430</v>
      </c>
      <c r="F2461">
        <f>HYPERLINK("http://pbs.twimg.com/media/Db5UeepWsAEtn7b.jpg", "http://pbs.twimg.com/media/Db5UeepWsAEtn7b.jpg")</f>
        <v/>
      </c>
      <c r="G2461" t="s"/>
      <c r="H2461" t="s"/>
      <c r="I2461" t="s"/>
      <c r="J2461" t="n">
        <v>-0.5719</v>
      </c>
      <c r="K2461" t="n">
        <v>0.209</v>
      </c>
      <c r="L2461" t="n">
        <v>0.791</v>
      </c>
      <c r="M2461" t="n">
        <v>0</v>
      </c>
    </row>
    <row r="2462" spans="1:13">
      <c r="A2462" s="1">
        <f>HYPERLINK("http://www.twitter.com/NathanBLawrence/status/990321865657864192", "990321865657864192")</f>
        <v/>
      </c>
      <c r="B2462" s="2" t="n">
        <v>43218.83918981482</v>
      </c>
      <c r="C2462" t="n">
        <v>12</v>
      </c>
      <c r="D2462" t="n">
        <v>10</v>
      </c>
      <c r="E2462" t="s">
        <v>2431</v>
      </c>
      <c r="F2462">
        <f>HYPERLINK("http://pbs.twimg.com/media/Db5UeepWsAEtn7b.jpg", "http://pbs.twimg.com/media/Db5UeepWsAEtn7b.jpg")</f>
        <v/>
      </c>
      <c r="G2462" t="s"/>
      <c r="H2462" t="s"/>
      <c r="I2462" t="s"/>
      <c r="J2462" t="n">
        <v>-0.5719</v>
      </c>
      <c r="K2462" t="n">
        <v>0.236</v>
      </c>
      <c r="L2462" t="n">
        <v>0.764</v>
      </c>
      <c r="M2462" t="n">
        <v>0</v>
      </c>
    </row>
    <row r="2463" spans="1:13">
      <c r="A2463" s="1">
        <f>HYPERLINK("http://www.twitter.com/NathanBLawrence/status/990319215725989889", "990319215725989889")</f>
        <v/>
      </c>
      <c r="B2463" s="2" t="n">
        <v>43218.831875</v>
      </c>
      <c r="C2463" t="n">
        <v>2</v>
      </c>
      <c r="D2463" t="n">
        <v>0</v>
      </c>
      <c r="E2463" t="s">
        <v>2432</v>
      </c>
      <c r="F2463">
        <f>HYPERLINK("http://pbs.twimg.com/media/Db5SEo6WAAEdSzZ.jpg", "http://pbs.twimg.com/media/Db5SEo6WAAEdSzZ.jpg")</f>
        <v/>
      </c>
      <c r="G2463" t="s"/>
      <c r="H2463" t="s"/>
      <c r="I2463" t="s"/>
      <c r="J2463" t="n">
        <v>0</v>
      </c>
      <c r="K2463" t="n">
        <v>0</v>
      </c>
      <c r="L2463" t="n">
        <v>1</v>
      </c>
      <c r="M2463" t="n">
        <v>0</v>
      </c>
    </row>
    <row r="2464" spans="1:13">
      <c r="A2464" s="1">
        <f>HYPERLINK("http://www.twitter.com/NathanBLawrence/status/990319028852928512", "990319028852928512")</f>
        <v/>
      </c>
      <c r="B2464" s="2" t="n">
        <v>43218.83136574074</v>
      </c>
      <c r="C2464" t="n">
        <v>0</v>
      </c>
      <c r="D2464" t="n">
        <v>8</v>
      </c>
      <c r="E2464" t="s">
        <v>2433</v>
      </c>
      <c r="F2464" t="s"/>
      <c r="G2464" t="s"/>
      <c r="H2464" t="s"/>
      <c r="I2464" t="s"/>
      <c r="J2464" t="n">
        <v>0.3182</v>
      </c>
      <c r="K2464" t="n">
        <v>0</v>
      </c>
      <c r="L2464" t="n">
        <v>0.881</v>
      </c>
      <c r="M2464" t="n">
        <v>0.119</v>
      </c>
    </row>
    <row r="2465" spans="1:13">
      <c r="A2465" s="1">
        <f>HYPERLINK("http://www.twitter.com/NathanBLawrence/status/990302710388936704", "990302710388936704")</f>
        <v/>
      </c>
      <c r="B2465" s="2" t="n">
        <v>43218.78633101852</v>
      </c>
      <c r="C2465" t="n">
        <v>0</v>
      </c>
      <c r="D2465" t="n">
        <v>332</v>
      </c>
      <c r="E2465" t="s">
        <v>2434</v>
      </c>
      <c r="F2465" t="s"/>
      <c r="G2465" t="s"/>
      <c r="H2465" t="s"/>
      <c r="I2465" t="s"/>
      <c r="J2465" t="n">
        <v>0.4019</v>
      </c>
      <c r="K2465" t="n">
        <v>0</v>
      </c>
      <c r="L2465" t="n">
        <v>0.8159999999999999</v>
      </c>
      <c r="M2465" t="n">
        <v>0.184</v>
      </c>
    </row>
    <row r="2466" spans="1:13">
      <c r="A2466" s="1">
        <f>HYPERLINK("http://www.twitter.com/NathanBLawrence/status/990302010749739012", "990302010749739012")</f>
        <v/>
      </c>
      <c r="B2466" s="2" t="n">
        <v>43218.78439814815</v>
      </c>
      <c r="C2466" t="n">
        <v>0</v>
      </c>
      <c r="D2466" t="n">
        <v>53319</v>
      </c>
      <c r="E2466" t="s">
        <v>2435</v>
      </c>
      <c r="F2466" t="s"/>
      <c r="G2466" t="s"/>
      <c r="H2466" t="s"/>
      <c r="I2466" t="s"/>
      <c r="J2466" t="n">
        <v>-0.7096</v>
      </c>
      <c r="K2466" t="n">
        <v>0.218</v>
      </c>
      <c r="L2466" t="n">
        <v>0.737</v>
      </c>
      <c r="M2466" t="n">
        <v>0.046</v>
      </c>
    </row>
    <row r="2467" spans="1:13">
      <c r="A2467" s="1">
        <f>HYPERLINK("http://www.twitter.com/NathanBLawrence/status/990301988268269573", "990301988268269573")</f>
        <v/>
      </c>
      <c r="B2467" s="2" t="n">
        <v>43218.78434027778</v>
      </c>
      <c r="C2467" t="n">
        <v>0</v>
      </c>
      <c r="D2467" t="n">
        <v>58</v>
      </c>
      <c r="E2467" t="s">
        <v>2436</v>
      </c>
      <c r="F2467" t="s"/>
      <c r="G2467" t="s"/>
      <c r="H2467" t="s"/>
      <c r="I2467" t="s"/>
      <c r="J2467" t="n">
        <v>-0.128</v>
      </c>
      <c r="K2467" t="n">
        <v>0.109</v>
      </c>
      <c r="L2467" t="n">
        <v>0.8</v>
      </c>
      <c r="M2467" t="n">
        <v>0.091</v>
      </c>
    </row>
    <row r="2468" spans="1:13">
      <c r="A2468" s="1">
        <f>HYPERLINK("http://www.twitter.com/NathanBLawrence/status/990295457078431744", "990295457078431744")</f>
        <v/>
      </c>
      <c r="B2468" s="2" t="n">
        <v>43218.76631944445</v>
      </c>
      <c r="C2468" t="n">
        <v>0</v>
      </c>
      <c r="D2468" t="n">
        <v>6</v>
      </c>
      <c r="E2468" t="s">
        <v>2437</v>
      </c>
      <c r="F2468">
        <f>HYPERLINK("http://pbs.twimg.com/media/Db4P_5dWsAAyVMC.jpg", "http://pbs.twimg.com/media/Db4P_5dWsAAyVMC.jpg")</f>
        <v/>
      </c>
      <c r="G2468" t="s"/>
      <c r="H2468" t="s"/>
      <c r="I2468" t="s"/>
      <c r="J2468" t="n">
        <v>-0.25</v>
      </c>
      <c r="K2468" t="n">
        <v>0.201</v>
      </c>
      <c r="L2468" t="n">
        <v>0.652</v>
      </c>
      <c r="M2468" t="n">
        <v>0.147</v>
      </c>
    </row>
    <row r="2469" spans="1:13">
      <c r="A2469" s="1">
        <f>HYPERLINK("http://www.twitter.com/NathanBLawrence/status/990294517776601090", "990294517776601090")</f>
        <v/>
      </c>
      <c r="B2469" s="2" t="n">
        <v>43218.76372685185</v>
      </c>
      <c r="C2469" t="n">
        <v>0</v>
      </c>
      <c r="D2469" t="n">
        <v>0</v>
      </c>
      <c r="E2469" t="s">
        <v>2438</v>
      </c>
      <c r="F2469" t="s"/>
      <c r="G2469" t="s"/>
      <c r="H2469" t="s"/>
      <c r="I2469" t="s"/>
      <c r="J2469" t="n">
        <v>0</v>
      </c>
      <c r="K2469" t="n">
        <v>0</v>
      </c>
      <c r="L2469" t="n">
        <v>1</v>
      </c>
      <c r="M2469" t="n">
        <v>0</v>
      </c>
    </row>
    <row r="2470" spans="1:13">
      <c r="A2470" s="1">
        <f>HYPERLINK("http://www.twitter.com/NathanBLawrence/status/990280358162780160", "990280358162780160")</f>
        <v/>
      </c>
      <c r="B2470" s="2" t="n">
        <v>43218.72465277778</v>
      </c>
      <c r="C2470" t="n">
        <v>0</v>
      </c>
      <c r="D2470" t="n">
        <v>25716</v>
      </c>
      <c r="E2470" t="s">
        <v>2439</v>
      </c>
      <c r="F2470" t="s"/>
      <c r="G2470" t="s"/>
      <c r="H2470" t="s"/>
      <c r="I2470" t="s"/>
      <c r="J2470" t="n">
        <v>0</v>
      </c>
      <c r="K2470" t="n">
        <v>0</v>
      </c>
      <c r="L2470" t="n">
        <v>1</v>
      </c>
      <c r="M2470" t="n">
        <v>0</v>
      </c>
    </row>
    <row r="2471" spans="1:13">
      <c r="A2471" s="1">
        <f>HYPERLINK("http://www.twitter.com/NathanBLawrence/status/990280207834779648", "990280207834779648")</f>
        <v/>
      </c>
      <c r="B2471" s="2" t="n">
        <v>43218.72423611111</v>
      </c>
      <c r="C2471" t="n">
        <v>0</v>
      </c>
      <c r="D2471" t="n">
        <v>808</v>
      </c>
      <c r="E2471" t="s">
        <v>2440</v>
      </c>
      <c r="F2471" t="s"/>
      <c r="G2471" t="s"/>
      <c r="H2471" t="s"/>
      <c r="I2471" t="s"/>
      <c r="J2471" t="n">
        <v>0.4767</v>
      </c>
      <c r="K2471" t="n">
        <v>0</v>
      </c>
      <c r="L2471" t="n">
        <v>0.843</v>
      </c>
      <c r="M2471" t="n">
        <v>0.157</v>
      </c>
    </row>
    <row r="2472" spans="1:13">
      <c r="A2472" s="1">
        <f>HYPERLINK("http://www.twitter.com/NathanBLawrence/status/990280024128450561", "990280024128450561")</f>
        <v/>
      </c>
      <c r="B2472" s="2" t="n">
        <v>43218.72372685185</v>
      </c>
      <c r="C2472" t="n">
        <v>0</v>
      </c>
      <c r="D2472" t="n">
        <v>3</v>
      </c>
      <c r="E2472" t="s">
        <v>2441</v>
      </c>
      <c r="F2472" t="s"/>
      <c r="G2472" t="s"/>
      <c r="H2472" t="s"/>
      <c r="I2472" t="s"/>
      <c r="J2472" t="n">
        <v>-0.34</v>
      </c>
      <c r="K2472" t="n">
        <v>0.118</v>
      </c>
      <c r="L2472" t="n">
        <v>0.882</v>
      </c>
      <c r="M2472" t="n">
        <v>0</v>
      </c>
    </row>
    <row r="2473" spans="1:13">
      <c r="A2473" s="1">
        <f>HYPERLINK("http://www.twitter.com/NathanBLawrence/status/990279895929556992", "990279895929556992")</f>
        <v/>
      </c>
      <c r="B2473" s="2" t="n">
        <v>43218.72337962963</v>
      </c>
      <c r="C2473" t="n">
        <v>0</v>
      </c>
      <c r="D2473" t="n">
        <v>1080</v>
      </c>
      <c r="E2473" t="s">
        <v>2442</v>
      </c>
      <c r="F2473" t="s"/>
      <c r="G2473" t="s"/>
      <c r="H2473" t="s"/>
      <c r="I2473" t="s"/>
      <c r="J2473" t="n">
        <v>0</v>
      </c>
      <c r="K2473" t="n">
        <v>0</v>
      </c>
      <c r="L2473" t="n">
        <v>1</v>
      </c>
      <c r="M2473" t="n">
        <v>0</v>
      </c>
    </row>
    <row r="2474" spans="1:13">
      <c r="A2474" s="1">
        <f>HYPERLINK("http://www.twitter.com/NathanBLawrence/status/990279875293564930", "990279875293564930")</f>
        <v/>
      </c>
      <c r="B2474" s="2" t="n">
        <v>43218.72332175926</v>
      </c>
      <c r="C2474" t="n">
        <v>0</v>
      </c>
      <c r="D2474" t="n">
        <v>6</v>
      </c>
      <c r="E2474" t="s">
        <v>2443</v>
      </c>
      <c r="F2474" t="s"/>
      <c r="G2474" t="s"/>
      <c r="H2474" t="s"/>
      <c r="I2474" t="s"/>
      <c r="J2474" t="n">
        <v>0.5423</v>
      </c>
      <c r="K2474" t="n">
        <v>0</v>
      </c>
      <c r="L2474" t="n">
        <v>0.8159999999999999</v>
      </c>
      <c r="M2474" t="n">
        <v>0.184</v>
      </c>
    </row>
    <row r="2475" spans="1:13">
      <c r="A2475" s="1">
        <f>HYPERLINK("http://www.twitter.com/NathanBLawrence/status/990279858688315392", "990279858688315392")</f>
        <v/>
      </c>
      <c r="B2475" s="2" t="n">
        <v>43218.72327546297</v>
      </c>
      <c r="C2475" t="n">
        <v>0</v>
      </c>
      <c r="D2475" t="n">
        <v>18707</v>
      </c>
      <c r="E2475" t="s">
        <v>2444</v>
      </c>
      <c r="F2475" t="s"/>
      <c r="G2475" t="s"/>
      <c r="H2475" t="s"/>
      <c r="I2475" t="s"/>
      <c r="J2475" t="n">
        <v>0.6249</v>
      </c>
      <c r="K2475" t="n">
        <v>0</v>
      </c>
      <c r="L2475" t="n">
        <v>0.837</v>
      </c>
      <c r="M2475" t="n">
        <v>0.163</v>
      </c>
    </row>
    <row r="2476" spans="1:13">
      <c r="A2476" s="1">
        <f>HYPERLINK("http://www.twitter.com/NathanBLawrence/status/990279833673486336", "990279833673486336")</f>
        <v/>
      </c>
      <c r="B2476" s="2" t="n">
        <v>43218.72320601852</v>
      </c>
      <c r="C2476" t="n">
        <v>0</v>
      </c>
      <c r="D2476" t="n">
        <v>4</v>
      </c>
      <c r="E2476" t="s">
        <v>2445</v>
      </c>
      <c r="F2476" t="s"/>
      <c r="G2476" t="s"/>
      <c r="H2476" t="s"/>
      <c r="I2476" t="s"/>
      <c r="J2476" t="n">
        <v>0.6249</v>
      </c>
      <c r="K2476" t="n">
        <v>0</v>
      </c>
      <c r="L2476" t="n">
        <v>0.773</v>
      </c>
      <c r="M2476" t="n">
        <v>0.227</v>
      </c>
    </row>
    <row r="2477" spans="1:13">
      <c r="A2477" s="1">
        <f>HYPERLINK("http://www.twitter.com/NathanBLawrence/status/990279650357194752", "990279650357194752")</f>
        <v/>
      </c>
      <c r="B2477" s="2" t="n">
        <v>43218.72269675926</v>
      </c>
      <c r="C2477" t="n">
        <v>0</v>
      </c>
      <c r="D2477" t="n">
        <v>15</v>
      </c>
      <c r="E2477" t="s">
        <v>2446</v>
      </c>
      <c r="F2477">
        <f>HYPERLINK("http://pbs.twimg.com/media/Db4uD-YWAAAmp1Q.jpg", "http://pbs.twimg.com/media/Db4uD-YWAAAmp1Q.jpg")</f>
        <v/>
      </c>
      <c r="G2477" t="s"/>
      <c r="H2477" t="s"/>
      <c r="I2477" t="s"/>
      <c r="J2477" t="n">
        <v>0</v>
      </c>
      <c r="K2477" t="n">
        <v>0</v>
      </c>
      <c r="L2477" t="n">
        <v>1</v>
      </c>
      <c r="M2477" t="n">
        <v>0</v>
      </c>
    </row>
    <row r="2478" spans="1:13">
      <c r="A2478" s="1">
        <f>HYPERLINK("http://www.twitter.com/NathanBLawrence/status/990279630191054848", "990279630191054848")</f>
        <v/>
      </c>
      <c r="B2478" s="2" t="n">
        <v>43218.72265046297</v>
      </c>
      <c r="C2478" t="n">
        <v>24</v>
      </c>
      <c r="D2478" t="n">
        <v>15</v>
      </c>
      <c r="E2478" t="s">
        <v>2447</v>
      </c>
      <c r="F2478">
        <f>HYPERLINK("http://pbs.twimg.com/media/Db4uD-YWAAAmp1Q.jpg", "http://pbs.twimg.com/media/Db4uD-YWAAAmp1Q.jpg")</f>
        <v/>
      </c>
      <c r="G2478" t="s"/>
      <c r="H2478" t="s"/>
      <c r="I2478" t="s"/>
      <c r="J2478" t="n">
        <v>0</v>
      </c>
      <c r="K2478" t="n">
        <v>0</v>
      </c>
      <c r="L2478" t="n">
        <v>1</v>
      </c>
      <c r="M2478" t="n">
        <v>0</v>
      </c>
    </row>
    <row r="2479" spans="1:13">
      <c r="A2479" s="1">
        <f>HYPERLINK("http://www.twitter.com/NathanBLawrence/status/990273626053271554", "990273626053271554")</f>
        <v/>
      </c>
      <c r="B2479" s="2" t="n">
        <v>43218.70607638889</v>
      </c>
      <c r="C2479" t="n">
        <v>0</v>
      </c>
      <c r="D2479" t="n">
        <v>115</v>
      </c>
      <c r="E2479" t="s">
        <v>2448</v>
      </c>
      <c r="F2479">
        <f>HYPERLINK("http://pbs.twimg.com/media/Db4l7N-XcAA0iFi.jpg", "http://pbs.twimg.com/media/Db4l7N-XcAA0iFi.jpg")</f>
        <v/>
      </c>
      <c r="G2479" t="s"/>
      <c r="H2479" t="s"/>
      <c r="I2479" t="s"/>
      <c r="J2479" t="n">
        <v>0.2732</v>
      </c>
      <c r="K2479" t="n">
        <v>0</v>
      </c>
      <c r="L2479" t="n">
        <v>0.87</v>
      </c>
      <c r="M2479" t="n">
        <v>0.13</v>
      </c>
    </row>
    <row r="2480" spans="1:13">
      <c r="A2480" s="1">
        <f>HYPERLINK("http://www.twitter.com/NathanBLawrence/status/990273468427010048", "990273468427010048")</f>
        <v/>
      </c>
      <c r="B2480" s="2" t="n">
        <v>43218.70563657407</v>
      </c>
      <c r="C2480" t="n">
        <v>0</v>
      </c>
      <c r="D2480" t="n">
        <v>10</v>
      </c>
      <c r="E2480" t="s">
        <v>2449</v>
      </c>
      <c r="F2480" t="s"/>
      <c r="G2480" t="s"/>
      <c r="H2480" t="s"/>
      <c r="I2480" t="s"/>
      <c r="J2480" t="n">
        <v>-0.4023</v>
      </c>
      <c r="K2480" t="n">
        <v>0.119</v>
      </c>
      <c r="L2480" t="n">
        <v>0.881</v>
      </c>
      <c r="M2480" t="n">
        <v>0</v>
      </c>
    </row>
    <row r="2481" spans="1:13">
      <c r="A2481" s="1">
        <f>HYPERLINK("http://www.twitter.com/NathanBLawrence/status/990273276684439553", "990273276684439553")</f>
        <v/>
      </c>
      <c r="B2481" s="2" t="n">
        <v>43218.70511574074</v>
      </c>
      <c r="C2481" t="n">
        <v>0</v>
      </c>
      <c r="D2481" t="n">
        <v>8</v>
      </c>
      <c r="E2481" t="s">
        <v>2450</v>
      </c>
      <c r="F2481" t="s"/>
      <c r="G2481" t="s"/>
      <c r="H2481" t="s"/>
      <c r="I2481" t="s"/>
      <c r="J2481" t="n">
        <v>-0.1926</v>
      </c>
      <c r="K2481" t="n">
        <v>0.081</v>
      </c>
      <c r="L2481" t="n">
        <v>0.919</v>
      </c>
      <c r="M2481" t="n">
        <v>0</v>
      </c>
    </row>
    <row r="2482" spans="1:13">
      <c r="A2482" s="1">
        <f>HYPERLINK("http://www.twitter.com/NathanBLawrence/status/990270418979377153", "990270418979377153")</f>
        <v/>
      </c>
      <c r="B2482" s="2" t="n">
        <v>43218.69722222222</v>
      </c>
      <c r="C2482" t="n">
        <v>0</v>
      </c>
      <c r="D2482" t="n">
        <v>6</v>
      </c>
      <c r="E2482" t="s">
        <v>2451</v>
      </c>
      <c r="F2482">
        <f>HYPERLINK("http://pbs.twimg.com/media/DbxKGTjVwAIhzrC.jpg", "http://pbs.twimg.com/media/DbxKGTjVwAIhzrC.jpg")</f>
        <v/>
      </c>
      <c r="G2482" t="s"/>
      <c r="H2482" t="s"/>
      <c r="I2482" t="s"/>
      <c r="J2482" t="n">
        <v>0</v>
      </c>
      <c r="K2482" t="n">
        <v>0</v>
      </c>
      <c r="L2482" t="n">
        <v>1</v>
      </c>
      <c r="M2482" t="n">
        <v>0</v>
      </c>
    </row>
    <row r="2483" spans="1:13">
      <c r="A2483" s="1">
        <f>HYPERLINK("http://www.twitter.com/NathanBLawrence/status/990270357595619328", "990270357595619328")</f>
        <v/>
      </c>
      <c r="B2483" s="2" t="n">
        <v>43218.69706018519</v>
      </c>
      <c r="C2483" t="n">
        <v>0</v>
      </c>
      <c r="D2483" t="n">
        <v>4</v>
      </c>
      <c r="E2483" t="s">
        <v>2452</v>
      </c>
      <c r="F2483">
        <f>HYPERLINK("http://pbs.twimg.com/media/Db4HpIjUwAEuTRL.jpg", "http://pbs.twimg.com/media/Db4HpIjUwAEuTRL.jpg")</f>
        <v/>
      </c>
      <c r="G2483" t="s"/>
      <c r="H2483" t="s"/>
      <c r="I2483" t="s"/>
      <c r="J2483" t="n">
        <v>0</v>
      </c>
      <c r="K2483" t="n">
        <v>0</v>
      </c>
      <c r="L2483" t="n">
        <v>1</v>
      </c>
      <c r="M2483" t="n">
        <v>0</v>
      </c>
    </row>
    <row r="2484" spans="1:13">
      <c r="A2484" s="1">
        <f>HYPERLINK("http://www.twitter.com/NathanBLawrence/status/990248238811934720", "990248238811934720")</f>
        <v/>
      </c>
      <c r="B2484" s="2" t="n">
        <v>43218.63601851852</v>
      </c>
      <c r="C2484" t="n">
        <v>1</v>
      </c>
      <c r="D2484" t="n">
        <v>0</v>
      </c>
      <c r="E2484" t="s">
        <v>2453</v>
      </c>
      <c r="F2484" t="s"/>
      <c r="G2484" t="s"/>
      <c r="H2484" t="s"/>
      <c r="I2484" t="s"/>
      <c r="J2484" t="n">
        <v>0.4215</v>
      </c>
      <c r="K2484" t="n">
        <v>0</v>
      </c>
      <c r="L2484" t="n">
        <v>0.741</v>
      </c>
      <c r="M2484" t="n">
        <v>0.259</v>
      </c>
    </row>
    <row r="2485" spans="1:13">
      <c r="A2485" s="1">
        <f>HYPERLINK("http://www.twitter.com/NathanBLawrence/status/990248157371084800", "990248157371084800")</f>
        <v/>
      </c>
      <c r="B2485" s="2" t="n">
        <v>43218.63579861111</v>
      </c>
      <c r="C2485" t="n">
        <v>0</v>
      </c>
      <c r="D2485" t="n">
        <v>8</v>
      </c>
      <c r="E2485" t="s">
        <v>2454</v>
      </c>
      <c r="F2485" t="s"/>
      <c r="G2485" t="s"/>
      <c r="H2485" t="s"/>
      <c r="I2485" t="s"/>
      <c r="J2485" t="n">
        <v>0.5185999999999999</v>
      </c>
      <c r="K2485" t="n">
        <v>0.126</v>
      </c>
      <c r="L2485" t="n">
        <v>0.672</v>
      </c>
      <c r="M2485" t="n">
        <v>0.202</v>
      </c>
    </row>
    <row r="2486" spans="1:13">
      <c r="A2486" s="1">
        <f>HYPERLINK("http://www.twitter.com/NathanBLawrence/status/990247024753889286", "990247024753889286")</f>
        <v/>
      </c>
      <c r="B2486" s="2" t="n">
        <v>43218.63267361111</v>
      </c>
      <c r="C2486" t="n">
        <v>13</v>
      </c>
      <c r="D2486" t="n">
        <v>8</v>
      </c>
      <c r="E2486" t="s">
        <v>2455</v>
      </c>
      <c r="F2486" t="s"/>
      <c r="G2486" t="s"/>
      <c r="H2486" t="s"/>
      <c r="I2486" t="s"/>
      <c r="J2486" t="n">
        <v>0.2498</v>
      </c>
      <c r="K2486" t="n">
        <v>0.15</v>
      </c>
      <c r="L2486" t="n">
        <v>0.66</v>
      </c>
      <c r="M2486" t="n">
        <v>0.19</v>
      </c>
    </row>
    <row r="2487" spans="1:13">
      <c r="A2487" s="1">
        <f>HYPERLINK("http://www.twitter.com/NathanBLawrence/status/990246664614137856", "990246664614137856")</f>
        <v/>
      </c>
      <c r="B2487" s="2" t="n">
        <v>43218.63167824074</v>
      </c>
      <c r="C2487" t="n">
        <v>0</v>
      </c>
      <c r="D2487" t="n">
        <v>6</v>
      </c>
      <c r="E2487" t="s">
        <v>2456</v>
      </c>
      <c r="F2487" t="s"/>
      <c r="G2487" t="s"/>
      <c r="H2487" t="s"/>
      <c r="I2487" t="s"/>
      <c r="J2487" t="n">
        <v>-0.6597</v>
      </c>
      <c r="K2487" t="n">
        <v>0.221</v>
      </c>
      <c r="L2487" t="n">
        <v>0.779</v>
      </c>
      <c r="M2487" t="n">
        <v>0</v>
      </c>
    </row>
    <row r="2488" spans="1:13">
      <c r="A2488" s="1">
        <f>HYPERLINK("http://www.twitter.com/NathanBLawrence/status/990246566563852289", "990246566563852289")</f>
        <v/>
      </c>
      <c r="B2488" s="2" t="n">
        <v>43218.63141203704</v>
      </c>
      <c r="C2488" t="n">
        <v>9</v>
      </c>
      <c r="D2488" t="n">
        <v>6</v>
      </c>
      <c r="E2488" t="s">
        <v>2457</v>
      </c>
      <c r="F2488">
        <f>HYPERLINK("http://pbs.twimg.com/media/Db4P_5dWsAAyVMC.jpg", "http://pbs.twimg.com/media/Db4P_5dWsAAyVMC.jpg")</f>
        <v/>
      </c>
      <c r="G2488" t="s"/>
      <c r="H2488" t="s"/>
      <c r="I2488" t="s"/>
      <c r="J2488" t="n">
        <v>-0.25</v>
      </c>
      <c r="K2488" t="n">
        <v>0.226</v>
      </c>
      <c r="L2488" t="n">
        <v>0.61</v>
      </c>
      <c r="M2488" t="n">
        <v>0.165</v>
      </c>
    </row>
    <row r="2489" spans="1:13">
      <c r="A2489" s="1">
        <f>HYPERLINK("http://www.twitter.com/NathanBLawrence/status/990246144855945216", "990246144855945216")</f>
        <v/>
      </c>
      <c r="B2489" s="2" t="n">
        <v>43218.63024305556</v>
      </c>
      <c r="C2489" t="n">
        <v>0</v>
      </c>
      <c r="D2489" t="n">
        <v>11</v>
      </c>
      <c r="E2489" t="s">
        <v>2458</v>
      </c>
      <c r="F2489">
        <f>HYPERLINK("http://pbs.twimg.com/media/Db1um2RWsAE2vv7.jpg", "http://pbs.twimg.com/media/Db1um2RWsAE2vv7.jpg")</f>
        <v/>
      </c>
      <c r="G2489" t="s"/>
      <c r="H2489" t="s"/>
      <c r="I2489" t="s"/>
      <c r="J2489" t="n">
        <v>0</v>
      </c>
      <c r="K2489" t="n">
        <v>0</v>
      </c>
      <c r="L2489" t="n">
        <v>1</v>
      </c>
      <c r="M2489" t="n">
        <v>0</v>
      </c>
    </row>
    <row r="2490" spans="1:13">
      <c r="A2490" s="1">
        <f>HYPERLINK("http://www.twitter.com/NathanBLawrence/status/990246033803358219", "990246033803358219")</f>
        <v/>
      </c>
      <c r="B2490" s="2" t="n">
        <v>43218.62993055556</v>
      </c>
      <c r="C2490" t="n">
        <v>0</v>
      </c>
      <c r="D2490" t="n">
        <v>11</v>
      </c>
      <c r="E2490" t="s">
        <v>2459</v>
      </c>
      <c r="F2490">
        <f>HYPERLINK("http://pbs.twimg.com/media/Db4PSB-VwAEYNJQ.jpg", "http://pbs.twimg.com/media/Db4PSB-VwAEYNJQ.jpg")</f>
        <v/>
      </c>
      <c r="G2490" t="s"/>
      <c r="H2490" t="s"/>
      <c r="I2490" t="s"/>
      <c r="J2490" t="n">
        <v>0</v>
      </c>
      <c r="K2490" t="n">
        <v>0</v>
      </c>
      <c r="L2490" t="n">
        <v>1</v>
      </c>
      <c r="M2490" t="n">
        <v>0</v>
      </c>
    </row>
    <row r="2491" spans="1:13">
      <c r="A2491" s="1">
        <f>HYPERLINK("http://www.twitter.com/NathanBLawrence/status/990245847915954176", "990245847915954176")</f>
        <v/>
      </c>
      <c r="B2491" s="2" t="n">
        <v>43218.6294212963</v>
      </c>
      <c r="C2491" t="n">
        <v>0</v>
      </c>
      <c r="D2491" t="n">
        <v>3</v>
      </c>
      <c r="E2491" t="s">
        <v>2460</v>
      </c>
      <c r="F2491" t="s"/>
      <c r="G2491" t="s"/>
      <c r="H2491" t="s"/>
      <c r="I2491" t="s"/>
      <c r="J2491" t="n">
        <v>-0.8834</v>
      </c>
      <c r="K2491" t="n">
        <v>0.381</v>
      </c>
      <c r="L2491" t="n">
        <v>0.619</v>
      </c>
      <c r="M2491" t="n">
        <v>0</v>
      </c>
    </row>
    <row r="2492" spans="1:13">
      <c r="A2492" s="1">
        <f>HYPERLINK("http://www.twitter.com/NathanBLawrence/status/990245780131864577", "990245780131864577")</f>
        <v/>
      </c>
      <c r="B2492" s="2" t="n">
        <v>43218.62923611111</v>
      </c>
      <c r="C2492" t="n">
        <v>14</v>
      </c>
      <c r="D2492" t="n">
        <v>11</v>
      </c>
      <c r="E2492" t="s">
        <v>2461</v>
      </c>
      <c r="F2492">
        <f>HYPERLINK("http://pbs.twimg.com/media/Db4PSB-VwAEYNJQ.jpg", "http://pbs.twimg.com/media/Db4PSB-VwAEYNJQ.jpg")</f>
        <v/>
      </c>
      <c r="G2492" t="s"/>
      <c r="H2492" t="s"/>
      <c r="I2492" t="s"/>
      <c r="J2492" t="n">
        <v>-0.6705</v>
      </c>
      <c r="K2492" t="n">
        <v>0.127</v>
      </c>
      <c r="L2492" t="n">
        <v>0.8100000000000001</v>
      </c>
      <c r="M2492" t="n">
        <v>0.063</v>
      </c>
    </row>
    <row r="2493" spans="1:13">
      <c r="A2493" s="1">
        <f>HYPERLINK("http://www.twitter.com/NathanBLawrence/status/990245139024105477", "990245139024105477")</f>
        <v/>
      </c>
      <c r="B2493" s="2" t="n">
        <v>43218.62746527778</v>
      </c>
      <c r="C2493" t="n">
        <v>0</v>
      </c>
      <c r="D2493" t="n">
        <v>3</v>
      </c>
      <c r="E2493" t="s">
        <v>2462</v>
      </c>
      <c r="F2493" t="s"/>
      <c r="G2493" t="s"/>
      <c r="H2493" t="s"/>
      <c r="I2493" t="s"/>
      <c r="J2493" t="n">
        <v>0</v>
      </c>
      <c r="K2493" t="n">
        <v>0</v>
      </c>
      <c r="L2493" t="n">
        <v>1</v>
      </c>
      <c r="M2493" t="n">
        <v>0</v>
      </c>
    </row>
    <row r="2494" spans="1:13">
      <c r="A2494" s="1">
        <f>HYPERLINK("http://www.twitter.com/NathanBLawrence/status/990056794092462081", "990056794092462081")</f>
        <v/>
      </c>
      <c r="B2494" s="2" t="n">
        <v>43218.10773148148</v>
      </c>
      <c r="C2494" t="n">
        <v>0</v>
      </c>
      <c r="D2494" t="n">
        <v>9</v>
      </c>
      <c r="E2494" t="s">
        <v>2463</v>
      </c>
      <c r="F2494">
        <f>HYPERLINK("http://pbs.twimg.com/media/Db1ZDqEXkAEBRK9.jpg", "http://pbs.twimg.com/media/Db1ZDqEXkAEBRK9.jpg")</f>
        <v/>
      </c>
      <c r="G2494" t="s"/>
      <c r="H2494" t="s"/>
      <c r="I2494" t="s"/>
      <c r="J2494" t="n">
        <v>-0.6114000000000001</v>
      </c>
      <c r="K2494" t="n">
        <v>0.235</v>
      </c>
      <c r="L2494" t="n">
        <v>0.765</v>
      </c>
      <c r="M2494" t="n">
        <v>0</v>
      </c>
    </row>
    <row r="2495" spans="1:13">
      <c r="A2495" s="1">
        <f>HYPERLINK("http://www.twitter.com/NathanBLawrence/status/990045421023252482", "990045421023252482")</f>
        <v/>
      </c>
      <c r="B2495" s="2" t="n">
        <v>43218.07635416667</v>
      </c>
      <c r="C2495" t="n">
        <v>13</v>
      </c>
      <c r="D2495" t="n">
        <v>9</v>
      </c>
      <c r="E2495" t="s">
        <v>2464</v>
      </c>
      <c r="F2495">
        <f>HYPERLINK("http://pbs.twimg.com/media/Db1ZDqEXkAEBRK9.jpg", "http://pbs.twimg.com/media/Db1ZDqEXkAEBRK9.jpg")</f>
        <v/>
      </c>
      <c r="G2495" t="s"/>
      <c r="H2495" t="s"/>
      <c r="I2495" t="s"/>
      <c r="J2495" t="n">
        <v>-0.6114000000000001</v>
      </c>
      <c r="K2495" t="n">
        <v>0.266</v>
      </c>
      <c r="L2495" t="n">
        <v>0.734</v>
      </c>
      <c r="M2495" t="n">
        <v>0</v>
      </c>
    </row>
    <row r="2496" spans="1:13">
      <c r="A2496" s="1">
        <f>HYPERLINK("http://www.twitter.com/NathanBLawrence/status/990044226334478336", "990044226334478336")</f>
        <v/>
      </c>
      <c r="B2496" s="2" t="n">
        <v>43218.07305555556</v>
      </c>
      <c r="C2496" t="n">
        <v>0</v>
      </c>
      <c r="D2496" t="n">
        <v>17</v>
      </c>
      <c r="E2496" t="s">
        <v>2465</v>
      </c>
      <c r="F2496" t="s"/>
      <c r="G2496" t="s"/>
      <c r="H2496" t="s"/>
      <c r="I2496" t="s"/>
      <c r="J2496" t="n">
        <v>0</v>
      </c>
      <c r="K2496" t="n">
        <v>0</v>
      </c>
      <c r="L2496" t="n">
        <v>1</v>
      </c>
      <c r="M2496" t="n">
        <v>0</v>
      </c>
    </row>
    <row r="2497" spans="1:13">
      <c r="A2497" s="1">
        <f>HYPERLINK("http://www.twitter.com/NathanBLawrence/status/990036994066698240", "990036994066698240")</f>
        <v/>
      </c>
      <c r="B2497" s="2" t="n">
        <v>43218.05310185185</v>
      </c>
      <c r="C2497" t="n">
        <v>0</v>
      </c>
      <c r="D2497" t="n">
        <v>11</v>
      </c>
      <c r="E2497" t="s">
        <v>2466</v>
      </c>
      <c r="F2497">
        <f>HYPERLINK("http://pbs.twimg.com/media/Db1PSSyX0AUKc4H.jpg", "http://pbs.twimg.com/media/Db1PSSyX0AUKc4H.jpg")</f>
        <v/>
      </c>
      <c r="G2497" t="s"/>
      <c r="H2497" t="s"/>
      <c r="I2497" t="s"/>
      <c r="J2497" t="n">
        <v>0</v>
      </c>
      <c r="K2497" t="n">
        <v>0</v>
      </c>
      <c r="L2497" t="n">
        <v>1</v>
      </c>
      <c r="M2497" t="n">
        <v>0</v>
      </c>
    </row>
    <row r="2498" spans="1:13">
      <c r="A2498" s="1">
        <f>HYPERLINK("http://www.twitter.com/NathanBLawrence/status/990034679716896768", "990034679716896768")</f>
        <v/>
      </c>
      <c r="B2498" s="2" t="n">
        <v>43218.04671296296</v>
      </c>
      <c r="C2498" t="n">
        <v>14</v>
      </c>
      <c r="D2498" t="n">
        <v>11</v>
      </c>
      <c r="E2498" t="s">
        <v>2467</v>
      </c>
      <c r="F2498">
        <f>HYPERLINK("http://pbs.twimg.com/media/Db1PSSyX0AUKc4H.jpg", "http://pbs.twimg.com/media/Db1PSSyX0AUKc4H.jpg")</f>
        <v/>
      </c>
      <c r="G2498" t="s"/>
      <c r="H2498" t="s"/>
      <c r="I2498" t="s"/>
      <c r="J2498" t="n">
        <v>0</v>
      </c>
      <c r="K2498" t="n">
        <v>0</v>
      </c>
      <c r="L2498" t="n">
        <v>1</v>
      </c>
      <c r="M2498" t="n">
        <v>0</v>
      </c>
    </row>
    <row r="2499" spans="1:13">
      <c r="A2499" s="1">
        <f>HYPERLINK("http://www.twitter.com/NathanBLawrence/status/990034380277067777", "990034380277067777")</f>
        <v/>
      </c>
      <c r="B2499" s="2" t="n">
        <v>43218.04587962963</v>
      </c>
      <c r="C2499" t="n">
        <v>2</v>
      </c>
      <c r="D2499" t="n">
        <v>1</v>
      </c>
      <c r="E2499" t="s">
        <v>2468</v>
      </c>
      <c r="F2499">
        <f>HYPERLINK("http://pbs.twimg.com/media/Db1PA_cWsAAUysB.jpg", "http://pbs.twimg.com/media/Db1PA_cWsAAUysB.jpg")</f>
        <v/>
      </c>
      <c r="G2499" t="s"/>
      <c r="H2499" t="s"/>
      <c r="I2499" t="s"/>
      <c r="J2499" t="n">
        <v>0</v>
      </c>
      <c r="K2499" t="n">
        <v>0</v>
      </c>
      <c r="L2499" t="n">
        <v>1</v>
      </c>
      <c r="M2499" t="n">
        <v>0</v>
      </c>
    </row>
    <row r="2500" spans="1:13">
      <c r="A2500" s="1">
        <f>HYPERLINK("http://www.twitter.com/NathanBLawrence/status/990034187167195136", "990034187167195136")</f>
        <v/>
      </c>
      <c r="B2500" s="2" t="n">
        <v>43218.04534722222</v>
      </c>
      <c r="C2500" t="n">
        <v>3</v>
      </c>
      <c r="D2500" t="n">
        <v>1</v>
      </c>
      <c r="E2500" t="s">
        <v>2469</v>
      </c>
      <c r="F2500">
        <f>HYPERLINK("http://pbs.twimg.com/media/Db1O1s9W4AACaOQ.jpg", "http://pbs.twimg.com/media/Db1O1s9W4AACaOQ.jpg")</f>
        <v/>
      </c>
      <c r="G2500" t="s"/>
      <c r="H2500" t="s"/>
      <c r="I2500" t="s"/>
      <c r="J2500" t="n">
        <v>0</v>
      </c>
      <c r="K2500" t="n">
        <v>0</v>
      </c>
      <c r="L2500" t="n">
        <v>1</v>
      </c>
      <c r="M2500" t="n">
        <v>0</v>
      </c>
    </row>
    <row r="2501" spans="1:13">
      <c r="A2501" s="1">
        <f>HYPERLINK("http://www.twitter.com/NathanBLawrence/status/990032000030519301", "990032000030519301")</f>
        <v/>
      </c>
      <c r="B2501" s="2" t="n">
        <v>43218.03931712963</v>
      </c>
      <c r="C2501" t="n">
        <v>0</v>
      </c>
      <c r="D2501" t="n">
        <v>6</v>
      </c>
      <c r="E2501" t="s">
        <v>2470</v>
      </c>
      <c r="F2501" t="s"/>
      <c r="G2501" t="s"/>
      <c r="H2501" t="s"/>
      <c r="I2501" t="s"/>
      <c r="J2501" t="n">
        <v>0.0516</v>
      </c>
      <c r="K2501" t="n">
        <v>0.159</v>
      </c>
      <c r="L2501" t="n">
        <v>0.625</v>
      </c>
      <c r="M2501" t="n">
        <v>0.216</v>
      </c>
    </row>
    <row r="2502" spans="1:13">
      <c r="A2502" s="1">
        <f>HYPERLINK("http://www.twitter.com/NathanBLawrence/status/990031774007857153", "990031774007857153")</f>
        <v/>
      </c>
      <c r="B2502" s="2" t="n">
        <v>43218.03869212963</v>
      </c>
      <c r="C2502" t="n">
        <v>0</v>
      </c>
      <c r="D2502" t="n">
        <v>4511</v>
      </c>
      <c r="E2502" t="s">
        <v>2471</v>
      </c>
      <c r="F2502">
        <f>HYPERLINK("http://pbs.twimg.com/media/DbyTqMSWsAANg7O.jpg", "http://pbs.twimg.com/media/DbyTqMSWsAANg7O.jpg")</f>
        <v/>
      </c>
      <c r="G2502" t="s"/>
      <c r="H2502" t="s"/>
      <c r="I2502" t="s"/>
      <c r="J2502" t="n">
        <v>-0.4215</v>
      </c>
      <c r="K2502" t="n">
        <v>0.128</v>
      </c>
      <c r="L2502" t="n">
        <v>0.872</v>
      </c>
      <c r="M2502" t="n">
        <v>0</v>
      </c>
    </row>
    <row r="2503" spans="1:13">
      <c r="A2503" s="1">
        <f>HYPERLINK("http://www.twitter.com/NathanBLawrence/status/990031657276198918", "990031657276198918")</f>
        <v/>
      </c>
      <c r="B2503" s="2" t="n">
        <v>43218.03836805555</v>
      </c>
      <c r="C2503" t="n">
        <v>0</v>
      </c>
      <c r="D2503" t="n">
        <v>1</v>
      </c>
      <c r="E2503" t="s">
        <v>2472</v>
      </c>
      <c r="F2503">
        <f>HYPERLINK("http://pbs.twimg.com/media/Db0yuqYW0AAbaTq.jpg", "http://pbs.twimg.com/media/Db0yuqYW0AAbaTq.jpg")</f>
        <v/>
      </c>
      <c r="G2503" t="s"/>
      <c r="H2503" t="s"/>
      <c r="I2503" t="s"/>
      <c r="J2503" t="n">
        <v>0</v>
      </c>
      <c r="K2503" t="n">
        <v>0</v>
      </c>
      <c r="L2503" t="n">
        <v>1</v>
      </c>
      <c r="M2503" t="n">
        <v>0</v>
      </c>
    </row>
    <row r="2504" spans="1:13">
      <c r="A2504" s="1">
        <f>HYPERLINK("http://www.twitter.com/NathanBLawrence/status/990031610564300803", "990031610564300803")</f>
        <v/>
      </c>
      <c r="B2504" s="2" t="n">
        <v>43218.03824074074</v>
      </c>
      <c r="C2504" t="n">
        <v>0</v>
      </c>
      <c r="D2504" t="n">
        <v>1897</v>
      </c>
      <c r="E2504" t="s">
        <v>2473</v>
      </c>
      <c r="F2504" t="s"/>
      <c r="G2504" t="s"/>
      <c r="H2504" t="s"/>
      <c r="I2504" t="s"/>
      <c r="J2504" t="n">
        <v>-0.0772</v>
      </c>
      <c r="K2504" t="n">
        <v>0.119</v>
      </c>
      <c r="L2504" t="n">
        <v>0.772</v>
      </c>
      <c r="M2504" t="n">
        <v>0.109</v>
      </c>
    </row>
    <row r="2505" spans="1:13">
      <c r="A2505" s="1">
        <f>HYPERLINK("http://www.twitter.com/NathanBLawrence/status/990031590246973440", "990031590246973440")</f>
        <v/>
      </c>
      <c r="B2505" s="2" t="n">
        <v>43218.03818287037</v>
      </c>
      <c r="C2505" t="n">
        <v>0</v>
      </c>
      <c r="D2505" t="n">
        <v>12538</v>
      </c>
      <c r="E2505" t="s">
        <v>2474</v>
      </c>
      <c r="F2505" t="s"/>
      <c r="G2505" t="s"/>
      <c r="H2505" t="s"/>
      <c r="I2505" t="s"/>
      <c r="J2505" t="n">
        <v>0.1779</v>
      </c>
      <c r="K2505" t="n">
        <v>0.08799999999999999</v>
      </c>
      <c r="L2505" t="n">
        <v>0.797</v>
      </c>
      <c r="M2505" t="n">
        <v>0.116</v>
      </c>
    </row>
    <row r="2506" spans="1:13">
      <c r="A2506" s="1">
        <f>HYPERLINK("http://www.twitter.com/NathanBLawrence/status/990031211593641984", "990031211593641984")</f>
        <v/>
      </c>
      <c r="B2506" s="2" t="n">
        <v>43218.03714120371</v>
      </c>
      <c r="C2506" t="n">
        <v>0</v>
      </c>
      <c r="D2506" t="n">
        <v>43</v>
      </c>
      <c r="E2506" t="s">
        <v>2475</v>
      </c>
      <c r="F2506" t="s"/>
      <c r="G2506" t="s"/>
      <c r="H2506" t="s"/>
      <c r="I2506" t="s"/>
      <c r="J2506" t="n">
        <v>0.6988</v>
      </c>
      <c r="K2506" t="n">
        <v>0.052</v>
      </c>
      <c r="L2506" t="n">
        <v>0.73</v>
      </c>
      <c r="M2506" t="n">
        <v>0.218</v>
      </c>
    </row>
    <row r="2507" spans="1:13">
      <c r="A2507" s="1">
        <f>HYPERLINK("http://www.twitter.com/NathanBLawrence/status/990021808312242176", "990021808312242176")</f>
        <v/>
      </c>
      <c r="B2507" s="2" t="n">
        <v>43218.01119212963</v>
      </c>
      <c r="C2507" t="n">
        <v>0</v>
      </c>
      <c r="D2507" t="n">
        <v>16589</v>
      </c>
      <c r="E2507" t="s">
        <v>2476</v>
      </c>
      <c r="F2507">
        <f>HYPERLINK("https://video.twimg.com/ext_tw_video/989822618705498112/pu/vid/640x360/6RRcy1S5BIvHCRUe.mp4?tag=3", "https://video.twimg.com/ext_tw_video/989822618705498112/pu/vid/640x360/6RRcy1S5BIvHCRUe.mp4?tag=3")</f>
        <v/>
      </c>
      <c r="G2507" t="s"/>
      <c r="H2507" t="s"/>
      <c r="I2507" t="s"/>
      <c r="J2507" t="n">
        <v>0.3818</v>
      </c>
      <c r="K2507" t="n">
        <v>0</v>
      </c>
      <c r="L2507" t="n">
        <v>0.867</v>
      </c>
      <c r="M2507" t="n">
        <v>0.133</v>
      </c>
    </row>
    <row r="2508" spans="1:13">
      <c r="A2508" s="1">
        <f>HYPERLINK("http://www.twitter.com/NathanBLawrence/status/990021659997458432", "990021659997458432")</f>
        <v/>
      </c>
      <c r="B2508" s="2" t="n">
        <v>43218.01078703703</v>
      </c>
      <c r="C2508" t="n">
        <v>0</v>
      </c>
      <c r="D2508" t="n">
        <v>12</v>
      </c>
      <c r="E2508" t="s">
        <v>2477</v>
      </c>
      <c r="F2508">
        <f>HYPERLINK("http://pbs.twimg.com/media/Db0-bBPWkAAroey.jpg", "http://pbs.twimg.com/media/Db0-bBPWkAAroey.jpg")</f>
        <v/>
      </c>
      <c r="G2508" t="s"/>
      <c r="H2508" t="s"/>
      <c r="I2508" t="s"/>
      <c r="J2508" t="n">
        <v>0.7985</v>
      </c>
      <c r="K2508" t="n">
        <v>0.118</v>
      </c>
      <c r="L2508" t="n">
        <v>0.577</v>
      </c>
      <c r="M2508" t="n">
        <v>0.305</v>
      </c>
    </row>
    <row r="2509" spans="1:13">
      <c r="A2509" s="1">
        <f>HYPERLINK("http://www.twitter.com/NathanBLawrence/status/990016135360892929", "990016135360892929")</f>
        <v/>
      </c>
      <c r="B2509" s="2" t="n">
        <v>43217.99553240741</v>
      </c>
      <c r="C2509" t="n">
        <v>19</v>
      </c>
      <c r="D2509" t="n">
        <v>12</v>
      </c>
      <c r="E2509" t="s">
        <v>2478</v>
      </c>
      <c r="F2509">
        <f>HYPERLINK("http://pbs.twimg.com/media/Db0-bBPWkAAroey.jpg", "http://pbs.twimg.com/media/Db0-bBPWkAAroey.jpg")</f>
        <v/>
      </c>
      <c r="G2509" t="s"/>
      <c r="H2509" t="s"/>
      <c r="I2509" t="s"/>
      <c r="J2509" t="n">
        <v>-0.5737</v>
      </c>
      <c r="K2509" t="n">
        <v>0.263</v>
      </c>
      <c r="L2509" t="n">
        <v>0.529</v>
      </c>
      <c r="M2509" t="n">
        <v>0.208</v>
      </c>
    </row>
    <row r="2510" spans="1:13">
      <c r="A2510" s="1">
        <f>HYPERLINK("http://www.twitter.com/NathanBLawrence/status/990005308436172801", "990005308436172801")</f>
        <v/>
      </c>
      <c r="B2510" s="2" t="n">
        <v>43217.96565972222</v>
      </c>
      <c r="C2510" t="n">
        <v>0</v>
      </c>
      <c r="D2510" t="n">
        <v>0</v>
      </c>
      <c r="E2510" t="s">
        <v>2479</v>
      </c>
      <c r="F2510" t="s"/>
      <c r="G2510" t="s"/>
      <c r="H2510" t="s"/>
      <c r="I2510" t="s"/>
      <c r="J2510" t="n">
        <v>0</v>
      </c>
      <c r="K2510" t="n">
        <v>0</v>
      </c>
      <c r="L2510" t="n">
        <v>1</v>
      </c>
      <c r="M2510" t="n">
        <v>0</v>
      </c>
    </row>
    <row r="2511" spans="1:13">
      <c r="A2511" s="1">
        <f>HYPERLINK("http://www.twitter.com/NathanBLawrence/status/990005188567142401", "990005188567142401")</f>
        <v/>
      </c>
      <c r="B2511" s="2" t="n">
        <v>43217.96533564815</v>
      </c>
      <c r="C2511" t="n">
        <v>1</v>
      </c>
      <c r="D2511" t="n">
        <v>0</v>
      </c>
      <c r="E2511" t="s">
        <v>2480</v>
      </c>
      <c r="F2511" t="s"/>
      <c r="G2511" t="s"/>
      <c r="H2511" t="s"/>
      <c r="I2511" t="s"/>
      <c r="J2511" t="n">
        <v>0.6969</v>
      </c>
      <c r="K2511" t="n">
        <v>0.07000000000000001</v>
      </c>
      <c r="L2511" t="n">
        <v>0.74</v>
      </c>
      <c r="M2511" t="n">
        <v>0.19</v>
      </c>
    </row>
    <row r="2512" spans="1:13">
      <c r="A2512" s="1">
        <f>HYPERLINK("http://www.twitter.com/NathanBLawrence/status/990004115420930049", "990004115420930049")</f>
        <v/>
      </c>
      <c r="B2512" s="2" t="n">
        <v>43217.96237268519</v>
      </c>
      <c r="C2512" t="n">
        <v>0</v>
      </c>
      <c r="D2512" t="n">
        <v>1568</v>
      </c>
      <c r="E2512" t="s">
        <v>2481</v>
      </c>
      <c r="F2512" t="s"/>
      <c r="G2512" t="s"/>
      <c r="H2512" t="s"/>
      <c r="I2512" t="s"/>
      <c r="J2512" t="n">
        <v>-0.2254</v>
      </c>
      <c r="K2512" t="n">
        <v>0.125</v>
      </c>
      <c r="L2512" t="n">
        <v>0.824</v>
      </c>
      <c r="M2512" t="n">
        <v>0.051</v>
      </c>
    </row>
    <row r="2513" spans="1:13">
      <c r="A2513" s="1">
        <f>HYPERLINK("http://www.twitter.com/NathanBLawrence/status/990000071885447169", "990000071885447169")</f>
        <v/>
      </c>
      <c r="B2513" s="2" t="n">
        <v>43217.95121527778</v>
      </c>
      <c r="C2513" t="n">
        <v>6</v>
      </c>
      <c r="D2513" t="n">
        <v>3</v>
      </c>
      <c r="E2513" t="s">
        <v>2482</v>
      </c>
      <c r="F2513" t="s"/>
      <c r="G2513" t="s"/>
      <c r="H2513" t="s"/>
      <c r="I2513" t="s"/>
      <c r="J2513" t="n">
        <v>-0.7744</v>
      </c>
      <c r="K2513" t="n">
        <v>0.202</v>
      </c>
      <c r="L2513" t="n">
        <v>0.771</v>
      </c>
      <c r="M2513" t="n">
        <v>0.027</v>
      </c>
    </row>
    <row r="2514" spans="1:13">
      <c r="A2514" s="1">
        <f>HYPERLINK("http://www.twitter.com/NathanBLawrence/status/989998706039705608", "989998706039705608")</f>
        <v/>
      </c>
      <c r="B2514" s="2" t="n">
        <v>43217.94744212963</v>
      </c>
      <c r="C2514" t="n">
        <v>0</v>
      </c>
      <c r="D2514" t="n">
        <v>5</v>
      </c>
      <c r="E2514" t="s">
        <v>2483</v>
      </c>
      <c r="F2514" t="s"/>
      <c r="G2514" t="s"/>
      <c r="H2514" t="s"/>
      <c r="I2514" t="s"/>
      <c r="J2514" t="n">
        <v>0.2163</v>
      </c>
      <c r="K2514" t="n">
        <v>0.189</v>
      </c>
      <c r="L2514" t="n">
        <v>0.594</v>
      </c>
      <c r="M2514" t="n">
        <v>0.217</v>
      </c>
    </row>
    <row r="2515" spans="1:13">
      <c r="A2515" s="1">
        <f>HYPERLINK("http://www.twitter.com/NathanBLawrence/status/989998680743624704", "989998680743624704")</f>
        <v/>
      </c>
      <c r="B2515" s="2" t="n">
        <v>43217.94737268519</v>
      </c>
      <c r="C2515" t="n">
        <v>0</v>
      </c>
      <c r="D2515" t="n">
        <v>3</v>
      </c>
      <c r="E2515" t="s">
        <v>2484</v>
      </c>
      <c r="F2515" t="s"/>
      <c r="G2515" t="s"/>
      <c r="H2515" t="s"/>
      <c r="I2515" t="s"/>
      <c r="J2515" t="n">
        <v>-0.1531</v>
      </c>
      <c r="K2515" t="n">
        <v>0.065</v>
      </c>
      <c r="L2515" t="n">
        <v>0.9350000000000001</v>
      </c>
      <c r="M2515" t="n">
        <v>0</v>
      </c>
    </row>
    <row r="2516" spans="1:13">
      <c r="A2516" s="1">
        <f>HYPERLINK("http://www.twitter.com/NathanBLawrence/status/989998217264803846", "989998217264803846")</f>
        <v/>
      </c>
      <c r="B2516" s="2" t="n">
        <v>43217.94608796296</v>
      </c>
      <c r="C2516" t="n">
        <v>2</v>
      </c>
      <c r="D2516" t="n">
        <v>2</v>
      </c>
      <c r="E2516" t="s">
        <v>2485</v>
      </c>
      <c r="F2516" t="s"/>
      <c r="G2516" t="s"/>
      <c r="H2516" t="s"/>
      <c r="I2516" t="s"/>
      <c r="J2516" t="n">
        <v>-0.73</v>
      </c>
      <c r="K2516" t="n">
        <v>0.095</v>
      </c>
      <c r="L2516" t="n">
        <v>0.905</v>
      </c>
      <c r="M2516" t="n">
        <v>0</v>
      </c>
    </row>
    <row r="2517" spans="1:13">
      <c r="A2517" s="1">
        <f>HYPERLINK("http://www.twitter.com/NathanBLawrence/status/989997806281740288", "989997806281740288")</f>
        <v/>
      </c>
      <c r="B2517" s="2" t="n">
        <v>43217.94495370371</v>
      </c>
      <c r="C2517" t="n">
        <v>1</v>
      </c>
      <c r="D2517" t="n">
        <v>0</v>
      </c>
      <c r="E2517" t="s">
        <v>2486</v>
      </c>
      <c r="F2517" t="s"/>
      <c r="G2517" t="s"/>
      <c r="H2517" t="s"/>
      <c r="I2517" t="s"/>
      <c r="J2517" t="n">
        <v>0.6361</v>
      </c>
      <c r="K2517" t="n">
        <v>0.053</v>
      </c>
      <c r="L2517" t="n">
        <v>0.843</v>
      </c>
      <c r="M2517" t="n">
        <v>0.104</v>
      </c>
    </row>
    <row r="2518" spans="1:13">
      <c r="A2518" s="1">
        <f>HYPERLINK("http://www.twitter.com/NathanBLawrence/status/989997418316992512", "989997418316992512")</f>
        <v/>
      </c>
      <c r="B2518" s="2" t="n">
        <v>43217.94388888889</v>
      </c>
      <c r="C2518" t="n">
        <v>1</v>
      </c>
      <c r="D2518" t="n">
        <v>0</v>
      </c>
      <c r="E2518" t="s">
        <v>2487</v>
      </c>
      <c r="F2518" t="s"/>
      <c r="G2518" t="s"/>
      <c r="H2518" t="s"/>
      <c r="I2518" t="s"/>
      <c r="J2518" t="n">
        <v>0.4472</v>
      </c>
      <c r="K2518" t="n">
        <v>0.037</v>
      </c>
      <c r="L2518" t="n">
        <v>0.881</v>
      </c>
      <c r="M2518" t="n">
        <v>0.082</v>
      </c>
    </row>
    <row r="2519" spans="1:13">
      <c r="A2519" s="1">
        <f>HYPERLINK("http://www.twitter.com/NathanBLawrence/status/989996963277017088", "989996963277017088")</f>
        <v/>
      </c>
      <c r="B2519" s="2" t="n">
        <v>43217.94262731481</v>
      </c>
      <c r="C2519" t="n">
        <v>4</v>
      </c>
      <c r="D2519" t="n">
        <v>2</v>
      </c>
      <c r="E2519" t="s">
        <v>2488</v>
      </c>
      <c r="F2519" t="s"/>
      <c r="G2519" t="s"/>
      <c r="H2519" t="s"/>
      <c r="I2519" t="s"/>
      <c r="J2519" t="n">
        <v>-0.1516</v>
      </c>
      <c r="K2519" t="n">
        <v>0.177</v>
      </c>
      <c r="L2519" t="n">
        <v>0.666</v>
      </c>
      <c r="M2519" t="n">
        <v>0.157</v>
      </c>
    </row>
    <row r="2520" spans="1:13">
      <c r="A2520" s="1">
        <f>HYPERLINK("http://www.twitter.com/NathanBLawrence/status/989996544303816715", "989996544303816715")</f>
        <v/>
      </c>
      <c r="B2520" s="2" t="n">
        <v>43217.94148148148</v>
      </c>
      <c r="C2520" t="n">
        <v>1</v>
      </c>
      <c r="D2520" t="n">
        <v>0</v>
      </c>
      <c r="E2520" t="s">
        <v>2489</v>
      </c>
      <c r="F2520" t="s"/>
      <c r="G2520" t="s"/>
      <c r="H2520" t="s"/>
      <c r="I2520" t="s"/>
      <c r="J2520" t="n">
        <v>-0.0258</v>
      </c>
      <c r="K2520" t="n">
        <v>0.032</v>
      </c>
      <c r="L2520" t="n">
        <v>0.9379999999999999</v>
      </c>
      <c r="M2520" t="n">
        <v>0.03</v>
      </c>
    </row>
    <row r="2521" spans="1:13">
      <c r="A2521" s="1">
        <f>HYPERLINK("http://www.twitter.com/NathanBLawrence/status/989996008301096965", "989996008301096965")</f>
        <v/>
      </c>
      <c r="B2521" s="2" t="n">
        <v>43217.94</v>
      </c>
      <c r="C2521" t="n">
        <v>1</v>
      </c>
      <c r="D2521" t="n">
        <v>0</v>
      </c>
      <c r="E2521" t="s">
        <v>2490</v>
      </c>
      <c r="F2521" t="s"/>
      <c r="G2521" t="s"/>
      <c r="H2521" t="s"/>
      <c r="I2521" t="s"/>
      <c r="J2521" t="n">
        <v>-0.5187</v>
      </c>
      <c r="K2521" t="n">
        <v>0.079</v>
      </c>
      <c r="L2521" t="n">
        <v>0.886</v>
      </c>
      <c r="M2521" t="n">
        <v>0.035</v>
      </c>
    </row>
    <row r="2522" spans="1:13">
      <c r="A2522" s="1">
        <f>HYPERLINK("http://www.twitter.com/NathanBLawrence/status/989995003043860482", "989995003043860482")</f>
        <v/>
      </c>
      <c r="B2522" s="2" t="n">
        <v>43217.93722222222</v>
      </c>
      <c r="C2522" t="n">
        <v>1</v>
      </c>
      <c r="D2522" t="n">
        <v>0</v>
      </c>
      <c r="E2522" t="s">
        <v>2491</v>
      </c>
      <c r="F2522" t="s"/>
      <c r="G2522" t="s"/>
      <c r="H2522" t="s"/>
      <c r="I2522" t="s"/>
      <c r="J2522" t="n">
        <v>-0.9136</v>
      </c>
      <c r="K2522" t="n">
        <v>0.199</v>
      </c>
      <c r="L2522" t="n">
        <v>0.763</v>
      </c>
      <c r="M2522" t="n">
        <v>0.038</v>
      </c>
    </row>
    <row r="2523" spans="1:13">
      <c r="A2523" s="1">
        <f>HYPERLINK("http://www.twitter.com/NathanBLawrence/status/989994574436339713", "989994574436339713")</f>
        <v/>
      </c>
      <c r="B2523" s="2" t="n">
        <v>43217.93604166667</v>
      </c>
      <c r="C2523" t="n">
        <v>2</v>
      </c>
      <c r="D2523" t="n">
        <v>0</v>
      </c>
      <c r="E2523" t="s">
        <v>2492</v>
      </c>
      <c r="F2523" t="s"/>
      <c r="G2523" t="s"/>
      <c r="H2523" t="s"/>
      <c r="I2523" t="s"/>
      <c r="J2523" t="n">
        <v>0.1774</v>
      </c>
      <c r="K2523" t="n">
        <v>0.127</v>
      </c>
      <c r="L2523" t="n">
        <v>0.736</v>
      </c>
      <c r="M2523" t="n">
        <v>0.137</v>
      </c>
    </row>
    <row r="2524" spans="1:13">
      <c r="A2524" s="1">
        <f>HYPERLINK("http://www.twitter.com/NathanBLawrence/status/989968972761239552", "989968972761239552")</f>
        <v/>
      </c>
      <c r="B2524" s="2" t="n">
        <v>43217.86539351852</v>
      </c>
      <c r="C2524" t="n">
        <v>0</v>
      </c>
      <c r="D2524" t="n">
        <v>135</v>
      </c>
      <c r="E2524" t="s">
        <v>2493</v>
      </c>
      <c r="F2524" t="s"/>
      <c r="G2524" t="s"/>
      <c r="H2524" t="s"/>
      <c r="I2524" t="s"/>
      <c r="J2524" t="n">
        <v>-0.2755</v>
      </c>
      <c r="K2524" t="n">
        <v>0.1</v>
      </c>
      <c r="L2524" t="n">
        <v>0.9</v>
      </c>
      <c r="M2524" t="n">
        <v>0</v>
      </c>
    </row>
    <row r="2525" spans="1:13">
      <c r="A2525" s="1">
        <f>HYPERLINK("http://www.twitter.com/NathanBLawrence/status/989968929727672322", "989968929727672322")</f>
        <v/>
      </c>
      <c r="B2525" s="2" t="n">
        <v>43217.86527777778</v>
      </c>
      <c r="C2525" t="n">
        <v>0</v>
      </c>
      <c r="D2525" t="n">
        <v>5</v>
      </c>
      <c r="E2525" t="s">
        <v>2494</v>
      </c>
      <c r="F2525" t="s"/>
      <c r="G2525" t="s"/>
      <c r="H2525" t="s"/>
      <c r="I2525" t="s"/>
      <c r="J2525" t="n">
        <v>0</v>
      </c>
      <c r="K2525" t="n">
        <v>0</v>
      </c>
      <c r="L2525" t="n">
        <v>1</v>
      </c>
      <c r="M2525" t="n">
        <v>0</v>
      </c>
    </row>
    <row r="2526" spans="1:13">
      <c r="A2526" s="1">
        <f>HYPERLINK("http://www.twitter.com/NathanBLawrence/status/989968902867300352", "989968902867300352")</f>
        <v/>
      </c>
      <c r="B2526" s="2" t="n">
        <v>43217.86519675926</v>
      </c>
      <c r="C2526" t="n">
        <v>0</v>
      </c>
      <c r="D2526" t="n">
        <v>13</v>
      </c>
      <c r="E2526" t="s">
        <v>2495</v>
      </c>
      <c r="F2526">
        <f>HYPERLINK("http://pbs.twimg.com/media/Db0DOPkVMAAGdK3.jpg", "http://pbs.twimg.com/media/Db0DOPkVMAAGdK3.jpg")</f>
        <v/>
      </c>
      <c r="G2526" t="s"/>
      <c r="H2526" t="s"/>
      <c r="I2526" t="s"/>
      <c r="J2526" t="n">
        <v>0.1531</v>
      </c>
      <c r="K2526" t="n">
        <v>0.1</v>
      </c>
      <c r="L2526" t="n">
        <v>0.773</v>
      </c>
      <c r="M2526" t="n">
        <v>0.127</v>
      </c>
    </row>
    <row r="2527" spans="1:13">
      <c r="A2527" s="1">
        <f>HYPERLINK("http://www.twitter.com/NathanBLawrence/status/989968880968851456", "989968880968851456")</f>
        <v/>
      </c>
      <c r="B2527" s="2" t="n">
        <v>43217.86513888889</v>
      </c>
      <c r="C2527" t="n">
        <v>0</v>
      </c>
      <c r="D2527" t="n">
        <v>17</v>
      </c>
      <c r="E2527" t="s">
        <v>2496</v>
      </c>
      <c r="F2527" t="s"/>
      <c r="G2527" t="s"/>
      <c r="H2527" t="s"/>
      <c r="I2527" t="s"/>
      <c r="J2527" t="n">
        <v>0</v>
      </c>
      <c r="K2527" t="n">
        <v>0</v>
      </c>
      <c r="L2527" t="n">
        <v>1</v>
      </c>
      <c r="M2527" t="n">
        <v>0</v>
      </c>
    </row>
    <row r="2528" spans="1:13">
      <c r="A2528" s="1">
        <f>HYPERLINK("http://www.twitter.com/NathanBLawrence/status/989928303061594113", "989928303061594113")</f>
        <v/>
      </c>
      <c r="B2528" s="2" t="n">
        <v>43217.7531712963</v>
      </c>
      <c r="C2528" t="n">
        <v>0</v>
      </c>
      <c r="D2528" t="n">
        <v>7</v>
      </c>
      <c r="E2528" t="s">
        <v>2497</v>
      </c>
      <c r="F2528" t="s"/>
      <c r="G2528" t="s"/>
      <c r="H2528" t="s"/>
      <c r="I2528" t="s"/>
      <c r="J2528" t="n">
        <v>0</v>
      </c>
      <c r="K2528" t="n">
        <v>0</v>
      </c>
      <c r="L2528" t="n">
        <v>1</v>
      </c>
      <c r="M2528" t="n">
        <v>0</v>
      </c>
    </row>
    <row r="2529" spans="1:13">
      <c r="A2529" s="1">
        <f>HYPERLINK("http://www.twitter.com/NathanBLawrence/status/989928195389558786", "989928195389558786")</f>
        <v/>
      </c>
      <c r="B2529" s="2" t="n">
        <v>43217.75287037037</v>
      </c>
      <c r="C2529" t="n">
        <v>0</v>
      </c>
      <c r="D2529" t="n">
        <v>11</v>
      </c>
      <c r="E2529" t="s">
        <v>2498</v>
      </c>
      <c r="F2529" t="s"/>
      <c r="G2529" t="s"/>
      <c r="H2529" t="s"/>
      <c r="I2529" t="s"/>
      <c r="J2529" t="n">
        <v>0</v>
      </c>
      <c r="K2529" t="n">
        <v>0</v>
      </c>
      <c r="L2529" t="n">
        <v>1</v>
      </c>
      <c r="M2529" t="n">
        <v>0</v>
      </c>
    </row>
    <row r="2530" spans="1:13">
      <c r="A2530" s="1">
        <f>HYPERLINK("http://www.twitter.com/NathanBLawrence/status/989928103253331970", "989928103253331970")</f>
        <v/>
      </c>
      <c r="B2530" s="2" t="n">
        <v>43217.75261574074</v>
      </c>
      <c r="C2530" t="n">
        <v>0</v>
      </c>
      <c r="D2530" t="n">
        <v>9</v>
      </c>
      <c r="E2530" t="s">
        <v>2499</v>
      </c>
      <c r="F2530" t="s"/>
      <c r="G2530" t="s"/>
      <c r="H2530" t="s"/>
      <c r="I2530" t="s"/>
      <c r="J2530" t="n">
        <v>-0.5106000000000001</v>
      </c>
      <c r="K2530" t="n">
        <v>0.13</v>
      </c>
      <c r="L2530" t="n">
        <v>0.87</v>
      </c>
      <c r="M2530" t="n">
        <v>0</v>
      </c>
    </row>
    <row r="2531" spans="1:13">
      <c r="A2531" s="1">
        <f>HYPERLINK("http://www.twitter.com/NathanBLawrence/status/989926036480692225", "989926036480692225")</f>
        <v/>
      </c>
      <c r="B2531" s="2" t="n">
        <v>43217.74690972222</v>
      </c>
      <c r="C2531" t="n">
        <v>5</v>
      </c>
      <c r="D2531" t="n">
        <v>2</v>
      </c>
      <c r="E2531" t="s">
        <v>2500</v>
      </c>
      <c r="F2531" t="s"/>
      <c r="G2531" t="s"/>
      <c r="H2531" t="s"/>
      <c r="I2531" t="s"/>
      <c r="J2531" t="n">
        <v>0.7003</v>
      </c>
      <c r="K2531" t="n">
        <v>0</v>
      </c>
      <c r="L2531" t="n">
        <v>0.894</v>
      </c>
      <c r="M2531" t="n">
        <v>0.106</v>
      </c>
    </row>
    <row r="2532" spans="1:13">
      <c r="A2532" s="1">
        <f>HYPERLINK("http://www.twitter.com/NathanBLawrence/status/989911047892070400", "989911047892070400")</f>
        <v/>
      </c>
      <c r="B2532" s="2" t="n">
        <v>43217.70555555556</v>
      </c>
      <c r="C2532" t="n">
        <v>0</v>
      </c>
      <c r="D2532" t="n">
        <v>4</v>
      </c>
      <c r="E2532" t="s">
        <v>2501</v>
      </c>
      <c r="F2532" t="s"/>
      <c r="G2532" t="s"/>
      <c r="H2532" t="s"/>
      <c r="I2532" t="s"/>
      <c r="J2532" t="n">
        <v>0</v>
      </c>
      <c r="K2532" t="n">
        <v>0</v>
      </c>
      <c r="L2532" t="n">
        <v>1</v>
      </c>
      <c r="M2532" t="n">
        <v>0</v>
      </c>
    </row>
    <row r="2533" spans="1:13">
      <c r="A2533" s="1">
        <f>HYPERLINK("http://www.twitter.com/NathanBLawrence/status/989910950089232384", "989910950089232384")</f>
        <v/>
      </c>
      <c r="B2533" s="2" t="n">
        <v>43217.70527777778</v>
      </c>
      <c r="C2533" t="n">
        <v>0</v>
      </c>
      <c r="D2533" t="n">
        <v>3</v>
      </c>
      <c r="E2533" t="s">
        <v>2502</v>
      </c>
      <c r="F2533" t="s"/>
      <c r="G2533" t="s"/>
      <c r="H2533" t="s"/>
      <c r="I2533" t="s"/>
      <c r="J2533" t="n">
        <v>0</v>
      </c>
      <c r="K2533" t="n">
        <v>0</v>
      </c>
      <c r="L2533" t="n">
        <v>1</v>
      </c>
      <c r="M2533" t="n">
        <v>0</v>
      </c>
    </row>
    <row r="2534" spans="1:13">
      <c r="A2534" s="1">
        <f>HYPERLINK("http://www.twitter.com/NathanBLawrence/status/989908366658080773", "989908366658080773")</f>
        <v/>
      </c>
      <c r="B2534" s="2" t="n">
        <v>43217.69814814815</v>
      </c>
      <c r="C2534" t="n">
        <v>0</v>
      </c>
      <c r="D2534" t="n">
        <v>3</v>
      </c>
      <c r="E2534" t="s">
        <v>2503</v>
      </c>
      <c r="F2534" t="s"/>
      <c r="G2534" t="s"/>
      <c r="H2534" t="s"/>
      <c r="I2534" t="s"/>
      <c r="J2534" t="n">
        <v>0</v>
      </c>
      <c r="K2534" t="n">
        <v>0</v>
      </c>
      <c r="L2534" t="n">
        <v>1</v>
      </c>
      <c r="M2534" t="n">
        <v>0</v>
      </c>
    </row>
    <row r="2535" spans="1:13">
      <c r="A2535" s="1">
        <f>HYPERLINK("http://www.twitter.com/NathanBLawrence/status/989907558839279616", "989907558839279616")</f>
        <v/>
      </c>
      <c r="B2535" s="2" t="n">
        <v>43217.69592592592</v>
      </c>
      <c r="C2535" t="n">
        <v>6</v>
      </c>
      <c r="D2535" t="n">
        <v>3</v>
      </c>
      <c r="E2535" t="s">
        <v>2504</v>
      </c>
      <c r="F2535" t="s"/>
      <c r="G2535" t="s"/>
      <c r="H2535" t="s"/>
      <c r="I2535" t="s"/>
      <c r="J2535" t="n">
        <v>0</v>
      </c>
      <c r="K2535" t="n">
        <v>0</v>
      </c>
      <c r="L2535" t="n">
        <v>1</v>
      </c>
      <c r="M2535" t="n">
        <v>0</v>
      </c>
    </row>
    <row r="2536" spans="1:13">
      <c r="A2536" s="1">
        <f>HYPERLINK("http://www.twitter.com/NathanBLawrence/status/989906212115304448", "989906212115304448")</f>
        <v/>
      </c>
      <c r="B2536" s="2" t="n">
        <v>43217.69221064815</v>
      </c>
      <c r="C2536" t="n">
        <v>0</v>
      </c>
      <c r="D2536" t="n">
        <v>16</v>
      </c>
      <c r="E2536" t="s">
        <v>2505</v>
      </c>
      <c r="F2536" t="s"/>
      <c r="G2536" t="s"/>
      <c r="H2536" t="s"/>
      <c r="I2536" t="s"/>
      <c r="J2536" t="n">
        <v>0</v>
      </c>
      <c r="K2536" t="n">
        <v>0</v>
      </c>
      <c r="L2536" t="n">
        <v>1</v>
      </c>
      <c r="M2536" t="n">
        <v>0</v>
      </c>
    </row>
    <row r="2537" spans="1:13">
      <c r="A2537" s="1">
        <f>HYPERLINK("http://www.twitter.com/NathanBLawrence/status/989888450315870208", "989888450315870208")</f>
        <v/>
      </c>
      <c r="B2537" s="2" t="n">
        <v>43217.64319444444</v>
      </c>
      <c r="C2537" t="n">
        <v>0</v>
      </c>
      <c r="D2537" t="n">
        <v>7</v>
      </c>
      <c r="E2537" t="s">
        <v>2506</v>
      </c>
      <c r="F2537" t="s"/>
      <c r="G2537" t="s"/>
      <c r="H2537" t="s"/>
      <c r="I2537" t="s"/>
      <c r="J2537" t="n">
        <v>0</v>
      </c>
      <c r="K2537" t="n">
        <v>0</v>
      </c>
      <c r="L2537" t="n">
        <v>1</v>
      </c>
      <c r="M2537" t="n">
        <v>0</v>
      </c>
    </row>
    <row r="2538" spans="1:13">
      <c r="A2538" s="1">
        <f>HYPERLINK("http://www.twitter.com/NathanBLawrence/status/989888336801214464", "989888336801214464")</f>
        <v/>
      </c>
      <c r="B2538" s="2" t="n">
        <v>43217.64288194444</v>
      </c>
      <c r="C2538" t="n">
        <v>0</v>
      </c>
      <c r="D2538" t="n">
        <v>21</v>
      </c>
      <c r="E2538" t="s">
        <v>2507</v>
      </c>
      <c r="F2538" t="s"/>
      <c r="G2538" t="s"/>
      <c r="H2538" t="s"/>
      <c r="I2538" t="s"/>
      <c r="J2538" t="n">
        <v>0</v>
      </c>
      <c r="K2538" t="n">
        <v>0</v>
      </c>
      <c r="L2538" t="n">
        <v>1</v>
      </c>
      <c r="M2538" t="n">
        <v>0</v>
      </c>
    </row>
    <row r="2539" spans="1:13">
      <c r="A2539" s="1">
        <f>HYPERLINK("http://www.twitter.com/NathanBLawrence/status/989888277959323650", "989888277959323650")</f>
        <v/>
      </c>
      <c r="B2539" s="2" t="n">
        <v>43217.64271990741</v>
      </c>
      <c r="C2539" t="n">
        <v>2</v>
      </c>
      <c r="D2539" t="n">
        <v>1</v>
      </c>
      <c r="E2539" t="s">
        <v>2508</v>
      </c>
      <c r="F2539">
        <f>HYPERLINK("http://pbs.twimg.com/media/DbzKIyiVQAAxYJu.jpg", "http://pbs.twimg.com/media/DbzKIyiVQAAxYJu.jpg")</f>
        <v/>
      </c>
      <c r="G2539" t="s"/>
      <c r="H2539" t="s"/>
      <c r="I2539" t="s"/>
      <c r="J2539" t="n">
        <v>0.3182</v>
      </c>
      <c r="K2539" t="n">
        <v>0</v>
      </c>
      <c r="L2539" t="n">
        <v>0.827</v>
      </c>
      <c r="M2539" t="n">
        <v>0.173</v>
      </c>
    </row>
    <row r="2540" spans="1:13">
      <c r="A2540" s="1">
        <f>HYPERLINK("http://www.twitter.com/NathanBLawrence/status/989887930717147137", "989887930717147137")</f>
        <v/>
      </c>
      <c r="B2540" s="2" t="n">
        <v>43217.64175925926</v>
      </c>
      <c r="C2540" t="n">
        <v>0</v>
      </c>
      <c r="D2540" t="n">
        <v>12</v>
      </c>
      <c r="E2540" t="s">
        <v>2509</v>
      </c>
      <c r="F2540">
        <f>HYPERLINK("http://pbs.twimg.com/media/DbzJsV-UQAEvRgK.jpg", "http://pbs.twimg.com/media/DbzJsV-UQAEvRgK.jpg")</f>
        <v/>
      </c>
      <c r="G2540" t="s"/>
      <c r="H2540" t="s"/>
      <c r="I2540" t="s"/>
      <c r="J2540" t="n">
        <v>0</v>
      </c>
      <c r="K2540" t="n">
        <v>0</v>
      </c>
      <c r="L2540" t="n">
        <v>1</v>
      </c>
      <c r="M2540" t="n">
        <v>0</v>
      </c>
    </row>
    <row r="2541" spans="1:13">
      <c r="A2541" s="1">
        <f>HYPERLINK("http://www.twitter.com/NathanBLawrence/status/989887789016764417", "989887789016764417")</f>
        <v/>
      </c>
      <c r="B2541" s="2" t="n">
        <v>43217.64136574074</v>
      </c>
      <c r="C2541" t="n">
        <v>12</v>
      </c>
      <c r="D2541" t="n">
        <v>12</v>
      </c>
      <c r="E2541" t="s">
        <v>2510</v>
      </c>
      <c r="F2541">
        <f>HYPERLINK("http://pbs.twimg.com/media/DbzJsV-UQAEvRgK.jpg", "http://pbs.twimg.com/media/DbzJsV-UQAEvRgK.jpg")</f>
        <v/>
      </c>
      <c r="G2541" t="s"/>
      <c r="H2541" t="s"/>
      <c r="I2541" t="s"/>
      <c r="J2541" t="n">
        <v>-0.1779</v>
      </c>
      <c r="K2541" t="n">
        <v>0.073</v>
      </c>
      <c r="L2541" t="n">
        <v>0.87</v>
      </c>
      <c r="M2541" t="n">
        <v>0.057</v>
      </c>
    </row>
    <row r="2542" spans="1:13">
      <c r="A2542" s="1">
        <f>HYPERLINK("http://www.twitter.com/NathanBLawrence/status/989886511540776960", "989886511540776960")</f>
        <v/>
      </c>
      <c r="B2542" s="2" t="n">
        <v>43217.63784722222</v>
      </c>
      <c r="C2542" t="n">
        <v>3</v>
      </c>
      <c r="D2542" t="n">
        <v>1</v>
      </c>
      <c r="E2542" t="s">
        <v>2511</v>
      </c>
      <c r="F2542" t="s"/>
      <c r="G2542" t="s"/>
      <c r="H2542" t="s"/>
      <c r="I2542" t="s"/>
      <c r="J2542" t="n">
        <v>-0.1779</v>
      </c>
      <c r="K2542" t="n">
        <v>0.081</v>
      </c>
      <c r="L2542" t="n">
        <v>0.856</v>
      </c>
      <c r="M2542" t="n">
        <v>0.063</v>
      </c>
    </row>
    <row r="2543" spans="1:13">
      <c r="A2543" s="1">
        <f>HYPERLINK("http://www.twitter.com/NathanBLawrence/status/989883545547091968", "989883545547091968")</f>
        <v/>
      </c>
      <c r="B2543" s="2" t="n">
        <v>43217.62966435185</v>
      </c>
      <c r="C2543" t="n">
        <v>0</v>
      </c>
      <c r="D2543" t="n">
        <v>14</v>
      </c>
      <c r="E2543" t="s">
        <v>2512</v>
      </c>
      <c r="F2543">
        <f>HYPERLINK("http://pbs.twimg.com/media/DbzDrBGV4AAKjEP.jpg", "http://pbs.twimg.com/media/DbzDrBGV4AAKjEP.jpg")</f>
        <v/>
      </c>
      <c r="G2543" t="s"/>
      <c r="H2543" t="s"/>
      <c r="I2543" t="s"/>
      <c r="J2543" t="n">
        <v>-0.25</v>
      </c>
      <c r="K2543" t="n">
        <v>0.152</v>
      </c>
      <c r="L2543" t="n">
        <v>0.738</v>
      </c>
      <c r="M2543" t="n">
        <v>0.111</v>
      </c>
    </row>
    <row r="2544" spans="1:13">
      <c r="A2544" s="1">
        <f>HYPERLINK("http://www.twitter.com/NathanBLawrence/status/989882952464191488", "989882952464191488")</f>
        <v/>
      </c>
      <c r="B2544" s="2" t="n">
        <v>43217.62802083333</v>
      </c>
      <c r="C2544" t="n">
        <v>21</v>
      </c>
      <c r="D2544" t="n">
        <v>7</v>
      </c>
      <c r="E2544" t="s">
        <v>2513</v>
      </c>
      <c r="F2544" t="s"/>
      <c r="G2544" t="s"/>
      <c r="H2544" t="s"/>
      <c r="I2544" t="s"/>
      <c r="J2544" t="n">
        <v>-0.4215</v>
      </c>
      <c r="K2544" t="n">
        <v>0.043</v>
      </c>
      <c r="L2544" t="n">
        <v>0.957</v>
      </c>
      <c r="M2544" t="n">
        <v>0</v>
      </c>
    </row>
    <row r="2545" spans="1:13">
      <c r="A2545" s="1">
        <f>HYPERLINK("http://www.twitter.com/NathanBLawrence/status/989882345225416705", "989882345225416705")</f>
        <v/>
      </c>
      <c r="B2545" s="2" t="n">
        <v>43217.62634259259</v>
      </c>
      <c r="C2545" t="n">
        <v>0</v>
      </c>
      <c r="D2545" t="n">
        <v>15</v>
      </c>
      <c r="E2545" t="s">
        <v>2506</v>
      </c>
      <c r="F2545" t="s"/>
      <c r="G2545" t="s"/>
      <c r="H2545" t="s"/>
      <c r="I2545" t="s"/>
      <c r="J2545" t="n">
        <v>0</v>
      </c>
      <c r="K2545" t="n">
        <v>0</v>
      </c>
      <c r="L2545" t="n">
        <v>1</v>
      </c>
      <c r="M2545" t="n">
        <v>0</v>
      </c>
    </row>
    <row r="2546" spans="1:13">
      <c r="A2546" s="1">
        <f>HYPERLINK("http://www.twitter.com/NathanBLawrence/status/989882330448912386", "989882330448912386")</f>
        <v/>
      </c>
      <c r="B2546" s="2" t="n">
        <v>43217.62630787037</v>
      </c>
      <c r="C2546" t="n">
        <v>8</v>
      </c>
      <c r="D2546" t="n">
        <v>4</v>
      </c>
      <c r="E2546" t="s">
        <v>2514</v>
      </c>
      <c r="F2546" t="s"/>
      <c r="G2546" t="s"/>
      <c r="H2546" t="s"/>
      <c r="I2546" t="s"/>
      <c r="J2546" t="n">
        <v>0.7506</v>
      </c>
      <c r="K2546" t="n">
        <v>0</v>
      </c>
      <c r="L2546" t="n">
        <v>0.898</v>
      </c>
      <c r="M2546" t="n">
        <v>0.102</v>
      </c>
    </row>
    <row r="2547" spans="1:13">
      <c r="A2547" s="1">
        <f>HYPERLINK("http://www.twitter.com/NathanBLawrence/status/989881257378091009", "989881257378091009")</f>
        <v/>
      </c>
      <c r="B2547" s="2" t="n">
        <v>43217.62334490741</v>
      </c>
      <c r="C2547" t="n">
        <v>0</v>
      </c>
      <c r="D2547" t="n">
        <v>12</v>
      </c>
      <c r="E2547" t="s">
        <v>2515</v>
      </c>
      <c r="F2547" t="s"/>
      <c r="G2547" t="s"/>
      <c r="H2547" t="s"/>
      <c r="I2547" t="s"/>
      <c r="J2547" t="n">
        <v>0.4199</v>
      </c>
      <c r="K2547" t="n">
        <v>0</v>
      </c>
      <c r="L2547" t="n">
        <v>0.878</v>
      </c>
      <c r="M2547" t="n">
        <v>0.122</v>
      </c>
    </row>
    <row r="2548" spans="1:13">
      <c r="A2548" s="1">
        <f>HYPERLINK("http://www.twitter.com/NathanBLawrence/status/989881184598544384", "989881184598544384")</f>
        <v/>
      </c>
      <c r="B2548" s="2" t="n">
        <v>43217.62314814814</v>
      </c>
      <c r="C2548" t="n">
        <v>0</v>
      </c>
      <c r="D2548" t="n">
        <v>13</v>
      </c>
      <c r="E2548" t="s">
        <v>2516</v>
      </c>
      <c r="F2548" t="s"/>
      <c r="G2548" t="s"/>
      <c r="H2548" t="s"/>
      <c r="I2548" t="s"/>
      <c r="J2548" t="n">
        <v>-0.4215</v>
      </c>
      <c r="K2548" t="n">
        <v>0.135</v>
      </c>
      <c r="L2548" t="n">
        <v>0.865</v>
      </c>
      <c r="M2548" t="n">
        <v>0</v>
      </c>
    </row>
    <row r="2549" spans="1:13">
      <c r="A2549" s="1">
        <f>HYPERLINK("http://www.twitter.com/NathanBLawrence/status/989881172481249281", "989881172481249281")</f>
        <v/>
      </c>
      <c r="B2549" s="2" t="n">
        <v>43217.62311342593</v>
      </c>
      <c r="C2549" t="n">
        <v>18</v>
      </c>
      <c r="D2549" t="n">
        <v>14</v>
      </c>
      <c r="E2549" t="s">
        <v>2517</v>
      </c>
      <c r="F2549">
        <f>HYPERLINK("http://pbs.twimg.com/media/DbzDrBGV4AAKjEP.jpg", "http://pbs.twimg.com/media/DbzDrBGV4AAKjEP.jpg")</f>
        <v/>
      </c>
      <c r="G2549" t="s"/>
      <c r="H2549" t="s"/>
      <c r="I2549" t="s"/>
      <c r="J2549" t="n">
        <v>-0.3818</v>
      </c>
      <c r="K2549" t="n">
        <v>0.147</v>
      </c>
      <c r="L2549" t="n">
        <v>0.737</v>
      </c>
      <c r="M2549" t="n">
        <v>0.116</v>
      </c>
    </row>
    <row r="2550" spans="1:13">
      <c r="A2550" s="1">
        <f>HYPERLINK("http://www.twitter.com/NathanBLawrence/status/989878726799347712", "989878726799347712")</f>
        <v/>
      </c>
      <c r="B2550" s="2" t="n">
        <v>43217.61636574074</v>
      </c>
      <c r="C2550" t="n">
        <v>0</v>
      </c>
      <c r="D2550" t="n">
        <v>626</v>
      </c>
      <c r="E2550" t="s">
        <v>2518</v>
      </c>
      <c r="F2550">
        <f>HYPERLINK("http://pbs.twimg.com/media/DbwMKc3UQAAe_R1.jpg", "http://pbs.twimg.com/media/DbwMKc3UQAAe_R1.jpg")</f>
        <v/>
      </c>
      <c r="G2550" t="s"/>
      <c r="H2550" t="s"/>
      <c r="I2550" t="s"/>
      <c r="J2550" t="n">
        <v>0.7783</v>
      </c>
      <c r="K2550" t="n">
        <v>0</v>
      </c>
      <c r="L2550" t="n">
        <v>0.37</v>
      </c>
      <c r="M2550" t="n">
        <v>0.63</v>
      </c>
    </row>
    <row r="2551" spans="1:13">
      <c r="A2551" s="1">
        <f>HYPERLINK("http://www.twitter.com/NathanBLawrence/status/989878575082950656", "989878575082950656")</f>
        <v/>
      </c>
      <c r="B2551" s="2" t="n">
        <v>43217.61594907408</v>
      </c>
      <c r="C2551" t="n">
        <v>0</v>
      </c>
      <c r="D2551" t="n">
        <v>16</v>
      </c>
      <c r="E2551" t="s">
        <v>2519</v>
      </c>
      <c r="F2551" t="s"/>
      <c r="G2551" t="s"/>
      <c r="H2551" t="s"/>
      <c r="I2551" t="s"/>
      <c r="J2551" t="n">
        <v>-0.743</v>
      </c>
      <c r="K2551" t="n">
        <v>0.272</v>
      </c>
      <c r="L2551" t="n">
        <v>0.627</v>
      </c>
      <c r="M2551" t="n">
        <v>0.101</v>
      </c>
    </row>
    <row r="2552" spans="1:13">
      <c r="A2552" s="1">
        <f>HYPERLINK("http://www.twitter.com/NathanBLawrence/status/989878284119871490", "989878284119871490")</f>
        <v/>
      </c>
      <c r="B2552" s="2" t="n">
        <v>43217.61513888889</v>
      </c>
      <c r="C2552" t="n">
        <v>0</v>
      </c>
      <c r="D2552" t="n">
        <v>13</v>
      </c>
      <c r="E2552" t="s">
        <v>2520</v>
      </c>
      <c r="F2552">
        <f>HYPERLINK("http://pbs.twimg.com/media/DbuzbG1V0AAEtpG.jpg", "http://pbs.twimg.com/media/DbuzbG1V0AAEtpG.jpg")</f>
        <v/>
      </c>
      <c r="G2552" t="s"/>
      <c r="H2552" t="s"/>
      <c r="I2552" t="s"/>
      <c r="J2552" t="n">
        <v>0.2732</v>
      </c>
      <c r="K2552" t="n">
        <v>0</v>
      </c>
      <c r="L2552" t="n">
        <v>0.792</v>
      </c>
      <c r="M2552" t="n">
        <v>0.208</v>
      </c>
    </row>
    <row r="2553" spans="1:13">
      <c r="A2553" s="1">
        <f>HYPERLINK("http://www.twitter.com/NathanBLawrence/status/989878186514239490", "989878186514239490")</f>
        <v/>
      </c>
      <c r="B2553" s="2" t="n">
        <v>43217.61487268518</v>
      </c>
      <c r="C2553" t="n">
        <v>0</v>
      </c>
      <c r="D2553" t="n">
        <v>27</v>
      </c>
      <c r="E2553" t="s">
        <v>2521</v>
      </c>
      <c r="F2553" t="s"/>
      <c r="G2553" t="s"/>
      <c r="H2553" t="s"/>
      <c r="I2553" t="s"/>
      <c r="J2553" t="n">
        <v>0.4168</v>
      </c>
      <c r="K2553" t="n">
        <v>0</v>
      </c>
      <c r="L2553" t="n">
        <v>0.896</v>
      </c>
      <c r="M2553" t="n">
        <v>0.104</v>
      </c>
    </row>
    <row r="2554" spans="1:13">
      <c r="A2554" s="1">
        <f>HYPERLINK("http://www.twitter.com/NathanBLawrence/status/989878064040509441", "989878064040509441")</f>
        <v/>
      </c>
      <c r="B2554" s="2" t="n">
        <v>43217.61453703704</v>
      </c>
      <c r="C2554" t="n">
        <v>0</v>
      </c>
      <c r="D2554" t="n">
        <v>50</v>
      </c>
      <c r="E2554" t="s">
        <v>2522</v>
      </c>
      <c r="F2554" t="s"/>
      <c r="G2554" t="s"/>
      <c r="H2554" t="s"/>
      <c r="I2554" t="s"/>
      <c r="J2554" t="n">
        <v>0.7964</v>
      </c>
      <c r="K2554" t="n">
        <v>0</v>
      </c>
      <c r="L2554" t="n">
        <v>0.5590000000000001</v>
      </c>
      <c r="M2554" t="n">
        <v>0.441</v>
      </c>
    </row>
    <row r="2555" spans="1:13">
      <c r="A2555" s="1">
        <f>HYPERLINK("http://www.twitter.com/NathanBLawrence/status/989877923174854659", "989877923174854659")</f>
        <v/>
      </c>
      <c r="B2555" s="2" t="n">
        <v>43217.61414351852</v>
      </c>
      <c r="C2555" t="n">
        <v>0</v>
      </c>
      <c r="D2555" t="n">
        <v>208</v>
      </c>
      <c r="E2555" t="s">
        <v>2523</v>
      </c>
      <c r="F2555" t="s"/>
      <c r="G2555" t="s"/>
      <c r="H2555" t="s"/>
      <c r="I2555" t="s"/>
      <c r="J2555" t="n">
        <v>0</v>
      </c>
      <c r="K2555" t="n">
        <v>0</v>
      </c>
      <c r="L2555" t="n">
        <v>1</v>
      </c>
      <c r="M2555" t="n">
        <v>0</v>
      </c>
    </row>
    <row r="2556" spans="1:13">
      <c r="A2556" s="1">
        <f>HYPERLINK("http://www.twitter.com/NathanBLawrence/status/989877902098518017", "989877902098518017")</f>
        <v/>
      </c>
      <c r="B2556" s="2" t="n">
        <v>43217.61408564815</v>
      </c>
      <c r="C2556" t="n">
        <v>0</v>
      </c>
      <c r="D2556" t="n">
        <v>1</v>
      </c>
      <c r="E2556" t="s">
        <v>2524</v>
      </c>
      <c r="F2556">
        <f>HYPERLINK("http://pbs.twimg.com/media/DbyopapW0AYDs4z.jpg", "http://pbs.twimg.com/media/DbyopapW0AYDs4z.jpg")</f>
        <v/>
      </c>
      <c r="G2556" t="s"/>
      <c r="H2556" t="s"/>
      <c r="I2556" t="s"/>
      <c r="J2556" t="n">
        <v>0</v>
      </c>
      <c r="K2556" t="n">
        <v>0</v>
      </c>
      <c r="L2556" t="n">
        <v>1</v>
      </c>
      <c r="M2556" t="n">
        <v>0</v>
      </c>
    </row>
    <row r="2557" spans="1:13">
      <c r="A2557" s="1">
        <f>HYPERLINK("http://www.twitter.com/NathanBLawrence/status/989877650360553479", "989877650360553479")</f>
        <v/>
      </c>
      <c r="B2557" s="2" t="n">
        <v>43217.6133912037</v>
      </c>
      <c r="C2557" t="n">
        <v>0</v>
      </c>
      <c r="D2557" t="n">
        <v>10</v>
      </c>
      <c r="E2557" t="s">
        <v>2525</v>
      </c>
      <c r="F2557" t="s"/>
      <c r="G2557" t="s"/>
      <c r="H2557" t="s"/>
      <c r="I2557" t="s"/>
      <c r="J2557" t="n">
        <v>0.3612</v>
      </c>
      <c r="K2557" t="n">
        <v>0</v>
      </c>
      <c r="L2557" t="n">
        <v>0.839</v>
      </c>
      <c r="M2557" t="n">
        <v>0.161</v>
      </c>
    </row>
    <row r="2558" spans="1:13">
      <c r="A2558" s="1">
        <f>HYPERLINK("http://www.twitter.com/NathanBLawrence/status/989877575802605569", "989877575802605569")</f>
        <v/>
      </c>
      <c r="B2558" s="2" t="n">
        <v>43217.61318287037</v>
      </c>
      <c r="C2558" t="n">
        <v>0</v>
      </c>
      <c r="D2558" t="n">
        <v>3</v>
      </c>
      <c r="E2558" t="s">
        <v>2526</v>
      </c>
      <c r="F2558" t="s"/>
      <c r="G2558" t="s"/>
      <c r="H2558" t="s"/>
      <c r="I2558" t="s"/>
      <c r="J2558" t="n">
        <v>0</v>
      </c>
      <c r="K2558" t="n">
        <v>0</v>
      </c>
      <c r="L2558" t="n">
        <v>1</v>
      </c>
      <c r="M2558" t="n">
        <v>0</v>
      </c>
    </row>
    <row r="2559" spans="1:13">
      <c r="A2559" s="1">
        <f>HYPERLINK("http://www.twitter.com/NathanBLawrence/status/989877534245474305", "989877534245474305")</f>
        <v/>
      </c>
      <c r="B2559" s="2" t="n">
        <v>43217.61306712963</v>
      </c>
      <c r="C2559" t="n">
        <v>0</v>
      </c>
      <c r="D2559" t="n">
        <v>149</v>
      </c>
      <c r="E2559" t="s">
        <v>2527</v>
      </c>
      <c r="F2559" t="s"/>
      <c r="G2559" t="s"/>
      <c r="H2559" t="s"/>
      <c r="I2559" t="s"/>
      <c r="J2559" t="n">
        <v>0.4404</v>
      </c>
      <c r="K2559" t="n">
        <v>0.127</v>
      </c>
      <c r="L2559" t="n">
        <v>0.651</v>
      </c>
      <c r="M2559" t="n">
        <v>0.221</v>
      </c>
    </row>
    <row r="2560" spans="1:13">
      <c r="A2560" s="1">
        <f>HYPERLINK("http://www.twitter.com/NathanBLawrence/status/989877475676172288", "989877475676172288")</f>
        <v/>
      </c>
      <c r="B2560" s="2" t="n">
        <v>43217.6129050926</v>
      </c>
      <c r="C2560" t="n">
        <v>0</v>
      </c>
      <c r="D2560" t="n">
        <v>166</v>
      </c>
      <c r="E2560" t="s">
        <v>2528</v>
      </c>
      <c r="F2560" t="s"/>
      <c r="G2560" t="s"/>
      <c r="H2560" t="s"/>
      <c r="I2560" t="s"/>
      <c r="J2560" t="n">
        <v>0.4404</v>
      </c>
      <c r="K2560" t="n">
        <v>0</v>
      </c>
      <c r="L2560" t="n">
        <v>0.861</v>
      </c>
      <c r="M2560" t="n">
        <v>0.139</v>
      </c>
    </row>
    <row r="2561" spans="1:13">
      <c r="A2561" s="1">
        <f>HYPERLINK("http://www.twitter.com/NathanBLawrence/status/989877292108271616", "989877292108271616")</f>
        <v/>
      </c>
      <c r="B2561" s="2" t="n">
        <v>43217.61240740741</v>
      </c>
      <c r="C2561" t="n">
        <v>0</v>
      </c>
      <c r="D2561" t="n">
        <v>24742</v>
      </c>
      <c r="E2561" t="s">
        <v>2529</v>
      </c>
      <c r="F2561" t="s"/>
      <c r="G2561" t="s"/>
      <c r="H2561" t="s"/>
      <c r="I2561" t="s"/>
      <c r="J2561" t="n">
        <v>-0.5719</v>
      </c>
      <c r="K2561" t="n">
        <v>0.198</v>
      </c>
      <c r="L2561" t="n">
        <v>0.802</v>
      </c>
      <c r="M2561" t="n">
        <v>0</v>
      </c>
    </row>
    <row r="2562" spans="1:13">
      <c r="A2562" s="1">
        <f>HYPERLINK("http://www.twitter.com/NathanBLawrence/status/989877279261151232", "989877279261151232")</f>
        <v/>
      </c>
      <c r="B2562" s="2" t="n">
        <v>43217.61237268519</v>
      </c>
      <c r="C2562" t="n">
        <v>0</v>
      </c>
      <c r="D2562" t="n">
        <v>39038</v>
      </c>
      <c r="E2562" t="s">
        <v>2530</v>
      </c>
      <c r="F2562" t="s"/>
      <c r="G2562" t="s"/>
      <c r="H2562" t="s"/>
      <c r="I2562" t="s"/>
      <c r="J2562" t="n">
        <v>0.7707000000000001</v>
      </c>
      <c r="K2562" t="n">
        <v>0.122</v>
      </c>
      <c r="L2562" t="n">
        <v>0.58</v>
      </c>
      <c r="M2562" t="n">
        <v>0.298</v>
      </c>
    </row>
    <row r="2563" spans="1:13">
      <c r="A2563" s="1">
        <f>HYPERLINK("http://www.twitter.com/NathanBLawrence/status/989877046091411456", "989877046091411456")</f>
        <v/>
      </c>
      <c r="B2563" s="2" t="n">
        <v>43217.61172453704</v>
      </c>
      <c r="C2563" t="n">
        <v>0</v>
      </c>
      <c r="D2563" t="n">
        <v>45</v>
      </c>
      <c r="E2563" t="s">
        <v>2531</v>
      </c>
      <c r="F2563">
        <f>HYPERLINK("http://pbs.twimg.com/media/Dbt_N0IXUAAs3UA.jpg", "http://pbs.twimg.com/media/Dbt_N0IXUAAs3UA.jpg")</f>
        <v/>
      </c>
      <c r="G2563" t="s"/>
      <c r="H2563" t="s"/>
      <c r="I2563" t="s"/>
      <c r="J2563" t="n">
        <v>0</v>
      </c>
      <c r="K2563" t="n">
        <v>0</v>
      </c>
      <c r="L2563" t="n">
        <v>1</v>
      </c>
      <c r="M2563" t="n">
        <v>0</v>
      </c>
    </row>
    <row r="2564" spans="1:13">
      <c r="A2564" s="1">
        <f>HYPERLINK("http://www.twitter.com/NathanBLawrence/status/989876967972458496", "989876967972458496")</f>
        <v/>
      </c>
      <c r="B2564" s="2" t="n">
        <v>43217.61150462963</v>
      </c>
      <c r="C2564" t="n">
        <v>0</v>
      </c>
      <c r="D2564" t="n">
        <v>616</v>
      </c>
      <c r="E2564" t="s">
        <v>2532</v>
      </c>
      <c r="F2564" t="s"/>
      <c r="G2564" t="s"/>
      <c r="H2564" t="s"/>
      <c r="I2564" t="s"/>
      <c r="J2564" t="n">
        <v>0.3612</v>
      </c>
      <c r="K2564" t="n">
        <v>0</v>
      </c>
      <c r="L2564" t="n">
        <v>0.706</v>
      </c>
      <c r="M2564" t="n">
        <v>0.294</v>
      </c>
    </row>
    <row r="2565" spans="1:13">
      <c r="A2565" s="1">
        <f>HYPERLINK("http://www.twitter.com/NathanBLawrence/status/989876911462600704", "989876911462600704")</f>
        <v/>
      </c>
      <c r="B2565" s="2" t="n">
        <v>43217.61135416666</v>
      </c>
      <c r="C2565" t="n">
        <v>0</v>
      </c>
      <c r="D2565" t="n">
        <v>24816</v>
      </c>
      <c r="E2565" t="s">
        <v>2533</v>
      </c>
      <c r="F2565" t="s"/>
      <c r="G2565" t="s"/>
      <c r="H2565" t="s"/>
      <c r="I2565" t="s"/>
      <c r="J2565" t="n">
        <v>0.8826000000000001</v>
      </c>
      <c r="K2565" t="n">
        <v>0.092</v>
      </c>
      <c r="L2565" t="n">
        <v>0.474</v>
      </c>
      <c r="M2565" t="n">
        <v>0.434</v>
      </c>
    </row>
    <row r="2566" spans="1:13">
      <c r="A2566" s="1">
        <f>HYPERLINK("http://www.twitter.com/NathanBLawrence/status/989876771066695680", "989876771066695680")</f>
        <v/>
      </c>
      <c r="B2566" s="2" t="n">
        <v>43217.61096064815</v>
      </c>
      <c r="C2566" t="n">
        <v>0</v>
      </c>
      <c r="D2566" t="n">
        <v>11949</v>
      </c>
      <c r="E2566" t="s">
        <v>2534</v>
      </c>
      <c r="F2566" t="s"/>
      <c r="G2566" t="s"/>
      <c r="H2566" t="s"/>
      <c r="I2566" t="s"/>
      <c r="J2566" t="n">
        <v>0.659</v>
      </c>
      <c r="K2566" t="n">
        <v>0</v>
      </c>
      <c r="L2566" t="n">
        <v>0.834</v>
      </c>
      <c r="M2566" t="n">
        <v>0.166</v>
      </c>
    </row>
    <row r="2567" spans="1:13">
      <c r="A2567" s="1">
        <f>HYPERLINK("http://www.twitter.com/NathanBLawrence/status/989876713030119424", "989876713030119424")</f>
        <v/>
      </c>
      <c r="B2567" s="2" t="n">
        <v>43217.61081018519</v>
      </c>
      <c r="C2567" t="n">
        <v>0</v>
      </c>
      <c r="D2567" t="n">
        <v>3836</v>
      </c>
      <c r="E2567" t="s">
        <v>2535</v>
      </c>
      <c r="F2567" t="s"/>
      <c r="G2567" t="s"/>
      <c r="H2567" t="s"/>
      <c r="I2567" t="s"/>
      <c r="J2567" t="n">
        <v>-0.802</v>
      </c>
      <c r="K2567" t="n">
        <v>0.265</v>
      </c>
      <c r="L2567" t="n">
        <v>0.735</v>
      </c>
      <c r="M2567" t="n">
        <v>0</v>
      </c>
    </row>
    <row r="2568" spans="1:13">
      <c r="A2568" s="1">
        <f>HYPERLINK("http://www.twitter.com/NathanBLawrence/status/989876305167568896", "989876305167568896")</f>
        <v/>
      </c>
      <c r="B2568" s="2" t="n">
        <v>43217.60967592592</v>
      </c>
      <c r="C2568" t="n">
        <v>0</v>
      </c>
      <c r="D2568" t="n">
        <v>5</v>
      </c>
      <c r="E2568" t="s">
        <v>2536</v>
      </c>
      <c r="F2568" t="s"/>
      <c r="G2568" t="s"/>
      <c r="H2568" t="s"/>
      <c r="I2568" t="s"/>
      <c r="J2568" t="n">
        <v>0.4019</v>
      </c>
      <c r="K2568" t="n">
        <v>0</v>
      </c>
      <c r="L2568" t="n">
        <v>0.899</v>
      </c>
      <c r="M2568" t="n">
        <v>0.101</v>
      </c>
    </row>
    <row r="2569" spans="1:13">
      <c r="A2569" s="1">
        <f>HYPERLINK("http://www.twitter.com/NathanBLawrence/status/989876208715345920", "989876208715345920")</f>
        <v/>
      </c>
      <c r="B2569" s="2" t="n">
        <v>43217.60940972222</v>
      </c>
      <c r="C2569" t="n">
        <v>0</v>
      </c>
      <c r="D2569" t="n">
        <v>6</v>
      </c>
      <c r="E2569" t="s">
        <v>2537</v>
      </c>
      <c r="F2569" t="s"/>
      <c r="G2569" t="s"/>
      <c r="H2569" t="s"/>
      <c r="I2569" t="s"/>
      <c r="J2569" t="n">
        <v>-0.0572</v>
      </c>
      <c r="K2569" t="n">
        <v>0.064</v>
      </c>
      <c r="L2569" t="n">
        <v>0.9360000000000001</v>
      </c>
      <c r="M2569" t="n">
        <v>0</v>
      </c>
    </row>
    <row r="2570" spans="1:13">
      <c r="A2570" s="1">
        <f>HYPERLINK("http://www.twitter.com/NathanBLawrence/status/989876088636608519", "989876088636608519")</f>
        <v/>
      </c>
      <c r="B2570" s="2" t="n">
        <v>43217.60908564815</v>
      </c>
      <c r="C2570" t="n">
        <v>0</v>
      </c>
      <c r="D2570" t="n">
        <v>0</v>
      </c>
      <c r="E2570" t="s">
        <v>2538</v>
      </c>
      <c r="F2570" t="s"/>
      <c r="G2570" t="s"/>
      <c r="H2570" t="s"/>
      <c r="I2570" t="s"/>
      <c r="J2570" t="n">
        <v>0.839</v>
      </c>
      <c r="K2570" t="n">
        <v>0</v>
      </c>
      <c r="L2570" t="n">
        <v>0.791</v>
      </c>
      <c r="M2570" t="n">
        <v>0.209</v>
      </c>
    </row>
    <row r="2571" spans="1:13">
      <c r="A2571" s="1">
        <f>HYPERLINK("http://www.twitter.com/NathanBLawrence/status/989875158503575554", "989875158503575554")</f>
        <v/>
      </c>
      <c r="B2571" s="2" t="n">
        <v>43217.6065162037</v>
      </c>
      <c r="C2571" t="n">
        <v>0</v>
      </c>
      <c r="D2571" t="n">
        <v>621</v>
      </c>
      <c r="E2571" t="s">
        <v>2539</v>
      </c>
      <c r="F2571" t="s"/>
      <c r="G2571" t="s"/>
      <c r="H2571" t="s"/>
      <c r="I2571" t="s"/>
      <c r="J2571" t="n">
        <v>0.128</v>
      </c>
      <c r="K2571" t="n">
        <v>0</v>
      </c>
      <c r="L2571" t="n">
        <v>0.9409999999999999</v>
      </c>
      <c r="M2571" t="n">
        <v>0.059</v>
      </c>
    </row>
    <row r="2572" spans="1:13">
      <c r="A2572" s="1">
        <f>HYPERLINK("http://www.twitter.com/NathanBLawrence/status/989761168498614275", "989761168498614275")</f>
        <v/>
      </c>
      <c r="B2572" s="2" t="n">
        <v>43217.2919675926</v>
      </c>
      <c r="C2572" t="n">
        <v>0</v>
      </c>
      <c r="D2572" t="n">
        <v>1066</v>
      </c>
      <c r="E2572" t="s">
        <v>2540</v>
      </c>
      <c r="F2572" t="s"/>
      <c r="G2572" t="s"/>
      <c r="H2572" t="s"/>
      <c r="I2572" t="s"/>
      <c r="J2572" t="n">
        <v>-0.6908</v>
      </c>
      <c r="K2572" t="n">
        <v>0.322</v>
      </c>
      <c r="L2572" t="n">
        <v>0.678</v>
      </c>
      <c r="M2572" t="n">
        <v>0</v>
      </c>
    </row>
    <row r="2573" spans="1:13">
      <c r="A2573" s="1">
        <f>HYPERLINK("http://www.twitter.com/NathanBLawrence/status/989752814934020097", "989752814934020097")</f>
        <v/>
      </c>
      <c r="B2573" s="2" t="n">
        <v>43217.26891203703</v>
      </c>
      <c r="C2573" t="n">
        <v>0</v>
      </c>
      <c r="D2573" t="n">
        <v>21314</v>
      </c>
      <c r="E2573" t="s">
        <v>2541</v>
      </c>
      <c r="F2573" t="s"/>
      <c r="G2573" t="s"/>
      <c r="H2573" t="s"/>
      <c r="I2573" t="s"/>
      <c r="J2573" t="n">
        <v>0.8779</v>
      </c>
      <c r="K2573" t="n">
        <v>0</v>
      </c>
      <c r="L2573" t="n">
        <v>0.704</v>
      </c>
      <c r="M2573" t="n">
        <v>0.296</v>
      </c>
    </row>
    <row r="2574" spans="1:13">
      <c r="A2574" s="1">
        <f>HYPERLINK("http://www.twitter.com/NathanBLawrence/status/989752757824335873", "989752757824335873")</f>
        <v/>
      </c>
      <c r="B2574" s="2" t="n">
        <v>43217.26875</v>
      </c>
      <c r="C2574" t="n">
        <v>0</v>
      </c>
      <c r="D2574" t="n">
        <v>1532</v>
      </c>
      <c r="E2574" t="s">
        <v>2542</v>
      </c>
      <c r="F2574">
        <f>HYPERLINK("http://pbs.twimg.com/media/Dbu-QSLV0AA_RaX.jpg", "http://pbs.twimg.com/media/Dbu-QSLV0AA_RaX.jpg")</f>
        <v/>
      </c>
      <c r="G2574" t="s"/>
      <c r="H2574" t="s"/>
      <c r="I2574" t="s"/>
      <c r="J2574" t="n">
        <v>0</v>
      </c>
      <c r="K2574" t="n">
        <v>0</v>
      </c>
      <c r="L2574" t="n">
        <v>1</v>
      </c>
      <c r="M2574" t="n">
        <v>0</v>
      </c>
    </row>
    <row r="2575" spans="1:13">
      <c r="A2575" s="1">
        <f>HYPERLINK("http://www.twitter.com/NathanBLawrence/status/989752687536193537", "989752687536193537")</f>
        <v/>
      </c>
      <c r="B2575" s="2" t="n">
        <v>43217.26856481482</v>
      </c>
      <c r="C2575" t="n">
        <v>0</v>
      </c>
      <c r="D2575" t="n">
        <v>0</v>
      </c>
      <c r="E2575" t="s">
        <v>2543</v>
      </c>
      <c r="F2575" t="s"/>
      <c r="G2575" t="s"/>
      <c r="H2575" t="s"/>
      <c r="I2575" t="s"/>
      <c r="J2575" t="n">
        <v>-0</v>
      </c>
      <c r="K2575" t="n">
        <v>0.406</v>
      </c>
      <c r="L2575" t="n">
        <v>0.283</v>
      </c>
      <c r="M2575" t="n">
        <v>0.311</v>
      </c>
    </row>
    <row r="2576" spans="1:13">
      <c r="A2576" s="1">
        <f>HYPERLINK("http://www.twitter.com/NathanBLawrence/status/989752630254563328", "989752630254563328")</f>
        <v/>
      </c>
      <c r="B2576" s="2" t="n">
        <v>43217.26840277778</v>
      </c>
      <c r="C2576" t="n">
        <v>0</v>
      </c>
      <c r="D2576" t="n">
        <v>7</v>
      </c>
      <c r="E2576" t="s">
        <v>2544</v>
      </c>
      <c r="F2576" t="s"/>
      <c r="G2576" t="s"/>
      <c r="H2576" t="s"/>
      <c r="I2576" t="s"/>
      <c r="J2576" t="n">
        <v>0</v>
      </c>
      <c r="K2576" t="n">
        <v>0</v>
      </c>
      <c r="L2576" t="n">
        <v>1</v>
      </c>
      <c r="M2576" t="n">
        <v>0</v>
      </c>
    </row>
    <row r="2577" spans="1:13">
      <c r="A2577" s="1">
        <f>HYPERLINK("http://www.twitter.com/NathanBLawrence/status/989752606426779654", "989752606426779654")</f>
        <v/>
      </c>
      <c r="B2577" s="2" t="n">
        <v>43217.26833333333</v>
      </c>
      <c r="C2577" t="n">
        <v>0</v>
      </c>
      <c r="D2577" t="n">
        <v>27</v>
      </c>
      <c r="E2577" t="s">
        <v>2545</v>
      </c>
      <c r="F2577">
        <f>HYPERLINK("http://pbs.twimg.com/media/Dbw2iYpUwAA_Lvp.jpg", "http://pbs.twimg.com/media/Dbw2iYpUwAA_Lvp.jpg")</f>
        <v/>
      </c>
      <c r="G2577" t="s"/>
      <c r="H2577" t="s"/>
      <c r="I2577" t="s"/>
      <c r="J2577" t="n">
        <v>0</v>
      </c>
      <c r="K2577" t="n">
        <v>0</v>
      </c>
      <c r="L2577" t="n">
        <v>1</v>
      </c>
      <c r="M2577" t="n">
        <v>0</v>
      </c>
    </row>
    <row r="2578" spans="1:13">
      <c r="A2578" s="1">
        <f>HYPERLINK("http://www.twitter.com/NathanBLawrence/status/989752590538715136", "989752590538715136")</f>
        <v/>
      </c>
      <c r="B2578" s="2" t="n">
        <v>43217.26828703703</v>
      </c>
      <c r="C2578" t="n">
        <v>0</v>
      </c>
      <c r="D2578" t="n">
        <v>12498</v>
      </c>
      <c r="E2578" t="s">
        <v>2546</v>
      </c>
      <c r="F2578" t="s"/>
      <c r="G2578" t="s"/>
      <c r="H2578" t="s"/>
      <c r="I2578" t="s"/>
      <c r="J2578" t="n">
        <v>-0.5423</v>
      </c>
      <c r="K2578" t="n">
        <v>0.297</v>
      </c>
      <c r="L2578" t="n">
        <v>0.574</v>
      </c>
      <c r="M2578" t="n">
        <v>0.129</v>
      </c>
    </row>
    <row r="2579" spans="1:13">
      <c r="A2579" s="1">
        <f>HYPERLINK("http://www.twitter.com/NathanBLawrence/status/989752457352790016", "989752457352790016")</f>
        <v/>
      </c>
      <c r="B2579" s="2" t="n">
        <v>43217.26792824074</v>
      </c>
      <c r="C2579" t="n">
        <v>0</v>
      </c>
      <c r="D2579" t="n">
        <v>1551</v>
      </c>
      <c r="E2579" t="s">
        <v>2547</v>
      </c>
      <c r="F2579">
        <f>HYPERLINK("https://video.twimg.com/ext_tw_video/989715592385937410/pu/vid/720x1280/njOOU2xUJ78WL3eU.mp4?tag=3", "https://video.twimg.com/ext_tw_video/989715592385937410/pu/vid/720x1280/njOOU2xUJ78WL3eU.mp4?tag=3")</f>
        <v/>
      </c>
      <c r="G2579" t="s"/>
      <c r="H2579" t="s"/>
      <c r="I2579" t="s"/>
      <c r="J2579" t="n">
        <v>0</v>
      </c>
      <c r="K2579" t="n">
        <v>0</v>
      </c>
      <c r="L2579" t="n">
        <v>1</v>
      </c>
      <c r="M2579" t="n">
        <v>0</v>
      </c>
    </row>
    <row r="2580" spans="1:13">
      <c r="A2580" s="1">
        <f>HYPERLINK("http://www.twitter.com/NathanBLawrence/status/989752431973036032", "989752431973036032")</f>
        <v/>
      </c>
      <c r="B2580" s="2" t="n">
        <v>43217.26785879629</v>
      </c>
      <c r="C2580" t="n">
        <v>0</v>
      </c>
      <c r="D2580" t="n">
        <v>259</v>
      </c>
      <c r="E2580" t="s">
        <v>2548</v>
      </c>
      <c r="F2580" t="s"/>
      <c r="G2580" t="s"/>
      <c r="H2580" t="s"/>
      <c r="I2580" t="s"/>
      <c r="J2580" t="n">
        <v>0</v>
      </c>
      <c r="K2580" t="n">
        <v>0</v>
      </c>
      <c r="L2580" t="n">
        <v>1</v>
      </c>
      <c r="M2580" t="n">
        <v>0</v>
      </c>
    </row>
    <row r="2581" spans="1:13">
      <c r="A2581" s="1">
        <f>HYPERLINK("http://www.twitter.com/NathanBLawrence/status/989752353782820869", "989752353782820869")</f>
        <v/>
      </c>
      <c r="B2581" s="2" t="n">
        <v>43217.26763888889</v>
      </c>
      <c r="C2581" t="n">
        <v>0</v>
      </c>
      <c r="D2581" t="n">
        <v>12812</v>
      </c>
      <c r="E2581" t="s">
        <v>2549</v>
      </c>
      <c r="F2581" t="s"/>
      <c r="G2581" t="s"/>
      <c r="H2581" t="s"/>
      <c r="I2581" t="s"/>
      <c r="J2581" t="n">
        <v>0.6705</v>
      </c>
      <c r="K2581" t="n">
        <v>0</v>
      </c>
      <c r="L2581" t="n">
        <v>0.732</v>
      </c>
      <c r="M2581" t="n">
        <v>0.268</v>
      </c>
    </row>
    <row r="2582" spans="1:13">
      <c r="A2582" s="1">
        <f>HYPERLINK("http://www.twitter.com/NathanBLawrence/status/989752203203129344", "989752203203129344")</f>
        <v/>
      </c>
      <c r="B2582" s="2" t="n">
        <v>43217.26722222222</v>
      </c>
      <c r="C2582" t="n">
        <v>0</v>
      </c>
      <c r="D2582" t="n">
        <v>4</v>
      </c>
      <c r="E2582" t="s">
        <v>2550</v>
      </c>
      <c r="F2582" t="s"/>
      <c r="G2582" t="s"/>
      <c r="H2582" t="s"/>
      <c r="I2582" t="s"/>
      <c r="J2582" t="n">
        <v>0.5719</v>
      </c>
      <c r="K2582" t="n">
        <v>0.173</v>
      </c>
      <c r="L2582" t="n">
        <v>0.51</v>
      </c>
      <c r="M2582" t="n">
        <v>0.318</v>
      </c>
    </row>
    <row r="2583" spans="1:13">
      <c r="A2583" s="1">
        <f>HYPERLINK("http://www.twitter.com/NathanBLawrence/status/989739895668146177", "989739895668146177")</f>
        <v/>
      </c>
      <c r="B2583" s="2" t="n">
        <v>43217.23326388889</v>
      </c>
      <c r="C2583" t="n">
        <v>0</v>
      </c>
      <c r="D2583" t="n">
        <v>6250</v>
      </c>
      <c r="E2583" t="s">
        <v>2551</v>
      </c>
      <c r="F2583" t="s"/>
      <c r="G2583" t="s"/>
      <c r="H2583" t="s"/>
      <c r="I2583" t="s"/>
      <c r="J2583" t="n">
        <v>-0.3593</v>
      </c>
      <c r="K2583" t="n">
        <v>0.163</v>
      </c>
      <c r="L2583" t="n">
        <v>0.6909999999999999</v>
      </c>
      <c r="M2583" t="n">
        <v>0.146</v>
      </c>
    </row>
    <row r="2584" spans="1:13">
      <c r="A2584" s="1">
        <f>HYPERLINK("http://www.twitter.com/NathanBLawrence/status/989739882699415552", "989739882699415552")</f>
        <v/>
      </c>
      <c r="B2584" s="2" t="n">
        <v>43217.23322916667</v>
      </c>
      <c r="C2584" t="n">
        <v>0</v>
      </c>
      <c r="D2584" t="n">
        <v>9257</v>
      </c>
      <c r="E2584" t="s">
        <v>2552</v>
      </c>
      <c r="F2584">
        <f>HYPERLINK("https://video.twimg.com/amplify_video/988851229026586629/vid/1280x720/qLGEnDgekqq2BD_9.mp4?tag=2", "https://video.twimg.com/amplify_video/988851229026586629/vid/1280x720/qLGEnDgekqq2BD_9.mp4?tag=2")</f>
        <v/>
      </c>
      <c r="G2584" t="s"/>
      <c r="H2584" t="s"/>
      <c r="I2584" t="s"/>
      <c r="J2584" t="n">
        <v>0.7783</v>
      </c>
      <c r="K2584" t="n">
        <v>0</v>
      </c>
      <c r="L2584" t="n">
        <v>0.714</v>
      </c>
      <c r="M2584" t="n">
        <v>0.286</v>
      </c>
    </row>
    <row r="2585" spans="1:13">
      <c r="A2585" s="1">
        <f>HYPERLINK("http://www.twitter.com/NathanBLawrence/status/989738285365739520", "989738285365739520")</f>
        <v/>
      </c>
      <c r="B2585" s="2" t="n">
        <v>43217.22881944444</v>
      </c>
      <c r="C2585" t="n">
        <v>0</v>
      </c>
      <c r="D2585" t="n">
        <v>7</v>
      </c>
      <c r="E2585" t="s">
        <v>2553</v>
      </c>
      <c r="F2585">
        <f>HYPERLINK("http://pbs.twimg.com/media/Dbw5MYXUwAAks5G.jpg", "http://pbs.twimg.com/media/Dbw5MYXUwAAks5G.jpg")</f>
        <v/>
      </c>
      <c r="G2585" t="s"/>
      <c r="H2585" t="s"/>
      <c r="I2585" t="s"/>
      <c r="J2585" t="n">
        <v>-0.3331</v>
      </c>
      <c r="K2585" t="n">
        <v>0.144</v>
      </c>
      <c r="L2585" t="n">
        <v>0.77</v>
      </c>
      <c r="M2585" t="n">
        <v>0.08599999999999999</v>
      </c>
    </row>
    <row r="2586" spans="1:13">
      <c r="A2586" s="1">
        <f>HYPERLINK("http://www.twitter.com/NathanBLawrence/status/989733032515915778", "989733032515915778")</f>
        <v/>
      </c>
      <c r="B2586" s="2" t="n">
        <v>43217.21431712963</v>
      </c>
      <c r="C2586" t="n">
        <v>0</v>
      </c>
      <c r="D2586" t="n">
        <v>39</v>
      </c>
      <c r="E2586" t="s">
        <v>2554</v>
      </c>
      <c r="F2586" t="s"/>
      <c r="G2586" t="s"/>
      <c r="H2586" t="s"/>
      <c r="I2586" t="s"/>
      <c r="J2586" t="n">
        <v>0.4201</v>
      </c>
      <c r="K2586" t="n">
        <v>0</v>
      </c>
      <c r="L2586" t="n">
        <v>0.589</v>
      </c>
      <c r="M2586" t="n">
        <v>0.411</v>
      </c>
    </row>
    <row r="2587" spans="1:13">
      <c r="A2587" s="1">
        <f>HYPERLINK("http://www.twitter.com/NathanBLawrence/status/989732972541587456", "989732972541587456")</f>
        <v/>
      </c>
      <c r="B2587" s="2" t="n">
        <v>43217.2141550926</v>
      </c>
      <c r="C2587" t="n">
        <v>0</v>
      </c>
      <c r="D2587" t="n">
        <v>535</v>
      </c>
      <c r="E2587" t="s">
        <v>2555</v>
      </c>
      <c r="F2587">
        <f>HYPERLINK("http://pbs.twimg.com/media/Dbvh1-DXkAEWSEN.jpg", "http://pbs.twimg.com/media/Dbvh1-DXkAEWSEN.jpg")</f>
        <v/>
      </c>
      <c r="G2587" t="s"/>
      <c r="H2587" t="s"/>
      <c r="I2587" t="s"/>
      <c r="J2587" t="n">
        <v>0</v>
      </c>
      <c r="K2587" t="n">
        <v>0</v>
      </c>
      <c r="L2587" t="n">
        <v>1</v>
      </c>
      <c r="M2587" t="n">
        <v>0</v>
      </c>
    </row>
    <row r="2588" spans="1:13">
      <c r="A2588" s="1">
        <f>HYPERLINK("http://www.twitter.com/NathanBLawrence/status/989732863883948033", "989732863883948033")</f>
        <v/>
      </c>
      <c r="B2588" s="2" t="n">
        <v>43217.21385416666</v>
      </c>
      <c r="C2588" t="n">
        <v>0</v>
      </c>
      <c r="D2588" t="n">
        <v>248</v>
      </c>
      <c r="E2588" t="s">
        <v>2556</v>
      </c>
      <c r="F2588">
        <f>HYPERLINK("http://pbs.twimg.com/media/DbwUUJBVAAAdlf5.jpg", "http://pbs.twimg.com/media/DbwUUJBVAAAdlf5.jpg")</f>
        <v/>
      </c>
      <c r="G2588" t="s"/>
      <c r="H2588" t="s"/>
      <c r="I2588" t="s"/>
      <c r="J2588" t="n">
        <v>0.5266999999999999</v>
      </c>
      <c r="K2588" t="n">
        <v>0</v>
      </c>
      <c r="L2588" t="n">
        <v>0.833</v>
      </c>
      <c r="M2588" t="n">
        <v>0.167</v>
      </c>
    </row>
    <row r="2589" spans="1:13">
      <c r="A2589" s="1">
        <f>HYPERLINK("http://www.twitter.com/NathanBLawrence/status/989732793704837120", "989732793704837120")</f>
        <v/>
      </c>
      <c r="B2589" s="2" t="n">
        <v>43217.21366898148</v>
      </c>
      <c r="C2589" t="n">
        <v>0</v>
      </c>
      <c r="D2589" t="n">
        <v>2569</v>
      </c>
      <c r="E2589" t="s">
        <v>2557</v>
      </c>
      <c r="F2589">
        <f>HYPERLINK("http://pbs.twimg.com/media/DbtS3xJXcAA2U3z.jpg", "http://pbs.twimg.com/media/DbtS3xJXcAA2U3z.jpg")</f>
        <v/>
      </c>
      <c r="G2589" t="s"/>
      <c r="H2589" t="s"/>
      <c r="I2589" t="s"/>
      <c r="J2589" t="n">
        <v>-0.7269</v>
      </c>
      <c r="K2589" t="n">
        <v>0.318</v>
      </c>
      <c r="L2589" t="n">
        <v>0.571</v>
      </c>
      <c r="M2589" t="n">
        <v>0.11</v>
      </c>
    </row>
    <row r="2590" spans="1:13">
      <c r="A2590" s="1">
        <f>HYPERLINK("http://www.twitter.com/NathanBLawrence/status/989732753892556800", "989732753892556800")</f>
        <v/>
      </c>
      <c r="B2590" s="2" t="n">
        <v>43217.21355324074</v>
      </c>
      <c r="C2590" t="n">
        <v>0</v>
      </c>
      <c r="D2590" t="n">
        <v>4138</v>
      </c>
      <c r="E2590" t="s">
        <v>2558</v>
      </c>
      <c r="F2590">
        <f>HYPERLINK("http://pbs.twimg.com/media/DbvnOUuWsAAoipZ.jpg", "http://pbs.twimg.com/media/DbvnOUuWsAAoipZ.jpg")</f>
        <v/>
      </c>
      <c r="G2590" t="s"/>
      <c r="H2590" t="s"/>
      <c r="I2590" t="s"/>
      <c r="J2590" t="n">
        <v>0.8225</v>
      </c>
      <c r="K2590" t="n">
        <v>0</v>
      </c>
      <c r="L2590" t="n">
        <v>0.479</v>
      </c>
      <c r="M2590" t="n">
        <v>0.521</v>
      </c>
    </row>
    <row r="2591" spans="1:13">
      <c r="A2591" s="1">
        <f>HYPERLINK("http://www.twitter.com/NathanBLawrence/status/989731617542291457", "989731617542291457")</f>
        <v/>
      </c>
      <c r="B2591" s="2" t="n">
        <v>43217.21041666667</v>
      </c>
      <c r="C2591" t="n">
        <v>0</v>
      </c>
      <c r="D2591" t="n">
        <v>14</v>
      </c>
      <c r="E2591" t="s">
        <v>2559</v>
      </c>
      <c r="F2591" t="s"/>
      <c r="G2591" t="s"/>
      <c r="H2591" t="s"/>
      <c r="I2591" t="s"/>
      <c r="J2591" t="n">
        <v>0.3525</v>
      </c>
      <c r="K2591" t="n">
        <v>0.114</v>
      </c>
      <c r="L2591" t="n">
        <v>0.716</v>
      </c>
      <c r="M2591" t="n">
        <v>0.169</v>
      </c>
    </row>
    <row r="2592" spans="1:13">
      <c r="A2592" s="1">
        <f>HYPERLINK("http://www.twitter.com/NathanBLawrence/status/989730826332995586", "989730826332995586")</f>
        <v/>
      </c>
      <c r="B2592" s="2" t="n">
        <v>43217.20822916667</v>
      </c>
      <c r="C2592" t="n">
        <v>0</v>
      </c>
      <c r="D2592" t="n">
        <v>0</v>
      </c>
      <c r="E2592" t="s">
        <v>2560</v>
      </c>
      <c r="F2592" t="s"/>
      <c r="G2592" t="s"/>
      <c r="H2592" t="s"/>
      <c r="I2592" t="s"/>
      <c r="J2592" t="n">
        <v>-0.6343</v>
      </c>
      <c r="K2592" t="n">
        <v>0.25</v>
      </c>
      <c r="L2592" t="n">
        <v>0.694</v>
      </c>
      <c r="M2592" t="n">
        <v>0.057</v>
      </c>
    </row>
    <row r="2593" spans="1:13">
      <c r="A2593" s="1">
        <f>HYPERLINK("http://www.twitter.com/NathanBLawrence/status/989730646070185984", "989730646070185984")</f>
        <v/>
      </c>
      <c r="B2593" s="2" t="n">
        <v>43217.20773148148</v>
      </c>
      <c r="C2593" t="n">
        <v>0</v>
      </c>
      <c r="D2593" t="n">
        <v>17</v>
      </c>
      <c r="E2593" t="s">
        <v>2561</v>
      </c>
      <c r="F2593" t="s"/>
      <c r="G2593" t="s"/>
      <c r="H2593" t="s"/>
      <c r="I2593" t="s"/>
      <c r="J2593" t="n">
        <v>-0.4939</v>
      </c>
      <c r="K2593" t="n">
        <v>0.132</v>
      </c>
      <c r="L2593" t="n">
        <v>0.868</v>
      </c>
      <c r="M2593" t="n">
        <v>0</v>
      </c>
    </row>
    <row r="2594" spans="1:13">
      <c r="A2594" s="1">
        <f>HYPERLINK("http://www.twitter.com/NathanBLawrence/status/989730552847646720", "989730552847646720")</f>
        <v/>
      </c>
      <c r="B2594" s="2" t="n">
        <v>43217.20747685185</v>
      </c>
      <c r="C2594" t="n">
        <v>0</v>
      </c>
      <c r="D2594" t="n">
        <v>126</v>
      </c>
      <c r="E2594" t="s">
        <v>2562</v>
      </c>
      <c r="F2594" t="s"/>
      <c r="G2594" t="s"/>
      <c r="H2594" t="s"/>
      <c r="I2594" t="s"/>
      <c r="J2594" t="n">
        <v>0.8176</v>
      </c>
      <c r="K2594" t="n">
        <v>0</v>
      </c>
      <c r="L2594" t="n">
        <v>0.694</v>
      </c>
      <c r="M2594" t="n">
        <v>0.306</v>
      </c>
    </row>
    <row r="2595" spans="1:13">
      <c r="A2595" s="1">
        <f>HYPERLINK("http://www.twitter.com/NathanBLawrence/status/989730511043026944", "989730511043026944")</f>
        <v/>
      </c>
      <c r="B2595" s="2" t="n">
        <v>43217.20736111111</v>
      </c>
      <c r="C2595" t="n">
        <v>0</v>
      </c>
      <c r="D2595" t="n">
        <v>79</v>
      </c>
      <c r="E2595" t="s">
        <v>2563</v>
      </c>
      <c r="F2595" t="s"/>
      <c r="G2595" t="s"/>
      <c r="H2595" t="s"/>
      <c r="I2595" t="s"/>
      <c r="J2595" t="n">
        <v>0.6369</v>
      </c>
      <c r="K2595" t="n">
        <v>0</v>
      </c>
      <c r="L2595" t="n">
        <v>0.792</v>
      </c>
      <c r="M2595" t="n">
        <v>0.208</v>
      </c>
    </row>
    <row r="2596" spans="1:13">
      <c r="A2596" s="1">
        <f>HYPERLINK("http://www.twitter.com/NathanBLawrence/status/989730212932825088", "989730212932825088")</f>
        <v/>
      </c>
      <c r="B2596" s="2" t="n">
        <v>43217.20653935185</v>
      </c>
      <c r="C2596" t="n">
        <v>1</v>
      </c>
      <c r="D2596" t="n">
        <v>0</v>
      </c>
      <c r="E2596" t="s">
        <v>2564</v>
      </c>
      <c r="F2596">
        <f>HYPERLINK("http://pbs.twimg.com/media/Dbw6X7rVAAAVqOv.jpg", "http://pbs.twimg.com/media/Dbw6X7rVAAAVqOv.jpg")</f>
        <v/>
      </c>
      <c r="G2596" t="s"/>
      <c r="H2596" t="s"/>
      <c r="I2596" t="s"/>
      <c r="J2596" t="n">
        <v>0</v>
      </c>
      <c r="K2596" t="n">
        <v>0</v>
      </c>
      <c r="L2596" t="n">
        <v>1</v>
      </c>
      <c r="M2596" t="n">
        <v>0</v>
      </c>
    </row>
    <row r="2597" spans="1:13">
      <c r="A2597" s="1">
        <f>HYPERLINK("http://www.twitter.com/NathanBLawrence/status/989729698161639424", "989729698161639424")</f>
        <v/>
      </c>
      <c r="B2597" s="2" t="n">
        <v>43217.20511574074</v>
      </c>
      <c r="C2597" t="n">
        <v>0</v>
      </c>
      <c r="D2597" t="n">
        <v>6938</v>
      </c>
      <c r="E2597" t="s">
        <v>2565</v>
      </c>
      <c r="F2597" t="s"/>
      <c r="G2597" t="s"/>
      <c r="H2597" t="s"/>
      <c r="I2597" t="s"/>
      <c r="J2597" t="n">
        <v>0</v>
      </c>
      <c r="K2597" t="n">
        <v>0</v>
      </c>
      <c r="L2597" t="n">
        <v>1</v>
      </c>
      <c r="M2597" t="n">
        <v>0</v>
      </c>
    </row>
    <row r="2598" spans="1:13">
      <c r="A2598" s="1">
        <f>HYPERLINK("http://www.twitter.com/NathanBLawrence/status/989729657292439552", "989729657292439552")</f>
        <v/>
      </c>
      <c r="B2598" s="2" t="n">
        <v>43217.20501157407</v>
      </c>
      <c r="C2598" t="n">
        <v>0</v>
      </c>
      <c r="D2598" t="n">
        <v>9285</v>
      </c>
      <c r="E2598" t="s">
        <v>2566</v>
      </c>
      <c r="F2598" t="s"/>
      <c r="G2598" t="s"/>
      <c r="H2598" t="s"/>
      <c r="I2598" t="s"/>
      <c r="J2598" t="n">
        <v>0.6523</v>
      </c>
      <c r="K2598" t="n">
        <v>0</v>
      </c>
      <c r="L2598" t="n">
        <v>0.805</v>
      </c>
      <c r="M2598" t="n">
        <v>0.195</v>
      </c>
    </row>
    <row r="2599" spans="1:13">
      <c r="A2599" s="1">
        <f>HYPERLINK("http://www.twitter.com/NathanBLawrence/status/989729566041165826", "989729566041165826")</f>
        <v/>
      </c>
      <c r="B2599" s="2" t="n">
        <v>43217.20475694445</v>
      </c>
      <c r="C2599" t="n">
        <v>0</v>
      </c>
      <c r="D2599" t="n">
        <v>55</v>
      </c>
      <c r="E2599" t="s">
        <v>2567</v>
      </c>
      <c r="F2599" t="s"/>
      <c r="G2599" t="s"/>
      <c r="H2599" t="s"/>
      <c r="I2599" t="s"/>
      <c r="J2599" t="n">
        <v>-0.5574</v>
      </c>
      <c r="K2599" t="n">
        <v>0.153</v>
      </c>
      <c r="L2599" t="n">
        <v>0.847</v>
      </c>
      <c r="M2599" t="n">
        <v>0</v>
      </c>
    </row>
    <row r="2600" spans="1:13">
      <c r="A2600" s="1">
        <f>HYPERLINK("http://www.twitter.com/NathanBLawrence/status/989729524664356864", "989729524664356864")</f>
        <v/>
      </c>
      <c r="B2600" s="2" t="n">
        <v>43217.2046412037</v>
      </c>
      <c r="C2600" t="n">
        <v>0</v>
      </c>
      <c r="D2600" t="n">
        <v>886</v>
      </c>
      <c r="E2600" t="s">
        <v>2568</v>
      </c>
      <c r="F2600" t="s"/>
      <c r="G2600" t="s"/>
      <c r="H2600" t="s"/>
      <c r="I2600" t="s"/>
      <c r="J2600" t="n">
        <v>0.128</v>
      </c>
      <c r="K2600" t="n">
        <v>0</v>
      </c>
      <c r="L2600" t="n">
        <v>0.9330000000000001</v>
      </c>
      <c r="M2600" t="n">
        <v>0.067</v>
      </c>
    </row>
    <row r="2601" spans="1:13">
      <c r="A2601" s="1">
        <f>HYPERLINK("http://www.twitter.com/NathanBLawrence/status/989729462685085696", "989729462685085696")</f>
        <v/>
      </c>
      <c r="B2601" s="2" t="n">
        <v>43217.20446759259</v>
      </c>
      <c r="C2601" t="n">
        <v>0</v>
      </c>
      <c r="D2601" t="n">
        <v>5555</v>
      </c>
      <c r="E2601" t="s">
        <v>2569</v>
      </c>
      <c r="F2601" t="s"/>
      <c r="G2601" t="s"/>
      <c r="H2601" t="s"/>
      <c r="I2601" t="s"/>
      <c r="J2601" t="n">
        <v>-0.5106000000000001</v>
      </c>
      <c r="K2601" t="n">
        <v>0.281</v>
      </c>
      <c r="L2601" t="n">
        <v>0.719</v>
      </c>
      <c r="M2601" t="n">
        <v>0</v>
      </c>
    </row>
    <row r="2602" spans="1:13">
      <c r="A2602" s="1">
        <f>HYPERLINK("http://www.twitter.com/NathanBLawrence/status/989729154542129153", "989729154542129153")</f>
        <v/>
      </c>
      <c r="B2602" s="2" t="n">
        <v>43217.20362268519</v>
      </c>
      <c r="C2602" t="n">
        <v>0</v>
      </c>
      <c r="D2602" t="n">
        <v>91</v>
      </c>
      <c r="E2602" t="s">
        <v>2570</v>
      </c>
      <c r="F2602" t="s"/>
      <c r="G2602" t="s"/>
      <c r="H2602" t="s"/>
      <c r="I2602" t="s"/>
      <c r="J2602" t="n">
        <v>-0.5423</v>
      </c>
      <c r="K2602" t="n">
        <v>0.241</v>
      </c>
      <c r="L2602" t="n">
        <v>0.635</v>
      </c>
      <c r="M2602" t="n">
        <v>0.124</v>
      </c>
    </row>
    <row r="2603" spans="1:13">
      <c r="A2603" s="1">
        <f>HYPERLINK("http://www.twitter.com/NathanBLawrence/status/989729118479503360", "989729118479503360")</f>
        <v/>
      </c>
      <c r="B2603" s="2" t="n">
        <v>43217.20351851852</v>
      </c>
      <c r="C2603" t="n">
        <v>0</v>
      </c>
      <c r="D2603" t="n">
        <v>5064</v>
      </c>
      <c r="E2603" t="s">
        <v>2571</v>
      </c>
      <c r="F2603" t="s"/>
      <c r="G2603" t="s"/>
      <c r="H2603" t="s"/>
      <c r="I2603" t="s"/>
      <c r="J2603" t="n">
        <v>-0.4404</v>
      </c>
      <c r="K2603" t="n">
        <v>0.132</v>
      </c>
      <c r="L2603" t="n">
        <v>0.868</v>
      </c>
      <c r="M2603" t="n">
        <v>0</v>
      </c>
    </row>
    <row r="2604" spans="1:13">
      <c r="A2604" s="1">
        <f>HYPERLINK("http://www.twitter.com/NathanBLawrence/status/989729049646743552", "989729049646743552")</f>
        <v/>
      </c>
      <c r="B2604" s="2" t="n">
        <v>43217.20333333333</v>
      </c>
      <c r="C2604" t="n">
        <v>0</v>
      </c>
      <c r="D2604" t="n">
        <v>6555</v>
      </c>
      <c r="E2604" t="s">
        <v>2572</v>
      </c>
      <c r="F2604" t="s"/>
      <c r="G2604" t="s"/>
      <c r="H2604" t="s"/>
      <c r="I2604" t="s"/>
      <c r="J2604" t="n">
        <v>0.8807</v>
      </c>
      <c r="K2604" t="n">
        <v>0</v>
      </c>
      <c r="L2604" t="n">
        <v>0.227</v>
      </c>
      <c r="M2604" t="n">
        <v>0.773</v>
      </c>
    </row>
    <row r="2605" spans="1:13">
      <c r="A2605" s="1">
        <f>HYPERLINK("http://www.twitter.com/NathanBLawrence/status/989728915907268609", "989728915907268609")</f>
        <v/>
      </c>
      <c r="B2605" s="2" t="n">
        <v>43217.20296296296</v>
      </c>
      <c r="C2605" t="n">
        <v>12</v>
      </c>
      <c r="D2605" t="n">
        <v>7</v>
      </c>
      <c r="E2605" t="s">
        <v>2573</v>
      </c>
      <c r="F2605">
        <f>HYPERLINK("http://pbs.twimg.com/media/Dbw5MYXUwAAks5G.jpg", "http://pbs.twimg.com/media/Dbw5MYXUwAAks5G.jpg")</f>
        <v/>
      </c>
      <c r="G2605" t="s"/>
      <c r="H2605" t="s"/>
      <c r="I2605" t="s"/>
      <c r="J2605" t="n">
        <v>-0.4153</v>
      </c>
      <c r="K2605" t="n">
        <v>0.142</v>
      </c>
      <c r="L2605" t="n">
        <v>0.753</v>
      </c>
      <c r="M2605" t="n">
        <v>0.106</v>
      </c>
    </row>
    <row r="2606" spans="1:13">
      <c r="A2606" s="1">
        <f>HYPERLINK("http://www.twitter.com/NathanBLawrence/status/989716129269534729", "989716129269534729")</f>
        <v/>
      </c>
      <c r="B2606" s="2" t="n">
        <v>43217.16767361111</v>
      </c>
      <c r="C2606" t="n">
        <v>0</v>
      </c>
      <c r="D2606" t="n">
        <v>38</v>
      </c>
      <c r="E2606" t="s">
        <v>2477</v>
      </c>
      <c r="F2606">
        <f>HYPERLINK("http://pbs.twimg.com/media/DbwtcplU8AEWq-6.jpg", "http://pbs.twimg.com/media/DbwtcplU8AEWq-6.jpg")</f>
        <v/>
      </c>
      <c r="G2606" t="s"/>
      <c r="H2606" t="s"/>
      <c r="I2606" t="s"/>
      <c r="J2606" t="n">
        <v>0.7985</v>
      </c>
      <c r="K2606" t="n">
        <v>0.118</v>
      </c>
      <c r="L2606" t="n">
        <v>0.577</v>
      </c>
      <c r="M2606" t="n">
        <v>0.305</v>
      </c>
    </row>
    <row r="2607" spans="1:13">
      <c r="A2607" s="1">
        <f>HYPERLINK("http://www.twitter.com/NathanBLawrence/status/989716005361340418", "989716005361340418")</f>
        <v/>
      </c>
      <c r="B2607" s="2" t="n">
        <v>43217.16733796296</v>
      </c>
      <c r="C2607" t="n">
        <v>47</v>
      </c>
      <c r="D2607" t="n">
        <v>38</v>
      </c>
      <c r="E2607" t="s">
        <v>2574</v>
      </c>
      <c r="F2607">
        <f>HYPERLINK("http://pbs.twimg.com/media/DbwtcplU8AEWq-6.jpg", "http://pbs.twimg.com/media/DbwtcplU8AEWq-6.jpg")</f>
        <v/>
      </c>
      <c r="G2607" t="s"/>
      <c r="H2607" t="s"/>
      <c r="I2607" t="s"/>
      <c r="J2607" t="n">
        <v>-0.5737</v>
      </c>
      <c r="K2607" t="n">
        <v>0.263</v>
      </c>
      <c r="L2607" t="n">
        <v>0.529</v>
      </c>
      <c r="M2607" t="n">
        <v>0.208</v>
      </c>
    </row>
    <row r="2608" spans="1:13">
      <c r="A2608" s="1">
        <f>HYPERLINK("http://www.twitter.com/NathanBLawrence/status/989713302124195840", "989713302124195840")</f>
        <v/>
      </c>
      <c r="B2608" s="2" t="n">
        <v>43217.15987268519</v>
      </c>
      <c r="C2608" t="n">
        <v>0</v>
      </c>
      <c r="D2608" t="n">
        <v>3</v>
      </c>
      <c r="E2608" t="s">
        <v>2575</v>
      </c>
      <c r="F2608" t="s"/>
      <c r="G2608" t="s"/>
      <c r="H2608" t="s"/>
      <c r="I2608" t="s"/>
      <c r="J2608" t="n">
        <v>0.4019</v>
      </c>
      <c r="K2608" t="n">
        <v>0</v>
      </c>
      <c r="L2608" t="n">
        <v>0.85</v>
      </c>
      <c r="M2608" t="n">
        <v>0.15</v>
      </c>
    </row>
    <row r="2609" spans="1:13">
      <c r="A2609" s="1">
        <f>HYPERLINK("http://www.twitter.com/NathanBLawrence/status/989713095651201024", "989713095651201024")</f>
        <v/>
      </c>
      <c r="B2609" s="2" t="n">
        <v>43217.15930555556</v>
      </c>
      <c r="C2609" t="n">
        <v>0</v>
      </c>
      <c r="D2609" t="n">
        <v>12</v>
      </c>
      <c r="E2609" t="s">
        <v>2576</v>
      </c>
      <c r="F2609" t="s"/>
      <c r="G2609" t="s"/>
      <c r="H2609" t="s"/>
      <c r="I2609" t="s"/>
      <c r="J2609" t="n">
        <v>0</v>
      </c>
      <c r="K2609" t="n">
        <v>0</v>
      </c>
      <c r="L2609" t="n">
        <v>1</v>
      </c>
      <c r="M2609" t="n">
        <v>0</v>
      </c>
    </row>
    <row r="2610" spans="1:13">
      <c r="A2610" s="1">
        <f>HYPERLINK("http://www.twitter.com/NathanBLawrence/status/989712921138728960", "989712921138728960")</f>
        <v/>
      </c>
      <c r="B2610" s="2" t="n">
        <v>43217.15883101852</v>
      </c>
      <c r="C2610" t="n">
        <v>0</v>
      </c>
      <c r="D2610" t="n">
        <v>6</v>
      </c>
      <c r="E2610" t="s">
        <v>2577</v>
      </c>
      <c r="F2610" t="s"/>
      <c r="G2610" t="s"/>
      <c r="H2610" t="s"/>
      <c r="I2610" t="s"/>
      <c r="J2610" t="n">
        <v>0</v>
      </c>
      <c r="K2610" t="n">
        <v>0</v>
      </c>
      <c r="L2610" t="n">
        <v>1</v>
      </c>
      <c r="M2610" t="n">
        <v>0</v>
      </c>
    </row>
    <row r="2611" spans="1:13">
      <c r="A2611" s="1">
        <f>HYPERLINK("http://www.twitter.com/NathanBLawrence/status/989697248224268288", "989697248224268288")</f>
        <v/>
      </c>
      <c r="B2611" s="2" t="n">
        <v>43217.11557870371</v>
      </c>
      <c r="C2611" t="n">
        <v>2</v>
      </c>
      <c r="D2611" t="n">
        <v>0</v>
      </c>
      <c r="E2611" t="s">
        <v>2578</v>
      </c>
      <c r="F2611" t="s"/>
      <c r="G2611" t="s"/>
      <c r="H2611" t="s"/>
      <c r="I2611" t="s"/>
      <c r="J2611" t="n">
        <v>0</v>
      </c>
      <c r="K2611" t="n">
        <v>0</v>
      </c>
      <c r="L2611" t="n">
        <v>1</v>
      </c>
      <c r="M2611" t="n">
        <v>0</v>
      </c>
    </row>
    <row r="2612" spans="1:13">
      <c r="A2612" s="1">
        <f>HYPERLINK("http://www.twitter.com/NathanBLawrence/status/989697021333458946", "989697021333458946")</f>
        <v/>
      </c>
      <c r="B2612" s="2" t="n">
        <v>43217.11495370371</v>
      </c>
      <c r="C2612" t="n">
        <v>3</v>
      </c>
      <c r="D2612" t="n">
        <v>1</v>
      </c>
      <c r="E2612" t="s">
        <v>2579</v>
      </c>
      <c r="F2612" t="s"/>
      <c r="G2612" t="s"/>
      <c r="H2612" t="s"/>
      <c r="I2612" t="s"/>
      <c r="J2612" t="n">
        <v>0</v>
      </c>
      <c r="K2612" t="n">
        <v>0</v>
      </c>
      <c r="L2612" t="n">
        <v>1</v>
      </c>
      <c r="M2612" t="n">
        <v>0</v>
      </c>
    </row>
    <row r="2613" spans="1:13">
      <c r="A2613" s="1">
        <f>HYPERLINK("http://www.twitter.com/NathanBLawrence/status/989688097309945857", "989688097309945857")</f>
        <v/>
      </c>
      <c r="B2613" s="2" t="n">
        <v>43217.09032407407</v>
      </c>
      <c r="C2613" t="n">
        <v>12</v>
      </c>
      <c r="D2613" t="n">
        <v>4</v>
      </c>
      <c r="E2613" t="s">
        <v>2580</v>
      </c>
      <c r="F2613">
        <f>HYPERLINK("http://pbs.twimg.com/media/DbwUETYXcAAZnV5.jpg", "http://pbs.twimg.com/media/DbwUETYXcAAZnV5.jpg")</f>
        <v/>
      </c>
      <c r="G2613" t="s"/>
      <c r="H2613" t="s"/>
      <c r="I2613" t="s"/>
      <c r="J2613" t="n">
        <v>0</v>
      </c>
      <c r="K2613" t="n">
        <v>0</v>
      </c>
      <c r="L2613" t="n">
        <v>1</v>
      </c>
      <c r="M2613" t="n">
        <v>0</v>
      </c>
    </row>
    <row r="2614" spans="1:13">
      <c r="A2614" s="1">
        <f>HYPERLINK("http://www.twitter.com/NathanBLawrence/status/989687365986869249", "989687365986869249")</f>
        <v/>
      </c>
      <c r="B2614" s="2" t="n">
        <v>43217.08831018519</v>
      </c>
      <c r="C2614" t="n">
        <v>0</v>
      </c>
      <c r="D2614" t="n">
        <v>15</v>
      </c>
      <c r="E2614" t="s">
        <v>2581</v>
      </c>
      <c r="F2614" t="s"/>
      <c r="G2614" t="s"/>
      <c r="H2614" t="s"/>
      <c r="I2614" t="s"/>
      <c r="J2614" t="n">
        <v>-0.34</v>
      </c>
      <c r="K2614" t="n">
        <v>0.194</v>
      </c>
      <c r="L2614" t="n">
        <v>0.656</v>
      </c>
      <c r="M2614" t="n">
        <v>0.15</v>
      </c>
    </row>
    <row r="2615" spans="1:13">
      <c r="A2615" s="1">
        <f>HYPERLINK("http://www.twitter.com/NathanBLawrence/status/989687341978615808", "989687341978615808")</f>
        <v/>
      </c>
      <c r="B2615" s="2" t="n">
        <v>43217.08824074074</v>
      </c>
      <c r="C2615" t="n">
        <v>0</v>
      </c>
      <c r="D2615" t="n">
        <v>12</v>
      </c>
      <c r="E2615" t="s">
        <v>2582</v>
      </c>
      <c r="F2615">
        <f>HYPERLINK("http://pbs.twimg.com/media/DbvkbioX4AAm2xS.jpg", "http://pbs.twimg.com/media/DbvkbioX4AAm2xS.jpg")</f>
        <v/>
      </c>
      <c r="G2615" t="s"/>
      <c r="H2615" t="s"/>
      <c r="I2615" t="s"/>
      <c r="J2615" t="n">
        <v>0</v>
      </c>
      <c r="K2615" t="n">
        <v>0</v>
      </c>
      <c r="L2615" t="n">
        <v>1</v>
      </c>
      <c r="M2615" t="n">
        <v>0</v>
      </c>
    </row>
    <row r="2616" spans="1:13">
      <c r="A2616" s="1">
        <f>HYPERLINK("http://www.twitter.com/NathanBLawrence/status/989687318658379779", "989687318658379779")</f>
        <v/>
      </c>
      <c r="B2616" s="2" t="n">
        <v>43217.08817129629</v>
      </c>
      <c r="C2616" t="n">
        <v>0</v>
      </c>
      <c r="D2616" t="n">
        <v>15</v>
      </c>
      <c r="E2616" t="s">
        <v>2583</v>
      </c>
      <c r="F2616">
        <f>HYPERLINK("http://pbs.twimg.com/media/Dbvw_8FUwAAPOFF.jpg", "http://pbs.twimg.com/media/Dbvw_8FUwAAPOFF.jpg")</f>
        <v/>
      </c>
      <c r="G2616" t="s"/>
      <c r="H2616" t="s"/>
      <c r="I2616" t="s"/>
      <c r="J2616" t="n">
        <v>0</v>
      </c>
      <c r="K2616" t="n">
        <v>0</v>
      </c>
      <c r="L2616" t="n">
        <v>1</v>
      </c>
      <c r="M2616" t="n">
        <v>0</v>
      </c>
    </row>
    <row r="2617" spans="1:13">
      <c r="A2617" s="1">
        <f>HYPERLINK("http://www.twitter.com/NathanBLawrence/status/989687305303678977", "989687305303678977")</f>
        <v/>
      </c>
      <c r="B2617" s="2" t="n">
        <v>43217.08813657407</v>
      </c>
      <c r="C2617" t="n">
        <v>0</v>
      </c>
      <c r="D2617" t="n">
        <v>76</v>
      </c>
      <c r="E2617" t="s">
        <v>2584</v>
      </c>
      <c r="F2617" t="s"/>
      <c r="G2617" t="s"/>
      <c r="H2617" t="s"/>
      <c r="I2617" t="s"/>
      <c r="J2617" t="n">
        <v>0.4404</v>
      </c>
      <c r="K2617" t="n">
        <v>0</v>
      </c>
      <c r="L2617" t="n">
        <v>0.868</v>
      </c>
      <c r="M2617" t="n">
        <v>0.132</v>
      </c>
    </row>
    <row r="2618" spans="1:13">
      <c r="A2618" s="1">
        <f>HYPERLINK("http://www.twitter.com/NathanBLawrence/status/989687296504029185", "989687296504029185")</f>
        <v/>
      </c>
      <c r="B2618" s="2" t="n">
        <v>43217.08811342593</v>
      </c>
      <c r="C2618" t="n">
        <v>0</v>
      </c>
      <c r="D2618" t="n">
        <v>442</v>
      </c>
      <c r="E2618" t="s">
        <v>2585</v>
      </c>
      <c r="F2618">
        <f>HYPERLINK("http://pbs.twimg.com/media/DbKLs1oW0AAyJ7M.png", "http://pbs.twimg.com/media/DbKLs1oW0AAyJ7M.png")</f>
        <v/>
      </c>
      <c r="G2618" t="s"/>
      <c r="H2618" t="s"/>
      <c r="I2618" t="s"/>
      <c r="J2618" t="n">
        <v>0.6996</v>
      </c>
      <c r="K2618" t="n">
        <v>0</v>
      </c>
      <c r="L2618" t="n">
        <v>0.775</v>
      </c>
      <c r="M2618" t="n">
        <v>0.225</v>
      </c>
    </row>
    <row r="2619" spans="1:13">
      <c r="A2619" s="1">
        <f>HYPERLINK("http://www.twitter.com/NathanBLawrence/status/989686704708685824", "989686704708685824")</f>
        <v/>
      </c>
      <c r="B2619" s="2" t="n">
        <v>43217.08648148148</v>
      </c>
      <c r="C2619" t="n">
        <v>0</v>
      </c>
      <c r="D2619" t="n">
        <v>15</v>
      </c>
      <c r="E2619" t="s">
        <v>2243</v>
      </c>
      <c r="F2619">
        <f>HYPERLINK("http://pbs.twimg.com/media/DbwSpsPVwAAMK8S.jpg", "http://pbs.twimg.com/media/DbwSpsPVwAAMK8S.jpg")</f>
        <v/>
      </c>
      <c r="G2619" t="s"/>
      <c r="H2619" t="s"/>
      <c r="I2619" t="s"/>
      <c r="J2619" t="n">
        <v>0.4019</v>
      </c>
      <c r="K2619" t="n">
        <v>0</v>
      </c>
      <c r="L2619" t="n">
        <v>0.903</v>
      </c>
      <c r="M2619" t="n">
        <v>0.097</v>
      </c>
    </row>
    <row r="2620" spans="1:13">
      <c r="A2620" s="1">
        <f>HYPERLINK("http://www.twitter.com/NathanBLawrence/status/989686667404546049", "989686667404546049")</f>
        <v/>
      </c>
      <c r="B2620" s="2" t="n">
        <v>43217.08637731482</v>
      </c>
      <c r="C2620" t="n">
        <v>0</v>
      </c>
      <c r="D2620" t="n">
        <v>385</v>
      </c>
      <c r="E2620" t="s">
        <v>2586</v>
      </c>
      <c r="F2620" t="s"/>
      <c r="G2620" t="s"/>
      <c r="H2620" t="s"/>
      <c r="I2620" t="s"/>
      <c r="J2620" t="n">
        <v>0.8591</v>
      </c>
      <c r="K2620" t="n">
        <v>0</v>
      </c>
      <c r="L2620" t="n">
        <v>0.632</v>
      </c>
      <c r="M2620" t="n">
        <v>0.368</v>
      </c>
    </row>
    <row r="2621" spans="1:13">
      <c r="A2621" s="1">
        <f>HYPERLINK("http://www.twitter.com/NathanBLawrence/status/989686609875537920", "989686609875537920")</f>
        <v/>
      </c>
      <c r="B2621" s="2" t="n">
        <v>43217.08621527778</v>
      </c>
      <c r="C2621" t="n">
        <v>0</v>
      </c>
      <c r="D2621" t="n">
        <v>16</v>
      </c>
      <c r="E2621" t="s">
        <v>2587</v>
      </c>
      <c r="F2621" t="s"/>
      <c r="G2621" t="s"/>
      <c r="H2621" t="s"/>
      <c r="I2621" t="s"/>
      <c r="J2621" t="n">
        <v>0</v>
      </c>
      <c r="K2621" t="n">
        <v>0</v>
      </c>
      <c r="L2621" t="n">
        <v>1</v>
      </c>
      <c r="M2621" t="n">
        <v>0</v>
      </c>
    </row>
    <row r="2622" spans="1:13">
      <c r="A2622" s="1">
        <f>HYPERLINK("http://www.twitter.com/NathanBLawrence/status/989686535401410562", "989686535401410562")</f>
        <v/>
      </c>
      <c r="B2622" s="2" t="n">
        <v>43217.08601851852</v>
      </c>
      <c r="C2622" t="n">
        <v>29</v>
      </c>
      <c r="D2622" t="n">
        <v>15</v>
      </c>
      <c r="E2622" t="s">
        <v>2588</v>
      </c>
      <c r="F2622">
        <f>HYPERLINK("http://pbs.twimg.com/media/DbwSpsPVwAAMK8S.jpg", "http://pbs.twimg.com/media/DbwSpsPVwAAMK8S.jpg")</f>
        <v/>
      </c>
      <c r="G2622" t="s"/>
      <c r="H2622" t="s"/>
      <c r="I2622" t="s"/>
      <c r="J2622" t="n">
        <v>0.4588</v>
      </c>
      <c r="K2622" t="n">
        <v>0</v>
      </c>
      <c r="L2622" t="n">
        <v>0.92</v>
      </c>
      <c r="M2622" t="n">
        <v>0.08</v>
      </c>
    </row>
    <row r="2623" spans="1:13">
      <c r="A2623" s="1">
        <f>HYPERLINK("http://www.twitter.com/NathanBLawrence/status/989670867205607425", "989670867205607425")</f>
        <v/>
      </c>
      <c r="B2623" s="2" t="n">
        <v>43217.04277777778</v>
      </c>
      <c r="C2623" t="n">
        <v>0</v>
      </c>
      <c r="D2623" t="n">
        <v>9</v>
      </c>
      <c r="E2623" t="s">
        <v>2589</v>
      </c>
      <c r="F2623" t="s"/>
      <c r="G2623" t="s"/>
      <c r="H2623" t="s"/>
      <c r="I2623" t="s"/>
      <c r="J2623" t="n">
        <v>-0.296</v>
      </c>
      <c r="K2623" t="n">
        <v>0.123</v>
      </c>
      <c r="L2623" t="n">
        <v>0.797</v>
      </c>
      <c r="M2623" t="n">
        <v>0.08</v>
      </c>
    </row>
    <row r="2624" spans="1:13">
      <c r="A2624" s="1">
        <f>HYPERLINK("http://www.twitter.com/NathanBLawrence/status/989670815355539457", "989670815355539457")</f>
        <v/>
      </c>
      <c r="B2624" s="2" t="n">
        <v>43217.04263888889</v>
      </c>
      <c r="C2624" t="n">
        <v>0</v>
      </c>
      <c r="D2624" t="n">
        <v>5</v>
      </c>
      <c r="E2624" t="s">
        <v>2590</v>
      </c>
      <c r="F2624" t="s"/>
      <c r="G2624" t="s"/>
      <c r="H2624" t="s"/>
      <c r="I2624" t="s"/>
      <c r="J2624" t="n">
        <v>0</v>
      </c>
      <c r="K2624" t="n">
        <v>0</v>
      </c>
      <c r="L2624" t="n">
        <v>1</v>
      </c>
      <c r="M2624" t="n">
        <v>0</v>
      </c>
    </row>
    <row r="2625" spans="1:13">
      <c r="A2625" s="1">
        <f>HYPERLINK("http://www.twitter.com/NathanBLawrence/status/989662360527933440", "989662360527933440")</f>
        <v/>
      </c>
      <c r="B2625" s="2" t="n">
        <v>43217.01930555556</v>
      </c>
      <c r="C2625" t="n">
        <v>0</v>
      </c>
      <c r="D2625" t="n">
        <v>13</v>
      </c>
      <c r="E2625" t="s">
        <v>2591</v>
      </c>
      <c r="F2625" t="s"/>
      <c r="G2625" t="s"/>
      <c r="H2625" t="s"/>
      <c r="I2625" t="s"/>
      <c r="J2625" t="n">
        <v>-0.25</v>
      </c>
      <c r="K2625" t="n">
        <v>0.194</v>
      </c>
      <c r="L2625" t="n">
        <v>0.656</v>
      </c>
      <c r="M2625" t="n">
        <v>0.15</v>
      </c>
    </row>
    <row r="2626" spans="1:13">
      <c r="A2626" s="1">
        <f>HYPERLINK("http://www.twitter.com/NathanBLawrence/status/989662279426768896", "989662279426768896")</f>
        <v/>
      </c>
      <c r="B2626" s="2" t="n">
        <v>43217.01908564815</v>
      </c>
      <c r="C2626" t="n">
        <v>0</v>
      </c>
      <c r="D2626" t="n">
        <v>9</v>
      </c>
      <c r="E2626" t="s">
        <v>2592</v>
      </c>
      <c r="F2626" t="s"/>
      <c r="G2626" t="s"/>
      <c r="H2626" t="s"/>
      <c r="I2626" t="s"/>
      <c r="J2626" t="n">
        <v>0</v>
      </c>
      <c r="K2626" t="n">
        <v>0</v>
      </c>
      <c r="L2626" t="n">
        <v>1</v>
      </c>
      <c r="M2626" t="n">
        <v>0</v>
      </c>
    </row>
    <row r="2627" spans="1:13">
      <c r="A2627" s="1">
        <f>HYPERLINK("http://www.twitter.com/NathanBLawrence/status/989662215828656132", "989662215828656132")</f>
        <v/>
      </c>
      <c r="B2627" s="2" t="n">
        <v>43217.01890046296</v>
      </c>
      <c r="C2627" t="n">
        <v>0</v>
      </c>
      <c r="D2627" t="n">
        <v>12</v>
      </c>
      <c r="E2627" t="s">
        <v>2593</v>
      </c>
      <c r="F2627">
        <f>HYPERLINK("http://pbs.twimg.com/media/Dbv0DbWX4AEtIOr.jpg", "http://pbs.twimg.com/media/Dbv0DbWX4AEtIOr.jpg")</f>
        <v/>
      </c>
      <c r="G2627" t="s"/>
      <c r="H2627" t="s"/>
      <c r="I2627" t="s"/>
      <c r="J2627" t="n">
        <v>0.6588000000000001</v>
      </c>
      <c r="K2627" t="n">
        <v>0</v>
      </c>
      <c r="L2627" t="n">
        <v>0.804</v>
      </c>
      <c r="M2627" t="n">
        <v>0.196</v>
      </c>
    </row>
    <row r="2628" spans="1:13">
      <c r="A2628" s="1">
        <f>HYPERLINK("http://www.twitter.com/NathanBLawrence/status/989662144537952256", "989662144537952256")</f>
        <v/>
      </c>
      <c r="B2628" s="2" t="n">
        <v>43217.0187037037</v>
      </c>
      <c r="C2628" t="n">
        <v>0</v>
      </c>
      <c r="D2628" t="n">
        <v>8</v>
      </c>
      <c r="E2628" t="s">
        <v>2594</v>
      </c>
      <c r="F2628" t="s"/>
      <c r="G2628" t="s"/>
      <c r="H2628" t="s"/>
      <c r="I2628" t="s"/>
      <c r="J2628" t="n">
        <v>-0.3164</v>
      </c>
      <c r="K2628" t="n">
        <v>0.2</v>
      </c>
      <c r="L2628" t="n">
        <v>0.638</v>
      </c>
      <c r="M2628" t="n">
        <v>0.161</v>
      </c>
    </row>
    <row r="2629" spans="1:13">
      <c r="A2629" s="1">
        <f>HYPERLINK("http://www.twitter.com/NathanBLawrence/status/989661996646912001", "989661996646912001")</f>
        <v/>
      </c>
      <c r="B2629" s="2" t="n">
        <v>43217.01829861111</v>
      </c>
      <c r="C2629" t="n">
        <v>0</v>
      </c>
      <c r="D2629" t="n">
        <v>12</v>
      </c>
      <c r="E2629" t="s">
        <v>2595</v>
      </c>
      <c r="F2629" t="s"/>
      <c r="G2629" t="s"/>
      <c r="H2629" t="s"/>
      <c r="I2629" t="s"/>
      <c r="J2629" t="n">
        <v>0.4973</v>
      </c>
      <c r="K2629" t="n">
        <v>0</v>
      </c>
      <c r="L2629" t="n">
        <v>0.791</v>
      </c>
      <c r="M2629" t="n">
        <v>0.209</v>
      </c>
    </row>
    <row r="2630" spans="1:13">
      <c r="A2630" s="1">
        <f>HYPERLINK("http://www.twitter.com/NathanBLawrence/status/989661917185822722", "989661917185822722")</f>
        <v/>
      </c>
      <c r="B2630" s="2" t="n">
        <v>43217.0180787037</v>
      </c>
      <c r="C2630" t="n">
        <v>0</v>
      </c>
      <c r="D2630" t="n">
        <v>12</v>
      </c>
      <c r="E2630" t="s">
        <v>2596</v>
      </c>
      <c r="F2630" t="s"/>
      <c r="G2630" t="s"/>
      <c r="H2630" t="s"/>
      <c r="I2630" t="s"/>
      <c r="J2630" t="n">
        <v>-0.296</v>
      </c>
      <c r="K2630" t="n">
        <v>0.095</v>
      </c>
      <c r="L2630" t="n">
        <v>0.905</v>
      </c>
      <c r="M2630" t="n">
        <v>0</v>
      </c>
    </row>
    <row r="2631" spans="1:13">
      <c r="A2631" s="1">
        <f>HYPERLINK("http://www.twitter.com/NathanBLawrence/status/989661876811386881", "989661876811386881")</f>
        <v/>
      </c>
      <c r="B2631" s="2" t="n">
        <v>43217.01797453704</v>
      </c>
      <c r="C2631" t="n">
        <v>0</v>
      </c>
      <c r="D2631" t="n">
        <v>0</v>
      </c>
      <c r="E2631" t="s">
        <v>2597</v>
      </c>
      <c r="F2631" t="s"/>
      <c r="G2631" t="s"/>
      <c r="H2631" t="s"/>
      <c r="I2631" t="s"/>
      <c r="J2631" t="n">
        <v>0</v>
      </c>
      <c r="K2631" t="n">
        <v>0</v>
      </c>
      <c r="L2631" t="n">
        <v>1</v>
      </c>
      <c r="M2631" t="n">
        <v>0</v>
      </c>
    </row>
    <row r="2632" spans="1:13">
      <c r="A2632" s="1">
        <f>HYPERLINK("http://www.twitter.com/NathanBLawrence/status/989661845219835908", "989661845219835908")</f>
        <v/>
      </c>
      <c r="B2632" s="2" t="n">
        <v>43217.01788194444</v>
      </c>
      <c r="C2632" t="n">
        <v>0</v>
      </c>
      <c r="D2632" t="n">
        <v>44</v>
      </c>
      <c r="E2632" t="s">
        <v>2598</v>
      </c>
      <c r="F2632" t="s"/>
      <c r="G2632" t="s"/>
      <c r="H2632" t="s"/>
      <c r="I2632" t="s"/>
      <c r="J2632" t="n">
        <v>0.0985</v>
      </c>
      <c r="K2632" t="n">
        <v>0.08400000000000001</v>
      </c>
      <c r="L2632" t="n">
        <v>0.778</v>
      </c>
      <c r="M2632" t="n">
        <v>0.138</v>
      </c>
    </row>
    <row r="2633" spans="1:13">
      <c r="A2633" s="1">
        <f>HYPERLINK("http://www.twitter.com/NathanBLawrence/status/989635545629421574", "989635545629421574")</f>
        <v/>
      </c>
      <c r="B2633" s="2" t="n">
        <v>43216.9453125</v>
      </c>
      <c r="C2633" t="n">
        <v>0</v>
      </c>
      <c r="D2633" t="n">
        <v>2</v>
      </c>
      <c r="E2633" t="s">
        <v>2599</v>
      </c>
      <c r="F2633" t="s"/>
      <c r="G2633" t="s"/>
      <c r="H2633" t="s"/>
      <c r="I2633" t="s"/>
      <c r="J2633" t="n">
        <v>0</v>
      </c>
      <c r="K2633" t="n">
        <v>0</v>
      </c>
      <c r="L2633" t="n">
        <v>1</v>
      </c>
      <c r="M2633" t="n">
        <v>0</v>
      </c>
    </row>
    <row r="2634" spans="1:13">
      <c r="A2634" s="1">
        <f>HYPERLINK("http://www.twitter.com/NathanBLawrence/status/989635450104156161", "989635450104156161")</f>
        <v/>
      </c>
      <c r="B2634" s="2" t="n">
        <v>43216.9450462963</v>
      </c>
      <c r="C2634" t="n">
        <v>0</v>
      </c>
      <c r="D2634" t="n">
        <v>9</v>
      </c>
      <c r="E2634" t="s">
        <v>2600</v>
      </c>
      <c r="F2634" t="s"/>
      <c r="G2634" t="s"/>
      <c r="H2634" t="s"/>
      <c r="I2634" t="s"/>
      <c r="J2634" t="n">
        <v>-0.3818</v>
      </c>
      <c r="K2634" t="n">
        <v>0.115</v>
      </c>
      <c r="L2634" t="n">
        <v>0.885</v>
      </c>
      <c r="M2634" t="n">
        <v>0</v>
      </c>
    </row>
    <row r="2635" spans="1:13">
      <c r="A2635" s="1">
        <f>HYPERLINK("http://www.twitter.com/NathanBLawrence/status/989635376196308992", "989635376196308992")</f>
        <v/>
      </c>
      <c r="B2635" s="2" t="n">
        <v>43216.94483796296</v>
      </c>
      <c r="C2635" t="n">
        <v>0</v>
      </c>
      <c r="D2635" t="n">
        <v>2</v>
      </c>
      <c r="E2635" t="s">
        <v>2601</v>
      </c>
      <c r="F2635" t="s"/>
      <c r="G2635" t="s"/>
      <c r="H2635" t="s"/>
      <c r="I2635" t="s"/>
      <c r="J2635" t="n">
        <v>0.6124000000000001</v>
      </c>
      <c r="K2635" t="n">
        <v>0</v>
      </c>
      <c r="L2635" t="n">
        <v>0.857</v>
      </c>
      <c r="M2635" t="n">
        <v>0.143</v>
      </c>
    </row>
    <row r="2636" spans="1:13">
      <c r="A2636" s="1">
        <f>HYPERLINK("http://www.twitter.com/NathanBLawrence/status/989634326173282304", "989634326173282304")</f>
        <v/>
      </c>
      <c r="B2636" s="2" t="n">
        <v>43216.94194444444</v>
      </c>
      <c r="C2636" t="n">
        <v>0</v>
      </c>
      <c r="D2636" t="n">
        <v>15</v>
      </c>
      <c r="E2636" t="s">
        <v>2602</v>
      </c>
      <c r="F2636">
        <f>HYPERLINK("http://pbs.twimg.com/media/Dbvbs8rWAAIJEqq.jpg", "http://pbs.twimg.com/media/Dbvbs8rWAAIJEqq.jpg")</f>
        <v/>
      </c>
      <c r="G2636" t="s"/>
      <c r="H2636" t="s"/>
      <c r="I2636" t="s"/>
      <c r="J2636" t="n">
        <v>0.4404</v>
      </c>
      <c r="K2636" t="n">
        <v>0</v>
      </c>
      <c r="L2636" t="n">
        <v>0.838</v>
      </c>
      <c r="M2636" t="n">
        <v>0.162</v>
      </c>
    </row>
    <row r="2637" spans="1:13">
      <c r="A2637" s="1">
        <f>HYPERLINK("http://www.twitter.com/NathanBLawrence/status/989634303205273601", "989634303205273601")</f>
        <v/>
      </c>
      <c r="B2637" s="2" t="n">
        <v>43216.94188657407</v>
      </c>
      <c r="C2637" t="n">
        <v>0</v>
      </c>
      <c r="D2637" t="n">
        <v>9</v>
      </c>
      <c r="E2637" t="s">
        <v>2603</v>
      </c>
      <c r="F2637" t="s"/>
      <c r="G2637" t="s"/>
      <c r="H2637" t="s"/>
      <c r="I2637" t="s"/>
      <c r="J2637" t="n">
        <v>-0.6369</v>
      </c>
      <c r="K2637" t="n">
        <v>0.279</v>
      </c>
      <c r="L2637" t="n">
        <v>0.721</v>
      </c>
      <c r="M2637" t="n">
        <v>0</v>
      </c>
    </row>
    <row r="2638" spans="1:13">
      <c r="A2638" s="1">
        <f>HYPERLINK("http://www.twitter.com/NathanBLawrence/status/989633705449787393", "989633705449787393")</f>
        <v/>
      </c>
      <c r="B2638" s="2" t="n">
        <v>43216.94023148148</v>
      </c>
      <c r="C2638" t="n">
        <v>1</v>
      </c>
      <c r="D2638" t="n">
        <v>0</v>
      </c>
      <c r="E2638" t="s">
        <v>2604</v>
      </c>
      <c r="F2638" t="s"/>
      <c r="G2638" t="s"/>
      <c r="H2638" t="s"/>
      <c r="I2638" t="s"/>
      <c r="J2638" t="n">
        <v>0</v>
      </c>
      <c r="K2638" t="n">
        <v>0</v>
      </c>
      <c r="L2638" t="n">
        <v>1</v>
      </c>
      <c r="M2638" t="n">
        <v>0</v>
      </c>
    </row>
    <row r="2639" spans="1:13">
      <c r="A2639" s="1">
        <f>HYPERLINK("http://www.twitter.com/NathanBLawrence/status/989631264377491456", "989631264377491456")</f>
        <v/>
      </c>
      <c r="B2639" s="2" t="n">
        <v>43216.93349537037</v>
      </c>
      <c r="C2639" t="n">
        <v>0</v>
      </c>
      <c r="D2639" t="n">
        <v>6</v>
      </c>
      <c r="E2639" t="s">
        <v>2605</v>
      </c>
      <c r="F2639" t="s"/>
      <c r="G2639" t="s"/>
      <c r="H2639" t="s"/>
      <c r="I2639" t="s"/>
      <c r="J2639" t="n">
        <v>0</v>
      </c>
      <c r="K2639" t="n">
        <v>0</v>
      </c>
      <c r="L2639" t="n">
        <v>1</v>
      </c>
      <c r="M2639" t="n">
        <v>0</v>
      </c>
    </row>
    <row r="2640" spans="1:13">
      <c r="A2640" s="1">
        <f>HYPERLINK("http://www.twitter.com/NathanBLawrence/status/989631246367117313", "989631246367117313")</f>
        <v/>
      </c>
      <c r="B2640" s="2" t="n">
        <v>43216.93344907407</v>
      </c>
      <c r="C2640" t="n">
        <v>0</v>
      </c>
      <c r="D2640" t="n">
        <v>11</v>
      </c>
      <c r="E2640" t="s">
        <v>2606</v>
      </c>
      <c r="F2640" t="s"/>
      <c r="G2640" t="s"/>
      <c r="H2640" t="s"/>
      <c r="I2640" t="s"/>
      <c r="J2640" t="n">
        <v>0</v>
      </c>
      <c r="K2640" t="n">
        <v>0</v>
      </c>
      <c r="L2640" t="n">
        <v>1</v>
      </c>
      <c r="M2640" t="n">
        <v>0</v>
      </c>
    </row>
    <row r="2641" spans="1:13">
      <c r="A2641" s="1">
        <f>HYPERLINK("http://www.twitter.com/NathanBLawrence/status/989631168537612288", "989631168537612288")</f>
        <v/>
      </c>
      <c r="B2641" s="2" t="n">
        <v>43216.93322916667</v>
      </c>
      <c r="C2641" t="n">
        <v>0</v>
      </c>
      <c r="D2641" t="n">
        <v>6</v>
      </c>
      <c r="E2641" t="s">
        <v>2607</v>
      </c>
      <c r="F2641">
        <f>HYPERLINK("http://pbs.twimg.com/media/DbveT-5WsAUaPRk.jpg", "http://pbs.twimg.com/media/DbveT-5WsAUaPRk.jpg")</f>
        <v/>
      </c>
      <c r="G2641">
        <f>HYPERLINK("http://pbs.twimg.com/media/DbveUVoX0AIae12.jpg", "http://pbs.twimg.com/media/DbveUVoX0AIae12.jpg")</f>
        <v/>
      </c>
      <c r="H2641" t="s"/>
      <c r="I2641" t="s"/>
      <c r="J2641" t="n">
        <v>0</v>
      </c>
      <c r="K2641" t="n">
        <v>0</v>
      </c>
      <c r="L2641" t="n">
        <v>1</v>
      </c>
      <c r="M2641" t="n">
        <v>0</v>
      </c>
    </row>
    <row r="2642" spans="1:13">
      <c r="A2642" s="1">
        <f>HYPERLINK("http://www.twitter.com/NathanBLawrence/status/989631114657648641", "989631114657648641")</f>
        <v/>
      </c>
      <c r="B2642" s="2" t="n">
        <v>43216.9330787037</v>
      </c>
      <c r="C2642" t="n">
        <v>0</v>
      </c>
      <c r="D2642" t="n">
        <v>36</v>
      </c>
      <c r="E2642" t="s">
        <v>2608</v>
      </c>
      <c r="F2642" t="s"/>
      <c r="G2642" t="s"/>
      <c r="H2642" t="s"/>
      <c r="I2642" t="s"/>
      <c r="J2642" t="n">
        <v>0.0857</v>
      </c>
      <c r="K2642" t="n">
        <v>0.104</v>
      </c>
      <c r="L2642" t="n">
        <v>0.78</v>
      </c>
      <c r="M2642" t="n">
        <v>0.116</v>
      </c>
    </row>
    <row r="2643" spans="1:13">
      <c r="A2643" s="1">
        <f>HYPERLINK("http://www.twitter.com/NathanBLawrence/status/989631014631870464", "989631014631870464")</f>
        <v/>
      </c>
      <c r="B2643" s="2" t="n">
        <v>43216.9328125</v>
      </c>
      <c r="C2643" t="n">
        <v>0</v>
      </c>
      <c r="D2643" t="n">
        <v>7</v>
      </c>
      <c r="E2643" t="s">
        <v>2609</v>
      </c>
      <c r="F2643" t="s"/>
      <c r="G2643" t="s"/>
      <c r="H2643" t="s"/>
      <c r="I2643" t="s"/>
      <c r="J2643" t="n">
        <v>0.2732</v>
      </c>
      <c r="K2643" t="n">
        <v>0.064</v>
      </c>
      <c r="L2643" t="n">
        <v>0.822</v>
      </c>
      <c r="M2643" t="n">
        <v>0.114</v>
      </c>
    </row>
    <row r="2644" spans="1:13">
      <c r="A2644" s="1">
        <f>HYPERLINK("http://www.twitter.com/NathanBLawrence/status/989630981849182209", "989630981849182209")</f>
        <v/>
      </c>
      <c r="B2644" s="2" t="n">
        <v>43216.93271990741</v>
      </c>
      <c r="C2644" t="n">
        <v>0</v>
      </c>
      <c r="D2644" t="n">
        <v>14</v>
      </c>
      <c r="E2644" t="s">
        <v>2610</v>
      </c>
      <c r="F2644">
        <f>HYPERLINK("http://pbs.twimg.com/media/Dbu_5swUQAApywE.jpg", "http://pbs.twimg.com/media/Dbu_5swUQAApywE.jpg")</f>
        <v/>
      </c>
      <c r="G2644" t="s"/>
      <c r="H2644" t="s"/>
      <c r="I2644" t="s"/>
      <c r="J2644" t="n">
        <v>0.4717</v>
      </c>
      <c r="K2644" t="n">
        <v>0</v>
      </c>
      <c r="L2644" t="n">
        <v>0.775</v>
      </c>
      <c r="M2644" t="n">
        <v>0.225</v>
      </c>
    </row>
    <row r="2645" spans="1:13">
      <c r="A2645" s="1">
        <f>HYPERLINK("http://www.twitter.com/NathanBLawrence/status/989629218597363714", "989629218597363714")</f>
        <v/>
      </c>
      <c r="B2645" s="2" t="n">
        <v>43216.92784722222</v>
      </c>
      <c r="C2645" t="n">
        <v>2</v>
      </c>
      <c r="D2645" t="n">
        <v>0</v>
      </c>
      <c r="E2645" t="s">
        <v>2611</v>
      </c>
      <c r="F2645" t="s"/>
      <c r="G2645" t="s"/>
      <c r="H2645" t="s"/>
      <c r="I2645" t="s"/>
      <c r="J2645" t="n">
        <v>-0.4215</v>
      </c>
      <c r="K2645" t="n">
        <v>0.359</v>
      </c>
      <c r="L2645" t="n">
        <v>0.641</v>
      </c>
      <c r="M2645" t="n">
        <v>0</v>
      </c>
    </row>
    <row r="2646" spans="1:13">
      <c r="A2646" s="1">
        <f>HYPERLINK("http://www.twitter.com/NathanBLawrence/status/989628986442514434", "989628986442514434")</f>
        <v/>
      </c>
      <c r="B2646" s="2" t="n">
        <v>43216.92721064815</v>
      </c>
      <c r="C2646" t="n">
        <v>9</v>
      </c>
      <c r="D2646" t="n">
        <v>6</v>
      </c>
      <c r="E2646" t="s">
        <v>2612</v>
      </c>
      <c r="F2646">
        <f>HYPERLINK("http://pbs.twimg.com/media/DbveT-5WsAUaPRk.jpg", "http://pbs.twimg.com/media/DbveT-5WsAUaPRk.jpg")</f>
        <v/>
      </c>
      <c r="G2646">
        <f>HYPERLINK("http://pbs.twimg.com/media/DbveUVoX0AIae12.jpg", "http://pbs.twimg.com/media/DbveUVoX0AIae12.jpg")</f>
        <v/>
      </c>
      <c r="H2646" t="s"/>
      <c r="I2646" t="s"/>
      <c r="J2646" t="n">
        <v>0</v>
      </c>
      <c r="K2646" t="n">
        <v>0</v>
      </c>
      <c r="L2646" t="n">
        <v>1</v>
      </c>
      <c r="M2646" t="n">
        <v>0</v>
      </c>
    </row>
    <row r="2647" spans="1:13">
      <c r="A2647" s="1">
        <f>HYPERLINK("http://www.twitter.com/NathanBLawrence/status/989613254149394432", "989613254149394432")</f>
        <v/>
      </c>
      <c r="B2647" s="2" t="n">
        <v>43216.88379629629</v>
      </c>
      <c r="C2647" t="n">
        <v>0</v>
      </c>
      <c r="D2647" t="n">
        <v>9</v>
      </c>
      <c r="E2647" t="s">
        <v>2613</v>
      </c>
      <c r="F2647" t="s"/>
      <c r="G2647" t="s"/>
      <c r="H2647" t="s"/>
      <c r="I2647" t="s"/>
      <c r="J2647" t="n">
        <v>0.2732</v>
      </c>
      <c r="K2647" t="n">
        <v>0</v>
      </c>
      <c r="L2647" t="n">
        <v>0.86</v>
      </c>
      <c r="M2647" t="n">
        <v>0.14</v>
      </c>
    </row>
    <row r="2648" spans="1:13">
      <c r="A2648" s="1">
        <f>HYPERLINK("http://www.twitter.com/NathanBLawrence/status/989613236013105152", "989613236013105152")</f>
        <v/>
      </c>
      <c r="B2648" s="2" t="n">
        <v>43216.88375</v>
      </c>
      <c r="C2648" t="n">
        <v>0</v>
      </c>
      <c r="D2648" t="n">
        <v>13</v>
      </c>
      <c r="E2648" t="s">
        <v>2614</v>
      </c>
      <c r="F2648" t="s"/>
      <c r="G2648" t="s"/>
      <c r="H2648" t="s"/>
      <c r="I2648" t="s"/>
      <c r="J2648" t="n">
        <v>-0.2732</v>
      </c>
      <c r="K2648" t="n">
        <v>0.095</v>
      </c>
      <c r="L2648" t="n">
        <v>0.905</v>
      </c>
      <c r="M2648" t="n">
        <v>0</v>
      </c>
    </row>
    <row r="2649" spans="1:13">
      <c r="A2649" s="1">
        <f>HYPERLINK("http://www.twitter.com/NathanBLawrence/status/989613082820399105", "989613082820399105")</f>
        <v/>
      </c>
      <c r="B2649" s="2" t="n">
        <v>43216.88332175926</v>
      </c>
      <c r="C2649" t="n">
        <v>0</v>
      </c>
      <c r="D2649" t="n">
        <v>8</v>
      </c>
      <c r="E2649" t="s">
        <v>2615</v>
      </c>
      <c r="F2649" t="s"/>
      <c r="G2649" t="s"/>
      <c r="H2649" t="s"/>
      <c r="I2649" t="s"/>
      <c r="J2649" t="n">
        <v>0.2263</v>
      </c>
      <c r="K2649" t="n">
        <v>0</v>
      </c>
      <c r="L2649" t="n">
        <v>0.924</v>
      </c>
      <c r="M2649" t="n">
        <v>0.076</v>
      </c>
    </row>
    <row r="2650" spans="1:13">
      <c r="A2650" s="1">
        <f>HYPERLINK("http://www.twitter.com/NathanBLawrence/status/989613050285166592", "989613050285166592")</f>
        <v/>
      </c>
      <c r="B2650" s="2" t="n">
        <v>43216.88322916667</v>
      </c>
      <c r="C2650" t="n">
        <v>0</v>
      </c>
      <c r="D2650" t="n">
        <v>6</v>
      </c>
      <c r="E2650" t="s">
        <v>2616</v>
      </c>
      <c r="F2650" t="s"/>
      <c r="G2650" t="s"/>
      <c r="H2650" t="s"/>
      <c r="I2650" t="s"/>
      <c r="J2650" t="n">
        <v>-0.3939</v>
      </c>
      <c r="K2650" t="n">
        <v>0.104</v>
      </c>
      <c r="L2650" t="n">
        <v>0.896</v>
      </c>
      <c r="M2650" t="n">
        <v>0</v>
      </c>
    </row>
    <row r="2651" spans="1:13">
      <c r="A2651" s="1">
        <f>HYPERLINK("http://www.twitter.com/NathanBLawrence/status/989612686257348610", "989612686257348610")</f>
        <v/>
      </c>
      <c r="B2651" s="2" t="n">
        <v>43216.8822337963</v>
      </c>
      <c r="C2651" t="n">
        <v>5</v>
      </c>
      <c r="D2651" t="n">
        <v>1</v>
      </c>
      <c r="E2651" t="s">
        <v>2617</v>
      </c>
      <c r="F2651" t="s"/>
      <c r="G2651" t="s"/>
      <c r="H2651" t="s"/>
      <c r="I2651" t="s"/>
      <c r="J2651" t="n">
        <v>0</v>
      </c>
      <c r="K2651" t="n">
        <v>0</v>
      </c>
      <c r="L2651" t="n">
        <v>1</v>
      </c>
      <c r="M2651" t="n">
        <v>0</v>
      </c>
    </row>
    <row r="2652" spans="1:13">
      <c r="A2652" s="1">
        <f>HYPERLINK("http://www.twitter.com/NathanBLawrence/status/989612381608337409", "989612381608337409")</f>
        <v/>
      </c>
      <c r="B2652" s="2" t="n">
        <v>43216.88138888889</v>
      </c>
      <c r="C2652" t="n">
        <v>1</v>
      </c>
      <c r="D2652" t="n">
        <v>0</v>
      </c>
      <c r="E2652" t="s">
        <v>2618</v>
      </c>
      <c r="F2652" t="s"/>
      <c r="G2652" t="s"/>
      <c r="H2652" t="s"/>
      <c r="I2652" t="s"/>
      <c r="J2652" t="n">
        <v>-0.3612</v>
      </c>
      <c r="K2652" t="n">
        <v>0.161</v>
      </c>
      <c r="L2652" t="n">
        <v>0.839</v>
      </c>
      <c r="M2652" t="n">
        <v>0</v>
      </c>
    </row>
    <row r="2653" spans="1:13">
      <c r="A2653" s="1">
        <f>HYPERLINK("http://www.twitter.com/NathanBLawrence/status/989612060056129536", "989612060056129536")</f>
        <v/>
      </c>
      <c r="B2653" s="2" t="n">
        <v>43216.88049768518</v>
      </c>
      <c r="C2653" t="n">
        <v>10</v>
      </c>
      <c r="D2653" t="n">
        <v>9</v>
      </c>
      <c r="E2653" t="s">
        <v>2619</v>
      </c>
      <c r="F2653" t="s"/>
      <c r="G2653" t="s"/>
      <c r="H2653" t="s"/>
      <c r="I2653" t="s"/>
      <c r="J2653" t="n">
        <v>0.502</v>
      </c>
      <c r="K2653" t="n">
        <v>0.075</v>
      </c>
      <c r="L2653" t="n">
        <v>0.755</v>
      </c>
      <c r="M2653" t="n">
        <v>0.17</v>
      </c>
    </row>
    <row r="2654" spans="1:13">
      <c r="A2654" s="1">
        <f>HYPERLINK("http://www.twitter.com/NathanBLawrence/status/989605906403987462", "989605906403987462")</f>
        <v/>
      </c>
      <c r="B2654" s="2" t="n">
        <v>43216.86351851852</v>
      </c>
      <c r="C2654" t="n">
        <v>0</v>
      </c>
      <c r="D2654" t="n">
        <v>5</v>
      </c>
      <c r="E2654" t="s">
        <v>2620</v>
      </c>
      <c r="F2654" t="s"/>
      <c r="G2654" t="s"/>
      <c r="H2654" t="s"/>
      <c r="I2654" t="s"/>
      <c r="J2654" t="n">
        <v>-0.4939</v>
      </c>
      <c r="K2654" t="n">
        <v>0.167</v>
      </c>
      <c r="L2654" t="n">
        <v>0.833</v>
      </c>
      <c r="M2654" t="n">
        <v>0</v>
      </c>
    </row>
    <row r="2655" spans="1:13">
      <c r="A2655" s="1">
        <f>HYPERLINK("http://www.twitter.com/NathanBLawrence/status/989604523944620032", "989604523944620032")</f>
        <v/>
      </c>
      <c r="B2655" s="2" t="n">
        <v>43216.85971064815</v>
      </c>
      <c r="C2655" t="n">
        <v>0</v>
      </c>
      <c r="D2655" t="n">
        <v>12</v>
      </c>
      <c r="E2655" t="s">
        <v>2621</v>
      </c>
      <c r="F2655" t="s"/>
      <c r="G2655" t="s"/>
      <c r="H2655" t="s"/>
      <c r="I2655" t="s"/>
      <c r="J2655" t="n">
        <v>0.128</v>
      </c>
      <c r="K2655" t="n">
        <v>0</v>
      </c>
      <c r="L2655" t="n">
        <v>0.897</v>
      </c>
      <c r="M2655" t="n">
        <v>0.103</v>
      </c>
    </row>
    <row r="2656" spans="1:13">
      <c r="A2656" s="1">
        <f>HYPERLINK("http://www.twitter.com/NathanBLawrence/status/989603531203203072", "989603531203203072")</f>
        <v/>
      </c>
      <c r="B2656" s="2" t="n">
        <v>43216.85696759259</v>
      </c>
      <c r="C2656" t="n">
        <v>8</v>
      </c>
      <c r="D2656" t="n">
        <v>5</v>
      </c>
      <c r="E2656" t="s">
        <v>2622</v>
      </c>
      <c r="F2656">
        <f>HYPERLINK("http://pbs.twimg.com/media/DbvHKbMXcAUnPL0.jpg", "http://pbs.twimg.com/media/DbvHKbMXcAUnPL0.jpg")</f>
        <v/>
      </c>
      <c r="G2656">
        <f>HYPERLINK("http://pbs.twimg.com/media/DbvHKbLWkAAQRWK.jpg", "http://pbs.twimg.com/media/DbvHKbLWkAAQRWK.jpg")</f>
        <v/>
      </c>
      <c r="H2656" t="s"/>
      <c r="I2656" t="s"/>
      <c r="J2656" t="n">
        <v>0.1779</v>
      </c>
      <c r="K2656" t="n">
        <v>0.109</v>
      </c>
      <c r="L2656" t="n">
        <v>0.746</v>
      </c>
      <c r="M2656" t="n">
        <v>0.144</v>
      </c>
    </row>
    <row r="2657" spans="1:13">
      <c r="A2657" s="1">
        <f>HYPERLINK("http://www.twitter.com/NathanBLawrence/status/989596154131288066", "989596154131288066")</f>
        <v/>
      </c>
      <c r="B2657" s="2" t="n">
        <v>43216.83660879629</v>
      </c>
      <c r="C2657" t="n">
        <v>0</v>
      </c>
      <c r="D2657" t="n">
        <v>11</v>
      </c>
      <c r="E2657" t="s">
        <v>2623</v>
      </c>
      <c r="F2657" t="s"/>
      <c r="G2657" t="s"/>
      <c r="H2657" t="s"/>
      <c r="I2657" t="s"/>
      <c r="J2657" t="n">
        <v>-0.6515</v>
      </c>
      <c r="K2657" t="n">
        <v>0.239</v>
      </c>
      <c r="L2657" t="n">
        <v>0.761</v>
      </c>
      <c r="M2657" t="n">
        <v>0</v>
      </c>
    </row>
    <row r="2658" spans="1:13">
      <c r="A2658" s="1">
        <f>HYPERLINK("http://www.twitter.com/NathanBLawrence/status/989596077195190272", "989596077195190272")</f>
        <v/>
      </c>
      <c r="B2658" s="2" t="n">
        <v>43216.83640046296</v>
      </c>
      <c r="C2658" t="n">
        <v>2</v>
      </c>
      <c r="D2658" t="n">
        <v>1</v>
      </c>
      <c r="E2658" t="s">
        <v>2624</v>
      </c>
      <c r="F2658" t="s"/>
      <c r="G2658" t="s"/>
      <c r="H2658" t="s"/>
      <c r="I2658" t="s"/>
      <c r="J2658" t="n">
        <v>-0.4654</v>
      </c>
      <c r="K2658" t="n">
        <v>0.14</v>
      </c>
      <c r="L2658" t="n">
        <v>0.768</v>
      </c>
      <c r="M2658" t="n">
        <v>0.092</v>
      </c>
    </row>
    <row r="2659" spans="1:13">
      <c r="A2659" s="1">
        <f>HYPERLINK("http://www.twitter.com/NathanBLawrence/status/989595543486763009", "989595543486763009")</f>
        <v/>
      </c>
      <c r="B2659" s="2" t="n">
        <v>43216.83493055555</v>
      </c>
      <c r="C2659" t="n">
        <v>14</v>
      </c>
      <c r="D2659" t="n">
        <v>14</v>
      </c>
      <c r="E2659" t="s">
        <v>2625</v>
      </c>
      <c r="F2659">
        <f>HYPERLINK("http://pbs.twimg.com/media/Dbu_5swUQAApywE.jpg", "http://pbs.twimg.com/media/Dbu_5swUQAApywE.jpg")</f>
        <v/>
      </c>
      <c r="G2659" t="s"/>
      <c r="H2659" t="s"/>
      <c r="I2659" t="s"/>
      <c r="J2659" t="n">
        <v>0.4717</v>
      </c>
      <c r="K2659" t="n">
        <v>0</v>
      </c>
      <c r="L2659" t="n">
        <v>0.747</v>
      </c>
      <c r="M2659" t="n">
        <v>0.253</v>
      </c>
    </row>
    <row r="2660" spans="1:13">
      <c r="A2660" s="1">
        <f>HYPERLINK("http://www.twitter.com/NathanBLawrence/status/989595113453244416", "989595113453244416")</f>
        <v/>
      </c>
      <c r="B2660" s="2" t="n">
        <v>43216.83373842593</v>
      </c>
      <c r="C2660" t="n">
        <v>0</v>
      </c>
      <c r="D2660" t="n">
        <v>2</v>
      </c>
      <c r="E2660" t="s">
        <v>2626</v>
      </c>
      <c r="F2660" t="s"/>
      <c r="G2660" t="s"/>
      <c r="H2660" t="s"/>
      <c r="I2660" t="s"/>
      <c r="J2660" t="n">
        <v>-0.5661</v>
      </c>
      <c r="K2660" t="n">
        <v>0.196</v>
      </c>
      <c r="L2660" t="n">
        <v>0.804</v>
      </c>
      <c r="M2660" t="n">
        <v>0</v>
      </c>
    </row>
    <row r="2661" spans="1:13">
      <c r="A2661" s="1">
        <f>HYPERLINK("http://www.twitter.com/NathanBLawrence/status/989589829968121856", "989589829968121856")</f>
        <v/>
      </c>
      <c r="B2661" s="2" t="n">
        <v>43216.81915509259</v>
      </c>
      <c r="C2661" t="n">
        <v>0</v>
      </c>
      <c r="D2661" t="n">
        <v>9857</v>
      </c>
      <c r="E2661" t="s">
        <v>2627</v>
      </c>
      <c r="F2661">
        <f>HYPERLINK("http://pbs.twimg.com/media/DbdrpNlVAAYb46q.jpg", "http://pbs.twimg.com/media/DbdrpNlVAAYb46q.jpg")</f>
        <v/>
      </c>
      <c r="G2661">
        <f>HYPERLINK("http://pbs.twimg.com/media/DbdrpNlVAAUI4yn.jpg", "http://pbs.twimg.com/media/DbdrpNlVAAUI4yn.jpg")</f>
        <v/>
      </c>
      <c r="H2661" t="s"/>
      <c r="I2661" t="s"/>
      <c r="J2661" t="n">
        <v>-0.6597</v>
      </c>
      <c r="K2661" t="n">
        <v>0.205</v>
      </c>
      <c r="L2661" t="n">
        <v>0.795</v>
      </c>
      <c r="M2661" t="n">
        <v>0</v>
      </c>
    </row>
    <row r="2662" spans="1:13">
      <c r="A2662" s="1">
        <f>HYPERLINK("http://www.twitter.com/NathanBLawrence/status/989589809361547264", "989589809361547264")</f>
        <v/>
      </c>
      <c r="B2662" s="2" t="n">
        <v>43216.81909722222</v>
      </c>
      <c r="C2662" t="n">
        <v>0</v>
      </c>
      <c r="D2662" t="n">
        <v>1</v>
      </c>
      <c r="E2662" t="s">
        <v>2628</v>
      </c>
      <c r="F2662" t="s"/>
      <c r="G2662" t="s"/>
      <c r="H2662" t="s"/>
      <c r="I2662" t="s"/>
      <c r="J2662" t="n">
        <v>0</v>
      </c>
      <c r="K2662" t="n">
        <v>0</v>
      </c>
      <c r="L2662" t="n">
        <v>1</v>
      </c>
      <c r="M2662" t="n">
        <v>0</v>
      </c>
    </row>
    <row r="2663" spans="1:13">
      <c r="A2663" s="1">
        <f>HYPERLINK("http://www.twitter.com/NathanBLawrence/status/989589105343426560", "989589105343426560")</f>
        <v/>
      </c>
      <c r="B2663" s="2" t="n">
        <v>43216.81716435185</v>
      </c>
      <c r="C2663" t="n">
        <v>0</v>
      </c>
      <c r="D2663" t="n">
        <v>569</v>
      </c>
      <c r="E2663" t="s">
        <v>2629</v>
      </c>
      <c r="F2663">
        <f>HYPERLINK("http://pbs.twimg.com/media/Dbt9MhuVQAA-F4b.jpg", "http://pbs.twimg.com/media/Dbt9MhuVQAA-F4b.jpg")</f>
        <v/>
      </c>
      <c r="G2663" t="s"/>
      <c r="H2663" t="s"/>
      <c r="I2663" t="s"/>
      <c r="J2663" t="n">
        <v>0.5574</v>
      </c>
      <c r="K2663" t="n">
        <v>0</v>
      </c>
      <c r="L2663" t="n">
        <v>0.833</v>
      </c>
      <c r="M2663" t="n">
        <v>0.167</v>
      </c>
    </row>
    <row r="2664" spans="1:13">
      <c r="A2664" s="1">
        <f>HYPERLINK("http://www.twitter.com/NathanBLawrence/status/989588403187576833", "989588403187576833")</f>
        <v/>
      </c>
      <c r="B2664" s="2" t="n">
        <v>43216.81521990741</v>
      </c>
      <c r="C2664" t="n">
        <v>0</v>
      </c>
      <c r="D2664" t="n">
        <v>3</v>
      </c>
      <c r="E2664" t="s">
        <v>2630</v>
      </c>
      <c r="F2664" t="s"/>
      <c r="G2664" t="s"/>
      <c r="H2664" t="s"/>
      <c r="I2664" t="s"/>
      <c r="J2664" t="n">
        <v>0.6808</v>
      </c>
      <c r="K2664" t="n">
        <v>0</v>
      </c>
      <c r="L2664" t="n">
        <v>0.763</v>
      </c>
      <c r="M2664" t="n">
        <v>0.237</v>
      </c>
    </row>
    <row r="2665" spans="1:13">
      <c r="A2665" s="1">
        <f>HYPERLINK("http://www.twitter.com/NathanBLawrence/status/989588363547172866", "989588363547172866")</f>
        <v/>
      </c>
      <c r="B2665" s="2" t="n">
        <v>43216.81511574074</v>
      </c>
      <c r="C2665" t="n">
        <v>3</v>
      </c>
      <c r="D2665" t="n">
        <v>1</v>
      </c>
      <c r="E2665" t="s">
        <v>2631</v>
      </c>
      <c r="F2665" t="s"/>
      <c r="G2665" t="s"/>
      <c r="H2665" t="s"/>
      <c r="I2665" t="s"/>
      <c r="J2665" t="n">
        <v>0.5106000000000001</v>
      </c>
      <c r="K2665" t="n">
        <v>0</v>
      </c>
      <c r="L2665" t="n">
        <v>0.708</v>
      </c>
      <c r="M2665" t="n">
        <v>0.292</v>
      </c>
    </row>
    <row r="2666" spans="1:13">
      <c r="A2666" s="1">
        <f>HYPERLINK("http://www.twitter.com/NathanBLawrence/status/989587432520732677", "989587432520732677")</f>
        <v/>
      </c>
      <c r="B2666" s="2" t="n">
        <v>43216.8125462963</v>
      </c>
      <c r="C2666" t="n">
        <v>0</v>
      </c>
      <c r="D2666" t="n">
        <v>2</v>
      </c>
      <c r="E2666" t="s">
        <v>2632</v>
      </c>
      <c r="F2666" t="s"/>
      <c r="G2666" t="s"/>
      <c r="H2666" t="s"/>
      <c r="I2666" t="s"/>
      <c r="J2666" t="n">
        <v>0</v>
      </c>
      <c r="K2666" t="n">
        <v>0</v>
      </c>
      <c r="L2666" t="n">
        <v>1</v>
      </c>
      <c r="M2666" t="n">
        <v>0</v>
      </c>
    </row>
    <row r="2667" spans="1:13">
      <c r="A2667" s="1">
        <f>HYPERLINK("http://www.twitter.com/NathanBLawrence/status/989587417937084416", "989587417937084416")</f>
        <v/>
      </c>
      <c r="B2667" s="2" t="n">
        <v>43216.8125</v>
      </c>
      <c r="C2667" t="n">
        <v>0</v>
      </c>
      <c r="D2667" t="n">
        <v>4</v>
      </c>
      <c r="E2667" t="s">
        <v>2633</v>
      </c>
      <c r="F2667" t="s"/>
      <c r="G2667" t="s"/>
      <c r="H2667" t="s"/>
      <c r="I2667" t="s"/>
      <c r="J2667" t="n">
        <v>-0.4199</v>
      </c>
      <c r="K2667" t="n">
        <v>0.188</v>
      </c>
      <c r="L2667" t="n">
        <v>0.725</v>
      </c>
      <c r="M2667" t="n">
        <v>0.08699999999999999</v>
      </c>
    </row>
    <row r="2668" spans="1:13">
      <c r="A2668" s="1">
        <f>HYPERLINK("http://www.twitter.com/NathanBLawrence/status/989587407153614849", "989587407153614849")</f>
        <v/>
      </c>
      <c r="B2668" s="2" t="n">
        <v>43216.81247685185</v>
      </c>
      <c r="C2668" t="n">
        <v>0</v>
      </c>
      <c r="D2668" t="n">
        <v>8</v>
      </c>
      <c r="E2668" t="s">
        <v>2634</v>
      </c>
      <c r="F2668" t="s"/>
      <c r="G2668" t="s"/>
      <c r="H2668" t="s"/>
      <c r="I2668" t="s"/>
      <c r="J2668" t="n">
        <v>-0.7088</v>
      </c>
      <c r="K2668" t="n">
        <v>0.237</v>
      </c>
      <c r="L2668" t="n">
        <v>0.763</v>
      </c>
      <c r="M2668" t="n">
        <v>0</v>
      </c>
    </row>
    <row r="2669" spans="1:13">
      <c r="A2669" s="1">
        <f>HYPERLINK("http://www.twitter.com/NathanBLawrence/status/989587396562968576", "989587396562968576")</f>
        <v/>
      </c>
      <c r="B2669" s="2" t="n">
        <v>43216.81244212963</v>
      </c>
      <c r="C2669" t="n">
        <v>0</v>
      </c>
      <c r="D2669" t="n">
        <v>2339</v>
      </c>
      <c r="E2669" t="s">
        <v>2635</v>
      </c>
      <c r="F2669" t="s"/>
      <c r="G2669" t="s"/>
      <c r="H2669" t="s"/>
      <c r="I2669" t="s"/>
      <c r="J2669" t="n">
        <v>0.7896</v>
      </c>
      <c r="K2669" t="n">
        <v>0</v>
      </c>
      <c r="L2669" t="n">
        <v>0.709</v>
      </c>
      <c r="M2669" t="n">
        <v>0.291</v>
      </c>
    </row>
    <row r="2670" spans="1:13">
      <c r="A2670" s="1">
        <f>HYPERLINK("http://www.twitter.com/NathanBLawrence/status/989587304699318274", "989587304699318274")</f>
        <v/>
      </c>
      <c r="B2670" s="2" t="n">
        <v>43216.8121875</v>
      </c>
      <c r="C2670" t="n">
        <v>1</v>
      </c>
      <c r="D2670" t="n">
        <v>0</v>
      </c>
      <c r="E2670" t="s">
        <v>2636</v>
      </c>
      <c r="F2670" t="s"/>
      <c r="G2670" t="s"/>
      <c r="H2670" t="s"/>
      <c r="I2670" t="s"/>
      <c r="J2670" t="n">
        <v>0.2249</v>
      </c>
      <c r="K2670" t="n">
        <v>0.101</v>
      </c>
      <c r="L2670" t="n">
        <v>0.759</v>
      </c>
      <c r="M2670" t="n">
        <v>0.139</v>
      </c>
    </row>
    <row r="2671" spans="1:13">
      <c r="A2671" s="1">
        <f>HYPERLINK("http://www.twitter.com/NathanBLawrence/status/989587131000672256", "989587131000672256")</f>
        <v/>
      </c>
      <c r="B2671" s="2" t="n">
        <v>43216.81171296296</v>
      </c>
      <c r="C2671" t="n">
        <v>0</v>
      </c>
      <c r="D2671" t="n">
        <v>26506</v>
      </c>
      <c r="E2671" t="s">
        <v>2637</v>
      </c>
      <c r="F2671" t="s"/>
      <c r="G2671" t="s"/>
      <c r="H2671" t="s"/>
      <c r="I2671" t="s"/>
      <c r="J2671" t="n">
        <v>0.5106000000000001</v>
      </c>
      <c r="K2671" t="n">
        <v>0</v>
      </c>
      <c r="L2671" t="n">
        <v>0.879</v>
      </c>
      <c r="M2671" t="n">
        <v>0.121</v>
      </c>
    </row>
    <row r="2672" spans="1:13">
      <c r="A2672" s="1">
        <f>HYPERLINK("http://www.twitter.com/NathanBLawrence/status/989587040793776132", "989587040793776132")</f>
        <v/>
      </c>
      <c r="B2672" s="2" t="n">
        <v>43216.81145833333</v>
      </c>
      <c r="C2672" t="n">
        <v>0</v>
      </c>
      <c r="D2672" t="n">
        <v>32</v>
      </c>
      <c r="E2672" t="s">
        <v>2638</v>
      </c>
      <c r="F2672">
        <f>HYPERLINK("http://pbs.twimg.com/media/Dbuwtk8UwAAFfnH.jpg", "http://pbs.twimg.com/media/Dbuwtk8UwAAFfnH.jpg")</f>
        <v/>
      </c>
      <c r="G2672" t="s"/>
      <c r="H2672" t="s"/>
      <c r="I2672" t="s"/>
      <c r="J2672" t="n">
        <v>0</v>
      </c>
      <c r="K2672" t="n">
        <v>0</v>
      </c>
      <c r="L2672" t="n">
        <v>1</v>
      </c>
      <c r="M2672" t="n">
        <v>0</v>
      </c>
    </row>
    <row r="2673" spans="1:13">
      <c r="A2673" s="1">
        <f>HYPERLINK("http://www.twitter.com/NathanBLawrence/status/989586982694211584", "989586982694211584")</f>
        <v/>
      </c>
      <c r="B2673" s="2" t="n">
        <v>43216.8112962963</v>
      </c>
      <c r="C2673" t="n">
        <v>0</v>
      </c>
      <c r="D2673" t="n">
        <v>52</v>
      </c>
      <c r="E2673" t="s">
        <v>2639</v>
      </c>
      <c r="F2673">
        <f>HYPERLINK("http://pbs.twimg.com/media/DbusEIIXkAAiY-X.jpg", "http://pbs.twimg.com/media/DbusEIIXkAAiY-X.jpg")</f>
        <v/>
      </c>
      <c r="G2673" t="s"/>
      <c r="H2673" t="s"/>
      <c r="I2673" t="s"/>
      <c r="J2673" t="n">
        <v>0</v>
      </c>
      <c r="K2673" t="n">
        <v>0</v>
      </c>
      <c r="L2673" t="n">
        <v>1</v>
      </c>
      <c r="M2673" t="n">
        <v>0</v>
      </c>
    </row>
    <row r="2674" spans="1:13">
      <c r="A2674" s="1">
        <f>HYPERLINK("http://www.twitter.com/NathanBLawrence/status/989586942806446081", "989586942806446081")</f>
        <v/>
      </c>
      <c r="B2674" s="2" t="n">
        <v>43216.81119212963</v>
      </c>
      <c r="C2674" t="n">
        <v>0</v>
      </c>
      <c r="D2674" t="n">
        <v>3586</v>
      </c>
      <c r="E2674" t="s">
        <v>2640</v>
      </c>
      <c r="F2674">
        <f>HYPERLINK("http://pbs.twimg.com/media/DbuJ75pU8AAdn42.jpg", "http://pbs.twimg.com/media/DbuJ75pU8AAdn42.jpg")</f>
        <v/>
      </c>
      <c r="G2674" t="s"/>
      <c r="H2674" t="s"/>
      <c r="I2674" t="s"/>
      <c r="J2674" t="n">
        <v>-0.6705</v>
      </c>
      <c r="K2674" t="n">
        <v>0.429</v>
      </c>
      <c r="L2674" t="n">
        <v>0.571</v>
      </c>
      <c r="M2674" t="n">
        <v>0</v>
      </c>
    </row>
    <row r="2675" spans="1:13">
      <c r="A2675" s="1">
        <f>HYPERLINK("http://www.twitter.com/NathanBLawrence/status/989586917162455040", "989586917162455040")</f>
        <v/>
      </c>
      <c r="B2675" s="2" t="n">
        <v>43216.81112268518</v>
      </c>
      <c r="C2675" t="n">
        <v>0</v>
      </c>
      <c r="D2675" t="n">
        <v>19144</v>
      </c>
      <c r="E2675" t="s">
        <v>2641</v>
      </c>
      <c r="F2675" t="s"/>
      <c r="G2675" t="s"/>
      <c r="H2675" t="s"/>
      <c r="I2675" t="s"/>
      <c r="J2675" t="n">
        <v>0</v>
      </c>
      <c r="K2675" t="n">
        <v>0</v>
      </c>
      <c r="L2675" t="n">
        <v>1</v>
      </c>
      <c r="M2675" t="n">
        <v>0</v>
      </c>
    </row>
    <row r="2676" spans="1:13">
      <c r="A2676" s="1">
        <f>HYPERLINK("http://www.twitter.com/NathanBLawrence/status/989586529096957953", "989586529096957953")</f>
        <v/>
      </c>
      <c r="B2676" s="2" t="n">
        <v>43216.8100462963</v>
      </c>
      <c r="C2676" t="n">
        <v>3</v>
      </c>
      <c r="D2676" t="n">
        <v>0</v>
      </c>
      <c r="E2676" t="s">
        <v>2642</v>
      </c>
      <c r="F2676" t="s"/>
      <c r="G2676" t="s"/>
      <c r="H2676" t="s"/>
      <c r="I2676" t="s"/>
      <c r="J2676" t="n">
        <v>0</v>
      </c>
      <c r="K2676" t="n">
        <v>0</v>
      </c>
      <c r="L2676" t="n">
        <v>1</v>
      </c>
      <c r="M2676" t="n">
        <v>0</v>
      </c>
    </row>
    <row r="2677" spans="1:13">
      <c r="A2677" s="1">
        <f>HYPERLINK("http://www.twitter.com/NathanBLawrence/status/989586317368492033", "989586317368492033")</f>
        <v/>
      </c>
      <c r="B2677" s="2" t="n">
        <v>43216.80946759259</v>
      </c>
      <c r="C2677" t="n">
        <v>0</v>
      </c>
      <c r="D2677" t="n">
        <v>6</v>
      </c>
      <c r="E2677" t="s">
        <v>2643</v>
      </c>
      <c r="F2677" t="s"/>
      <c r="G2677" t="s"/>
      <c r="H2677" t="s"/>
      <c r="I2677" t="s"/>
      <c r="J2677" t="n">
        <v>0</v>
      </c>
      <c r="K2677" t="n">
        <v>0</v>
      </c>
      <c r="L2677" t="n">
        <v>1</v>
      </c>
      <c r="M2677" t="n">
        <v>0</v>
      </c>
    </row>
    <row r="2678" spans="1:13">
      <c r="A2678" s="1">
        <f>HYPERLINK("http://www.twitter.com/NathanBLawrence/status/989586208597606400", "989586208597606400")</f>
        <v/>
      </c>
      <c r="B2678" s="2" t="n">
        <v>43216.80916666667</v>
      </c>
      <c r="C2678" t="n">
        <v>8</v>
      </c>
      <c r="D2678" t="n">
        <v>6</v>
      </c>
      <c r="E2678" t="s">
        <v>2644</v>
      </c>
      <c r="F2678" t="s"/>
      <c r="G2678" t="s"/>
      <c r="H2678" t="s"/>
      <c r="I2678" t="s"/>
      <c r="J2678" t="n">
        <v>-0.5913</v>
      </c>
      <c r="K2678" t="n">
        <v>0.079</v>
      </c>
      <c r="L2678" t="n">
        <v>0.921</v>
      </c>
      <c r="M2678" t="n">
        <v>0</v>
      </c>
    </row>
    <row r="2679" spans="1:13">
      <c r="A2679" s="1">
        <f>HYPERLINK("http://www.twitter.com/NathanBLawrence/status/989585443745423361", "989585443745423361")</f>
        <v/>
      </c>
      <c r="B2679" s="2" t="n">
        <v>43216.80706018519</v>
      </c>
      <c r="C2679" t="n">
        <v>0</v>
      </c>
      <c r="D2679" t="n">
        <v>0</v>
      </c>
      <c r="E2679" t="s">
        <v>2645</v>
      </c>
      <c r="F2679" t="s"/>
      <c r="G2679" t="s"/>
      <c r="H2679" t="s"/>
      <c r="I2679" t="s"/>
      <c r="J2679" t="n">
        <v>0</v>
      </c>
      <c r="K2679" t="n">
        <v>0</v>
      </c>
      <c r="L2679" t="n">
        <v>1</v>
      </c>
      <c r="M2679" t="n">
        <v>0</v>
      </c>
    </row>
    <row r="2680" spans="1:13">
      <c r="A2680" s="1">
        <f>HYPERLINK("http://www.twitter.com/NathanBLawrence/status/989585416742371330", "989585416742371330")</f>
        <v/>
      </c>
      <c r="B2680" s="2" t="n">
        <v>43216.80697916666</v>
      </c>
      <c r="C2680" t="n">
        <v>0</v>
      </c>
      <c r="D2680" t="n">
        <v>0</v>
      </c>
      <c r="E2680" t="s">
        <v>2646</v>
      </c>
      <c r="F2680" t="s"/>
      <c r="G2680" t="s"/>
      <c r="H2680" t="s"/>
      <c r="I2680" t="s"/>
      <c r="J2680" t="n">
        <v>0.3182</v>
      </c>
      <c r="K2680" t="n">
        <v>0</v>
      </c>
      <c r="L2680" t="n">
        <v>0.887</v>
      </c>
      <c r="M2680" t="n">
        <v>0.113</v>
      </c>
    </row>
    <row r="2681" spans="1:13">
      <c r="A2681" s="1">
        <f>HYPERLINK("http://www.twitter.com/NathanBLawrence/status/989585253495967747", "989585253495967747")</f>
        <v/>
      </c>
      <c r="B2681" s="2" t="n">
        <v>43216.80652777778</v>
      </c>
      <c r="C2681" t="n">
        <v>0</v>
      </c>
      <c r="D2681" t="n">
        <v>8</v>
      </c>
      <c r="E2681" t="s">
        <v>2647</v>
      </c>
      <c r="F2681" t="s"/>
      <c r="G2681" t="s"/>
      <c r="H2681" t="s"/>
      <c r="I2681" t="s"/>
      <c r="J2681" t="n">
        <v>0.5362</v>
      </c>
      <c r="K2681" t="n">
        <v>0</v>
      </c>
      <c r="L2681" t="n">
        <v>0.859</v>
      </c>
      <c r="M2681" t="n">
        <v>0.141</v>
      </c>
    </row>
    <row r="2682" spans="1:13">
      <c r="A2682" s="1">
        <f>HYPERLINK("http://www.twitter.com/NathanBLawrence/status/989585130556678150", "989585130556678150")</f>
        <v/>
      </c>
      <c r="B2682" s="2" t="n">
        <v>43216.80619212963</v>
      </c>
      <c r="C2682" t="n">
        <v>10</v>
      </c>
      <c r="D2682" t="n">
        <v>3</v>
      </c>
      <c r="E2682" t="s">
        <v>2648</v>
      </c>
      <c r="F2682" t="s"/>
      <c r="G2682" t="s"/>
      <c r="H2682" t="s"/>
      <c r="I2682" t="s"/>
      <c r="J2682" t="n">
        <v>0.8156</v>
      </c>
      <c r="K2682" t="n">
        <v>0</v>
      </c>
      <c r="L2682" t="n">
        <v>0.822</v>
      </c>
      <c r="M2682" t="n">
        <v>0.178</v>
      </c>
    </row>
    <row r="2683" spans="1:13">
      <c r="A2683" s="1">
        <f>HYPERLINK("http://www.twitter.com/NathanBLawrence/status/989584606943956993", "989584606943956993")</f>
        <v/>
      </c>
      <c r="B2683" s="2" t="n">
        <v>43216.80474537037</v>
      </c>
      <c r="C2683" t="n">
        <v>12</v>
      </c>
      <c r="D2683" t="n">
        <v>8</v>
      </c>
      <c r="E2683" t="s">
        <v>2649</v>
      </c>
      <c r="F2683" t="s"/>
      <c r="G2683" t="s"/>
      <c r="H2683" t="s"/>
      <c r="I2683" t="s"/>
      <c r="J2683" t="n">
        <v>0.782</v>
      </c>
      <c r="K2683" t="n">
        <v>0</v>
      </c>
      <c r="L2683" t="n">
        <v>0.862</v>
      </c>
      <c r="M2683" t="n">
        <v>0.138</v>
      </c>
    </row>
    <row r="2684" spans="1:13">
      <c r="A2684" s="1">
        <f>HYPERLINK("http://www.twitter.com/NathanBLawrence/status/989583161117020161", "989583161117020161")</f>
        <v/>
      </c>
      <c r="B2684" s="2" t="n">
        <v>43216.80075231481</v>
      </c>
      <c r="C2684" t="n">
        <v>0</v>
      </c>
      <c r="D2684" t="n">
        <v>3</v>
      </c>
      <c r="E2684" t="s">
        <v>2650</v>
      </c>
      <c r="F2684">
        <f>HYPERLINK("https://video.twimg.com/ext_tw_video/989578839444672512/pu/vid/640x360/hIBpqI8vfcqz8W6d.mp4?tag=3", "https://video.twimg.com/ext_tw_video/989578839444672512/pu/vid/640x360/hIBpqI8vfcqz8W6d.mp4?tag=3")</f>
        <v/>
      </c>
      <c r="G2684" t="s"/>
      <c r="H2684" t="s"/>
      <c r="I2684" t="s"/>
      <c r="J2684" t="n">
        <v>0</v>
      </c>
      <c r="K2684" t="n">
        <v>0</v>
      </c>
      <c r="L2684" t="n">
        <v>1</v>
      </c>
      <c r="M2684" t="n">
        <v>0</v>
      </c>
    </row>
    <row r="2685" spans="1:13">
      <c r="A2685" s="1">
        <f>HYPERLINK("http://www.twitter.com/NathanBLawrence/status/989580296176750592", "989580296176750592")</f>
        <v/>
      </c>
      <c r="B2685" s="2" t="n">
        <v>43216.79284722222</v>
      </c>
      <c r="C2685" t="n">
        <v>0</v>
      </c>
      <c r="D2685" t="n">
        <v>119</v>
      </c>
      <c r="E2685" t="s">
        <v>2651</v>
      </c>
      <c r="F2685" t="s"/>
      <c r="G2685" t="s"/>
      <c r="H2685" t="s"/>
      <c r="I2685" t="s"/>
      <c r="J2685" t="n">
        <v>0.6523</v>
      </c>
      <c r="K2685" t="n">
        <v>0</v>
      </c>
      <c r="L2685" t="n">
        <v>0.847</v>
      </c>
      <c r="M2685" t="n">
        <v>0.153</v>
      </c>
    </row>
    <row r="2686" spans="1:13">
      <c r="A2686" s="1">
        <f>HYPERLINK("http://www.twitter.com/NathanBLawrence/status/989580240136687616", "989580240136687616")</f>
        <v/>
      </c>
      <c r="B2686" s="2" t="n">
        <v>43216.79269675926</v>
      </c>
      <c r="C2686" t="n">
        <v>0</v>
      </c>
      <c r="D2686" t="n">
        <v>31</v>
      </c>
      <c r="E2686" t="s">
        <v>2652</v>
      </c>
      <c r="F2686" t="s"/>
      <c r="G2686" t="s"/>
      <c r="H2686" t="s"/>
      <c r="I2686" t="s"/>
      <c r="J2686" t="n">
        <v>-0.4588</v>
      </c>
      <c r="K2686" t="n">
        <v>0.261</v>
      </c>
      <c r="L2686" t="n">
        <v>0.609</v>
      </c>
      <c r="M2686" t="n">
        <v>0.13</v>
      </c>
    </row>
    <row r="2687" spans="1:13">
      <c r="A2687" s="1">
        <f>HYPERLINK("http://www.twitter.com/NathanBLawrence/status/989580194456526849", "989580194456526849")</f>
        <v/>
      </c>
      <c r="B2687" s="2" t="n">
        <v>43216.79256944444</v>
      </c>
      <c r="C2687" t="n">
        <v>0</v>
      </c>
      <c r="D2687" t="n">
        <v>8</v>
      </c>
      <c r="E2687" t="s">
        <v>2653</v>
      </c>
      <c r="F2687">
        <f>HYPERLINK("http://pbs.twimg.com/media/Dbp7tBoW4AIYJBg.jpg", "http://pbs.twimg.com/media/Dbp7tBoW4AIYJBg.jpg")</f>
        <v/>
      </c>
      <c r="G2687" t="s"/>
      <c r="H2687" t="s"/>
      <c r="I2687" t="s"/>
      <c r="J2687" t="n">
        <v>0.3182</v>
      </c>
      <c r="K2687" t="n">
        <v>0</v>
      </c>
      <c r="L2687" t="n">
        <v>0.827</v>
      </c>
      <c r="M2687" t="n">
        <v>0.173</v>
      </c>
    </row>
    <row r="2688" spans="1:13">
      <c r="A2688" s="1">
        <f>HYPERLINK("http://www.twitter.com/NathanBLawrence/status/989579931083517953", "989579931083517953")</f>
        <v/>
      </c>
      <c r="B2688" s="2" t="n">
        <v>43216.79184027778</v>
      </c>
      <c r="C2688" t="n">
        <v>0</v>
      </c>
      <c r="D2688" t="n">
        <v>54</v>
      </c>
      <c r="E2688" t="s">
        <v>2654</v>
      </c>
      <c r="F2688" t="s"/>
      <c r="G2688" t="s"/>
      <c r="H2688" t="s"/>
      <c r="I2688" t="s"/>
      <c r="J2688" t="n">
        <v>-0.0772</v>
      </c>
      <c r="K2688" t="n">
        <v>0.053</v>
      </c>
      <c r="L2688" t="n">
        <v>0.947</v>
      </c>
      <c r="M2688" t="n">
        <v>0</v>
      </c>
    </row>
    <row r="2689" spans="1:13">
      <c r="A2689" s="1">
        <f>HYPERLINK("http://www.twitter.com/NathanBLawrence/status/989579844328574976", "989579844328574976")</f>
        <v/>
      </c>
      <c r="B2689" s="2" t="n">
        <v>43216.79160879629</v>
      </c>
      <c r="C2689" t="n">
        <v>0</v>
      </c>
      <c r="D2689" t="n">
        <v>46</v>
      </c>
      <c r="E2689" t="s">
        <v>2655</v>
      </c>
      <c r="F2689">
        <f>HYPERLINK("http://pbs.twimg.com/media/DbqBg5HV4AAALnS.jpg", "http://pbs.twimg.com/media/DbqBg5HV4AAALnS.jpg")</f>
        <v/>
      </c>
      <c r="G2689" t="s"/>
      <c r="H2689" t="s"/>
      <c r="I2689" t="s"/>
      <c r="J2689" t="n">
        <v>0.9500999999999999</v>
      </c>
      <c r="K2689" t="n">
        <v>0</v>
      </c>
      <c r="L2689" t="n">
        <v>0.489</v>
      </c>
      <c r="M2689" t="n">
        <v>0.511</v>
      </c>
    </row>
    <row r="2690" spans="1:13">
      <c r="A2690" s="1">
        <f>HYPERLINK("http://www.twitter.com/NathanBLawrence/status/989579826829852677", "989579826829852677")</f>
        <v/>
      </c>
      <c r="B2690" s="2" t="n">
        <v>43216.79155092593</v>
      </c>
      <c r="C2690" t="n">
        <v>0</v>
      </c>
      <c r="D2690" t="n">
        <v>39</v>
      </c>
      <c r="E2690" t="s">
        <v>2656</v>
      </c>
      <c r="F2690">
        <f>HYPERLINK("http://pbs.twimg.com/media/Dbqh197XcAAZ1fB.jpg", "http://pbs.twimg.com/media/Dbqh197XcAAZ1fB.jpg")</f>
        <v/>
      </c>
      <c r="G2690" t="s"/>
      <c r="H2690" t="s"/>
      <c r="I2690" t="s"/>
      <c r="J2690" t="n">
        <v>0</v>
      </c>
      <c r="K2690" t="n">
        <v>0</v>
      </c>
      <c r="L2690" t="n">
        <v>1</v>
      </c>
      <c r="M2690" t="n">
        <v>0</v>
      </c>
    </row>
    <row r="2691" spans="1:13">
      <c r="A2691" s="1">
        <f>HYPERLINK("http://www.twitter.com/NathanBLawrence/status/989579780407353349", "989579780407353349")</f>
        <v/>
      </c>
      <c r="B2691" s="2" t="n">
        <v>43216.79142361111</v>
      </c>
      <c r="C2691" t="n">
        <v>0</v>
      </c>
      <c r="D2691" t="n">
        <v>25</v>
      </c>
      <c r="E2691" t="s">
        <v>2657</v>
      </c>
      <c r="F2691" t="s"/>
      <c r="G2691" t="s"/>
      <c r="H2691" t="s"/>
      <c r="I2691" t="s"/>
      <c r="J2691" t="n">
        <v>0</v>
      </c>
      <c r="K2691" t="n">
        <v>0</v>
      </c>
      <c r="L2691" t="n">
        <v>1</v>
      </c>
      <c r="M2691" t="n">
        <v>0</v>
      </c>
    </row>
    <row r="2692" spans="1:13">
      <c r="A2692" s="1">
        <f>HYPERLINK("http://www.twitter.com/NathanBLawrence/status/989579768319414280", "989579768319414280")</f>
        <v/>
      </c>
      <c r="B2692" s="2" t="n">
        <v>43216.79138888889</v>
      </c>
      <c r="C2692" t="n">
        <v>0</v>
      </c>
      <c r="D2692" t="n">
        <v>64</v>
      </c>
      <c r="E2692" t="s">
        <v>2658</v>
      </c>
      <c r="F2692">
        <f>HYPERLINK("http://pbs.twimg.com/media/Dbt6xk0VAAAOJpt.jpg", "http://pbs.twimg.com/media/Dbt6xk0VAAAOJpt.jpg")</f>
        <v/>
      </c>
      <c r="G2692" t="s"/>
      <c r="H2692" t="s"/>
      <c r="I2692" t="s"/>
      <c r="J2692" t="n">
        <v>-0.5574</v>
      </c>
      <c r="K2692" t="n">
        <v>0.141</v>
      </c>
      <c r="L2692" t="n">
        <v>0.859</v>
      </c>
      <c r="M2692" t="n">
        <v>0</v>
      </c>
    </row>
    <row r="2693" spans="1:13">
      <c r="A2693" s="1">
        <f>HYPERLINK("http://www.twitter.com/NathanBLawrence/status/989579653932253184", "989579653932253184")</f>
        <v/>
      </c>
      <c r="B2693" s="2" t="n">
        <v>43216.79107638889</v>
      </c>
      <c r="C2693" t="n">
        <v>4</v>
      </c>
      <c r="D2693" t="n">
        <v>2</v>
      </c>
      <c r="E2693" t="s">
        <v>2659</v>
      </c>
      <c r="F2693">
        <f>HYPERLINK("http://pbs.twimg.com/media/Dbuxcp0XUAArHPh.jpg", "http://pbs.twimg.com/media/Dbuxcp0XUAArHPh.jpg")</f>
        <v/>
      </c>
      <c r="G2693" t="s"/>
      <c r="H2693" t="s"/>
      <c r="I2693" t="s"/>
      <c r="J2693" t="n">
        <v>0</v>
      </c>
      <c r="K2693" t="n">
        <v>0</v>
      </c>
      <c r="L2693" t="n">
        <v>1</v>
      </c>
      <c r="M2693" t="n">
        <v>0</v>
      </c>
    </row>
    <row r="2694" spans="1:13">
      <c r="A2694" s="1">
        <f>HYPERLINK("http://www.twitter.com/NathanBLawrence/status/989579146249555969", "989579146249555969")</f>
        <v/>
      </c>
      <c r="B2694" s="2" t="n">
        <v>43216.78967592592</v>
      </c>
      <c r="C2694" t="n">
        <v>7</v>
      </c>
      <c r="D2694" t="n">
        <v>3</v>
      </c>
      <c r="E2694" t="s">
        <v>2660</v>
      </c>
      <c r="F2694">
        <f>HYPERLINK("https://video.twimg.com/ext_tw_video/989578839444672512/pu/vid/640x360/hIBpqI8vfcqz8W6d.mp4?tag=3", "https://video.twimg.com/ext_tw_video/989578839444672512/pu/vid/640x360/hIBpqI8vfcqz8W6d.mp4?tag=3")</f>
        <v/>
      </c>
      <c r="G2694" t="s"/>
      <c r="H2694" t="s"/>
      <c r="I2694" t="s"/>
      <c r="J2694" t="n">
        <v>0</v>
      </c>
      <c r="K2694" t="n">
        <v>0</v>
      </c>
      <c r="L2694" t="n">
        <v>1</v>
      </c>
      <c r="M2694" t="n">
        <v>0</v>
      </c>
    </row>
    <row r="2695" spans="1:13">
      <c r="A2695" s="1">
        <f>HYPERLINK("http://www.twitter.com/NathanBLawrence/status/989573252371673088", "989573252371673088")</f>
        <v/>
      </c>
      <c r="B2695" s="2" t="n">
        <v>43216.77341435185</v>
      </c>
      <c r="C2695" t="n">
        <v>0</v>
      </c>
      <c r="D2695" t="n">
        <v>9</v>
      </c>
      <c r="E2695" t="s">
        <v>2661</v>
      </c>
      <c r="F2695">
        <f>HYPERLINK("http://pbs.twimg.com/media/DburcWwW4AU8Q86.jpg", "http://pbs.twimg.com/media/DburcWwW4AU8Q86.jpg")</f>
        <v/>
      </c>
      <c r="G2695" t="s"/>
      <c r="H2695" t="s"/>
      <c r="I2695" t="s"/>
      <c r="J2695" t="n">
        <v>0</v>
      </c>
      <c r="K2695" t="n">
        <v>0</v>
      </c>
      <c r="L2695" t="n">
        <v>1</v>
      </c>
      <c r="M2695" t="n">
        <v>0</v>
      </c>
    </row>
    <row r="2696" spans="1:13">
      <c r="A2696" s="1">
        <f>HYPERLINK("http://www.twitter.com/NathanBLawrence/status/989573177771745284", "989573177771745284")</f>
        <v/>
      </c>
      <c r="B2696" s="2" t="n">
        <v>43216.77320601852</v>
      </c>
      <c r="C2696" t="n">
        <v>0</v>
      </c>
      <c r="D2696" t="n">
        <v>59</v>
      </c>
      <c r="E2696" t="s">
        <v>2662</v>
      </c>
      <c r="F2696">
        <f>HYPERLINK("http://pbs.twimg.com/media/DbuoXljW4AEaj9p.jpg", "http://pbs.twimg.com/media/DbuoXljW4AEaj9p.jpg")</f>
        <v/>
      </c>
      <c r="G2696" t="s"/>
      <c r="H2696" t="s"/>
      <c r="I2696" t="s"/>
      <c r="J2696" t="n">
        <v>-0.3612</v>
      </c>
      <c r="K2696" t="n">
        <v>0.106</v>
      </c>
      <c r="L2696" t="n">
        <v>0.894</v>
      </c>
      <c r="M2696" t="n">
        <v>0</v>
      </c>
    </row>
    <row r="2697" spans="1:13">
      <c r="A2697" s="1">
        <f>HYPERLINK("http://www.twitter.com/NathanBLawrence/status/989573052722761728", "989573052722761728")</f>
        <v/>
      </c>
      <c r="B2697" s="2" t="n">
        <v>43216.7728587963</v>
      </c>
      <c r="C2697" t="n">
        <v>14</v>
      </c>
      <c r="D2697" t="n">
        <v>9</v>
      </c>
      <c r="E2697" t="s">
        <v>2663</v>
      </c>
      <c r="F2697">
        <f>HYPERLINK("http://pbs.twimg.com/media/DburcWwW4AU8Q86.jpg", "http://pbs.twimg.com/media/DburcWwW4AU8Q86.jpg")</f>
        <v/>
      </c>
      <c r="G2697" t="s"/>
      <c r="H2697" t="s"/>
      <c r="I2697" t="s"/>
      <c r="J2697" t="n">
        <v>0</v>
      </c>
      <c r="K2697" t="n">
        <v>0</v>
      </c>
      <c r="L2697" t="n">
        <v>1</v>
      </c>
      <c r="M2697" t="n">
        <v>0</v>
      </c>
    </row>
    <row r="2698" spans="1:13">
      <c r="A2698" s="1">
        <f>HYPERLINK("http://www.twitter.com/NathanBLawrence/status/989572790067122182", "989572790067122182")</f>
        <v/>
      </c>
      <c r="B2698" s="2" t="n">
        <v>43216.77214120371</v>
      </c>
      <c r="C2698" t="n">
        <v>0</v>
      </c>
      <c r="D2698" t="n">
        <v>5</v>
      </c>
      <c r="E2698" t="s">
        <v>2661</v>
      </c>
      <c r="F2698">
        <f>HYPERLINK("http://pbs.twimg.com/media/DburGsAXcAAo4sL.jpg", "http://pbs.twimg.com/media/DburGsAXcAAo4sL.jpg")</f>
        <v/>
      </c>
      <c r="G2698">
        <f>HYPERLINK("http://pbs.twimg.com/media/DburHC2WkAMK38O.jpg", "http://pbs.twimg.com/media/DburHC2WkAMK38O.jpg")</f>
        <v/>
      </c>
      <c r="H2698">
        <f>HYPERLINK("http://pbs.twimg.com/media/DburHkBX0AAgOqn.jpg", "http://pbs.twimg.com/media/DburHkBX0AAgOqn.jpg")</f>
        <v/>
      </c>
      <c r="I2698">
        <f>HYPERLINK("http://pbs.twimg.com/media/DburH3jXcAA6kpt.jpg", "http://pbs.twimg.com/media/DburH3jXcAA6kpt.jpg")</f>
        <v/>
      </c>
      <c r="J2698" t="n">
        <v>0</v>
      </c>
      <c r="K2698" t="n">
        <v>0</v>
      </c>
      <c r="L2698" t="n">
        <v>1</v>
      </c>
      <c r="M2698" t="n">
        <v>0</v>
      </c>
    </row>
    <row r="2699" spans="1:13">
      <c r="A2699" s="1">
        <f>HYPERLINK("http://www.twitter.com/NathanBLawrence/status/989572702930456578", "989572702930456578")</f>
        <v/>
      </c>
      <c r="B2699" s="2" t="n">
        <v>43216.77189814814</v>
      </c>
      <c r="C2699" t="n">
        <v>6</v>
      </c>
      <c r="D2699" t="n">
        <v>5</v>
      </c>
      <c r="E2699" t="s">
        <v>2664</v>
      </c>
      <c r="F2699">
        <f>HYPERLINK("http://pbs.twimg.com/media/DburGsAXcAAo4sL.jpg", "http://pbs.twimg.com/media/DburGsAXcAAo4sL.jpg")</f>
        <v/>
      </c>
      <c r="G2699">
        <f>HYPERLINK("http://pbs.twimg.com/media/DburHC2WkAMK38O.jpg", "http://pbs.twimg.com/media/DburHC2WkAMK38O.jpg")</f>
        <v/>
      </c>
      <c r="H2699">
        <f>HYPERLINK("http://pbs.twimg.com/media/DburHkBX0AAgOqn.jpg", "http://pbs.twimg.com/media/DburHkBX0AAgOqn.jpg")</f>
        <v/>
      </c>
      <c r="I2699">
        <f>HYPERLINK("http://pbs.twimg.com/media/DburH3jXcAA6kpt.jpg", "http://pbs.twimg.com/media/DburH3jXcAA6kpt.jpg")</f>
        <v/>
      </c>
      <c r="J2699" t="n">
        <v>0</v>
      </c>
      <c r="K2699" t="n">
        <v>0</v>
      </c>
      <c r="L2699" t="n">
        <v>1</v>
      </c>
      <c r="M2699" t="n">
        <v>0</v>
      </c>
    </row>
    <row r="2700" spans="1:13">
      <c r="A2700" s="1">
        <f>HYPERLINK("http://www.twitter.com/NathanBLawrence/status/989570579316473861", "989570579316473861")</f>
        <v/>
      </c>
      <c r="B2700" s="2" t="n">
        <v>43216.76604166667</v>
      </c>
      <c r="C2700" t="n">
        <v>0</v>
      </c>
      <c r="D2700" t="n">
        <v>9</v>
      </c>
      <c r="E2700" t="s">
        <v>2665</v>
      </c>
      <c r="F2700" t="s"/>
      <c r="G2700" t="s"/>
      <c r="H2700" t="s"/>
      <c r="I2700" t="s"/>
      <c r="J2700" t="n">
        <v>0</v>
      </c>
      <c r="K2700" t="n">
        <v>0</v>
      </c>
      <c r="L2700" t="n">
        <v>1</v>
      </c>
      <c r="M2700" t="n">
        <v>0</v>
      </c>
    </row>
    <row r="2701" spans="1:13">
      <c r="A2701" s="1">
        <f>HYPERLINK("http://www.twitter.com/NathanBLawrence/status/989570467773239297", "989570467773239297")</f>
        <v/>
      </c>
      <c r="B2701" s="2" t="n">
        <v>43216.76572916667</v>
      </c>
      <c r="C2701" t="n">
        <v>13</v>
      </c>
      <c r="D2701" t="n">
        <v>9</v>
      </c>
      <c r="E2701" t="s">
        <v>2666</v>
      </c>
      <c r="F2701" t="s"/>
      <c r="G2701" t="s"/>
      <c r="H2701" t="s"/>
      <c r="I2701" t="s"/>
      <c r="J2701" t="n">
        <v>-0.6641</v>
      </c>
      <c r="K2701" t="n">
        <v>0.126</v>
      </c>
      <c r="L2701" t="n">
        <v>0.836</v>
      </c>
      <c r="M2701" t="n">
        <v>0.038</v>
      </c>
    </row>
    <row r="2702" spans="1:13">
      <c r="A2702" s="1">
        <f>HYPERLINK("http://www.twitter.com/NathanBLawrence/status/989569813755367424", "989569813755367424")</f>
        <v/>
      </c>
      <c r="B2702" s="2" t="n">
        <v>43216.76392361111</v>
      </c>
      <c r="C2702" t="n">
        <v>0</v>
      </c>
      <c r="D2702" t="n">
        <v>8</v>
      </c>
      <c r="E2702" t="s">
        <v>2667</v>
      </c>
      <c r="F2702" t="s"/>
      <c r="G2702" t="s"/>
      <c r="H2702" t="s"/>
      <c r="I2702" t="s"/>
      <c r="J2702" t="n">
        <v>0.0258</v>
      </c>
      <c r="K2702" t="n">
        <v>0.1</v>
      </c>
      <c r="L2702" t="n">
        <v>0.795</v>
      </c>
      <c r="M2702" t="n">
        <v>0.105</v>
      </c>
    </row>
    <row r="2703" spans="1:13">
      <c r="A2703" s="1">
        <f>HYPERLINK("http://www.twitter.com/NathanBLawrence/status/989569735934259200", "989569735934259200")</f>
        <v/>
      </c>
      <c r="B2703" s="2" t="n">
        <v>43216.76371527778</v>
      </c>
      <c r="C2703" t="n">
        <v>0</v>
      </c>
      <c r="D2703" t="n">
        <v>14</v>
      </c>
      <c r="E2703" t="s">
        <v>2668</v>
      </c>
      <c r="F2703">
        <f>HYPERLINK("http://pbs.twimg.com/media/DbuoNWiX0AAGW03.jpg", "http://pbs.twimg.com/media/DbuoNWiX0AAGW03.jpg")</f>
        <v/>
      </c>
      <c r="G2703">
        <f>HYPERLINK("http://pbs.twimg.com/media/DbuoNw6WkAEH4fJ.jpg", "http://pbs.twimg.com/media/DbuoNw6WkAEH4fJ.jpg")</f>
        <v/>
      </c>
      <c r="H2703" t="s"/>
      <c r="I2703" t="s"/>
      <c r="J2703" t="n">
        <v>0</v>
      </c>
      <c r="K2703" t="n">
        <v>0</v>
      </c>
      <c r="L2703" t="n">
        <v>1</v>
      </c>
      <c r="M2703" t="n">
        <v>0</v>
      </c>
    </row>
    <row r="2704" spans="1:13">
      <c r="A2704" s="1">
        <f>HYPERLINK("http://www.twitter.com/NathanBLawrence/status/989569500394737664", "989569500394737664")</f>
        <v/>
      </c>
      <c r="B2704" s="2" t="n">
        <v>43216.76305555556</v>
      </c>
      <c r="C2704" t="n">
        <v>15</v>
      </c>
      <c r="D2704" t="n">
        <v>14</v>
      </c>
      <c r="E2704" t="s">
        <v>2669</v>
      </c>
      <c r="F2704">
        <f>HYPERLINK("http://pbs.twimg.com/media/DbuoNWiX0AAGW03.jpg", "http://pbs.twimg.com/media/DbuoNWiX0AAGW03.jpg")</f>
        <v/>
      </c>
      <c r="G2704">
        <f>HYPERLINK("http://pbs.twimg.com/media/DbuoNw6WkAEH4fJ.jpg", "http://pbs.twimg.com/media/DbuoNw6WkAEH4fJ.jpg")</f>
        <v/>
      </c>
      <c r="H2704" t="s"/>
      <c r="I2704" t="s"/>
      <c r="J2704" t="n">
        <v>0</v>
      </c>
      <c r="K2704" t="n">
        <v>0</v>
      </c>
      <c r="L2704" t="n">
        <v>1</v>
      </c>
      <c r="M2704" t="n">
        <v>0</v>
      </c>
    </row>
    <row r="2705" spans="1:13">
      <c r="A2705" s="1">
        <f>HYPERLINK("http://www.twitter.com/NathanBLawrence/status/989549773538648065", "989549773538648065")</f>
        <v/>
      </c>
      <c r="B2705" s="2" t="n">
        <v>43216.70862268518</v>
      </c>
      <c r="C2705" t="n">
        <v>0</v>
      </c>
      <c r="D2705" t="n">
        <v>8</v>
      </c>
      <c r="E2705" t="s">
        <v>2670</v>
      </c>
      <c r="F2705" t="s"/>
      <c r="G2705" t="s"/>
      <c r="H2705" t="s"/>
      <c r="I2705" t="s"/>
      <c r="J2705" t="n">
        <v>-0.0788</v>
      </c>
      <c r="K2705" t="n">
        <v>0.062</v>
      </c>
      <c r="L2705" t="n">
        <v>0.887</v>
      </c>
      <c r="M2705" t="n">
        <v>0.051</v>
      </c>
    </row>
    <row r="2706" spans="1:13">
      <c r="A2706" s="1">
        <f>HYPERLINK("http://www.twitter.com/NathanBLawrence/status/989544903658131456", "989544903658131456")</f>
        <v/>
      </c>
      <c r="B2706" s="2" t="n">
        <v>43216.69518518518</v>
      </c>
      <c r="C2706" t="n">
        <v>0</v>
      </c>
      <c r="D2706" t="n">
        <v>7</v>
      </c>
      <c r="E2706" t="s">
        <v>2671</v>
      </c>
      <c r="F2706" t="s"/>
      <c r="G2706" t="s"/>
      <c r="H2706" t="s"/>
      <c r="I2706" t="s"/>
      <c r="J2706" t="n">
        <v>-0.6239</v>
      </c>
      <c r="K2706" t="n">
        <v>0.221</v>
      </c>
      <c r="L2706" t="n">
        <v>0.779</v>
      </c>
      <c r="M2706" t="n">
        <v>0</v>
      </c>
    </row>
    <row r="2707" spans="1:13">
      <c r="A2707" s="1">
        <f>HYPERLINK("http://www.twitter.com/NathanBLawrence/status/989544748510863360", "989544748510863360")</f>
        <v/>
      </c>
      <c r="B2707" s="2" t="n">
        <v>43216.69475694445</v>
      </c>
      <c r="C2707" t="n">
        <v>13</v>
      </c>
      <c r="D2707" t="n">
        <v>8</v>
      </c>
      <c r="E2707" t="s">
        <v>2672</v>
      </c>
      <c r="F2707" t="s"/>
      <c r="G2707" t="s"/>
      <c r="H2707" t="s"/>
      <c r="I2707" t="s"/>
      <c r="J2707" t="n">
        <v>-0.0788</v>
      </c>
      <c r="K2707" t="n">
        <v>0.06</v>
      </c>
      <c r="L2707" t="n">
        <v>0.891</v>
      </c>
      <c r="M2707" t="n">
        <v>0.049</v>
      </c>
    </row>
    <row r="2708" spans="1:13">
      <c r="A2708" s="1">
        <f>HYPERLINK("http://www.twitter.com/NathanBLawrence/status/989544464258686979", "989544464258686979")</f>
        <v/>
      </c>
      <c r="B2708" s="2" t="n">
        <v>43216.69396990741</v>
      </c>
      <c r="C2708" t="n">
        <v>0</v>
      </c>
      <c r="D2708" t="n">
        <v>4</v>
      </c>
      <c r="E2708" t="s">
        <v>2673</v>
      </c>
      <c r="F2708" t="s"/>
      <c r="G2708" t="s"/>
      <c r="H2708" t="s"/>
      <c r="I2708" t="s"/>
      <c r="J2708" t="n">
        <v>0</v>
      </c>
      <c r="K2708" t="n">
        <v>0</v>
      </c>
      <c r="L2708" t="n">
        <v>1</v>
      </c>
      <c r="M2708" t="n">
        <v>0</v>
      </c>
    </row>
    <row r="2709" spans="1:13">
      <c r="A2709" s="1">
        <f>HYPERLINK("http://www.twitter.com/NathanBLawrence/status/989544279516295168", "989544279516295168")</f>
        <v/>
      </c>
      <c r="B2709" s="2" t="n">
        <v>43216.69346064814</v>
      </c>
      <c r="C2709" t="n">
        <v>0</v>
      </c>
      <c r="D2709" t="n">
        <v>12</v>
      </c>
      <c r="E2709" t="s">
        <v>2674</v>
      </c>
      <c r="F2709" t="s"/>
      <c r="G2709" t="s"/>
      <c r="H2709" t="s"/>
      <c r="I2709" t="s"/>
      <c r="J2709" t="n">
        <v>-0.3089</v>
      </c>
      <c r="K2709" t="n">
        <v>0.111</v>
      </c>
      <c r="L2709" t="n">
        <v>0.889</v>
      </c>
      <c r="M2709" t="n">
        <v>0</v>
      </c>
    </row>
    <row r="2710" spans="1:13">
      <c r="A2710" s="1">
        <f>HYPERLINK("http://www.twitter.com/NathanBLawrence/status/989544138969440256", "989544138969440256")</f>
        <v/>
      </c>
      <c r="B2710" s="2" t="n">
        <v>43216.69307870371</v>
      </c>
      <c r="C2710" t="n">
        <v>16</v>
      </c>
      <c r="D2710" t="n">
        <v>12</v>
      </c>
      <c r="E2710" t="s">
        <v>2675</v>
      </c>
      <c r="F2710" t="s"/>
      <c r="G2710" t="s"/>
      <c r="H2710" t="s"/>
      <c r="I2710" t="s"/>
      <c r="J2710" t="n">
        <v>0.08799999999999999</v>
      </c>
      <c r="K2710" t="n">
        <v>0.057</v>
      </c>
      <c r="L2710" t="n">
        <v>0.878</v>
      </c>
      <c r="M2710" t="n">
        <v>0.065</v>
      </c>
    </row>
    <row r="2711" spans="1:13">
      <c r="A2711" s="1">
        <f>HYPERLINK("http://www.twitter.com/NathanBLawrence/status/989537800730103813", "989537800730103813")</f>
        <v/>
      </c>
      <c r="B2711" s="2" t="n">
        <v>43216.67559027778</v>
      </c>
      <c r="C2711" t="n">
        <v>0</v>
      </c>
      <c r="D2711" t="n">
        <v>173</v>
      </c>
      <c r="E2711" t="s">
        <v>2676</v>
      </c>
      <c r="F2711">
        <f>HYPERLINK("http://pbs.twimg.com/media/Da-mBqAW0AESHrk.jpg", "http://pbs.twimg.com/media/Da-mBqAW0AESHrk.jpg")</f>
        <v/>
      </c>
      <c r="G2711" t="s"/>
      <c r="H2711" t="s"/>
      <c r="I2711" t="s"/>
      <c r="J2711" t="n">
        <v>0.7579</v>
      </c>
      <c r="K2711" t="n">
        <v>0</v>
      </c>
      <c r="L2711" t="n">
        <v>0.651</v>
      </c>
      <c r="M2711" t="n">
        <v>0.349</v>
      </c>
    </row>
    <row r="2712" spans="1:13">
      <c r="A2712" s="1">
        <f>HYPERLINK("http://www.twitter.com/NathanBLawrence/status/989531533735325697", "989531533735325697")</f>
        <v/>
      </c>
      <c r="B2712" s="2" t="n">
        <v>43216.65828703704</v>
      </c>
      <c r="C2712" t="n">
        <v>0</v>
      </c>
      <c r="D2712" t="n">
        <v>2</v>
      </c>
      <c r="E2712" t="s">
        <v>2677</v>
      </c>
      <c r="F2712">
        <f>HYPERLINK("http://pbs.twimg.com/media/Dbt-qOaX4AIcYOo.jpg", "http://pbs.twimg.com/media/Dbt-qOaX4AIcYOo.jpg")</f>
        <v/>
      </c>
      <c r="G2712" t="s"/>
      <c r="H2712" t="s"/>
      <c r="I2712" t="s"/>
      <c r="J2712" t="n">
        <v>0</v>
      </c>
      <c r="K2712" t="n">
        <v>0</v>
      </c>
      <c r="L2712" t="n">
        <v>1</v>
      </c>
      <c r="M2712" t="n">
        <v>0</v>
      </c>
    </row>
    <row r="2713" spans="1:13">
      <c r="A2713" s="1">
        <f>HYPERLINK("http://www.twitter.com/NathanBLawrence/status/989529570700390402", "989529570700390402")</f>
        <v/>
      </c>
      <c r="B2713" s="2" t="n">
        <v>43216.65287037037</v>
      </c>
      <c r="C2713" t="n">
        <v>0</v>
      </c>
      <c r="D2713" t="n">
        <v>9</v>
      </c>
      <c r="E2713" t="s">
        <v>2678</v>
      </c>
      <c r="F2713">
        <f>HYPERLINK("http://pbs.twimg.com/media/DbuDwbuWsAAQLUY.jpg", "http://pbs.twimg.com/media/DbuDwbuWsAAQLUY.jpg")</f>
        <v/>
      </c>
      <c r="G2713">
        <f>HYPERLINK("http://pbs.twimg.com/media/DbuDw06X0AEEuAs.jpg", "http://pbs.twimg.com/media/DbuDw06X0AEEuAs.jpg")</f>
        <v/>
      </c>
      <c r="H2713">
        <f>HYPERLINK("http://pbs.twimg.com/media/DbuDxKVWsAASHUo.jpg", "http://pbs.twimg.com/media/DbuDxKVWsAASHUo.jpg")</f>
        <v/>
      </c>
      <c r="I2713">
        <f>HYPERLINK("http://pbs.twimg.com/media/DbuDxuUWkAIXuG0.jpg", "http://pbs.twimg.com/media/DbuDxuUWkAIXuG0.jpg")</f>
        <v/>
      </c>
      <c r="J2713" t="n">
        <v>-0.7906</v>
      </c>
      <c r="K2713" t="n">
        <v>0.269</v>
      </c>
      <c r="L2713" t="n">
        <v>0.731</v>
      </c>
      <c r="M2713" t="n">
        <v>0</v>
      </c>
    </row>
    <row r="2714" spans="1:13">
      <c r="A2714" s="1">
        <f>HYPERLINK("http://www.twitter.com/NathanBLawrence/status/989529439838113792", "989529439838113792")</f>
        <v/>
      </c>
      <c r="B2714" s="2" t="n">
        <v>43216.65251157407</v>
      </c>
      <c r="C2714" t="n">
        <v>10</v>
      </c>
      <c r="D2714" t="n">
        <v>9</v>
      </c>
      <c r="E2714" t="s">
        <v>2679</v>
      </c>
      <c r="F2714">
        <f>HYPERLINK("http://pbs.twimg.com/media/DbuDwbuWsAAQLUY.jpg", "http://pbs.twimg.com/media/DbuDwbuWsAAQLUY.jpg")</f>
        <v/>
      </c>
      <c r="G2714">
        <f>HYPERLINK("http://pbs.twimg.com/media/DbuDw06X0AEEuAs.jpg", "http://pbs.twimg.com/media/DbuDw06X0AEEuAs.jpg")</f>
        <v/>
      </c>
      <c r="H2714">
        <f>HYPERLINK("http://pbs.twimg.com/media/DbuDxKVWsAASHUo.jpg", "http://pbs.twimg.com/media/DbuDxKVWsAASHUo.jpg")</f>
        <v/>
      </c>
      <c r="I2714">
        <f>HYPERLINK("http://pbs.twimg.com/media/DbuDxuUWkAIXuG0.jpg", "http://pbs.twimg.com/media/DbuDxuUWkAIXuG0.jpg")</f>
        <v/>
      </c>
      <c r="J2714" t="n">
        <v>-0.7845</v>
      </c>
      <c r="K2714" t="n">
        <v>0.188</v>
      </c>
      <c r="L2714" t="n">
        <v>0.762</v>
      </c>
      <c r="M2714" t="n">
        <v>0.05</v>
      </c>
    </row>
    <row r="2715" spans="1:13">
      <c r="A2715" s="1">
        <f>HYPERLINK("http://www.twitter.com/NathanBLawrence/status/989528734691708928", "989528734691708928")</f>
        <v/>
      </c>
      <c r="B2715" s="2" t="n">
        <v>43216.65056712963</v>
      </c>
      <c r="C2715" t="n">
        <v>0</v>
      </c>
      <c r="D2715" t="n">
        <v>10</v>
      </c>
      <c r="E2715" t="s">
        <v>2680</v>
      </c>
      <c r="F2715" t="s"/>
      <c r="G2715" t="s"/>
      <c r="H2715" t="s"/>
      <c r="I2715" t="s"/>
      <c r="J2715" t="n">
        <v>-0.3612</v>
      </c>
      <c r="K2715" t="n">
        <v>0.111</v>
      </c>
      <c r="L2715" t="n">
        <v>0.889</v>
      </c>
      <c r="M2715" t="n">
        <v>0</v>
      </c>
    </row>
    <row r="2716" spans="1:13">
      <c r="A2716" s="1">
        <f>HYPERLINK("http://www.twitter.com/NathanBLawrence/status/989528678983000064", "989528678983000064")</f>
        <v/>
      </c>
      <c r="B2716" s="2" t="n">
        <v>43216.65041666666</v>
      </c>
      <c r="C2716" t="n">
        <v>0</v>
      </c>
      <c r="D2716" t="n">
        <v>4</v>
      </c>
      <c r="E2716" t="s">
        <v>2681</v>
      </c>
      <c r="F2716" t="s"/>
      <c r="G2716" t="s"/>
      <c r="H2716" t="s"/>
      <c r="I2716" t="s"/>
      <c r="J2716" t="n">
        <v>-0.7925</v>
      </c>
      <c r="K2716" t="n">
        <v>0.251</v>
      </c>
      <c r="L2716" t="n">
        <v>0.749</v>
      </c>
      <c r="M2716" t="n">
        <v>0</v>
      </c>
    </row>
    <row r="2717" spans="1:13">
      <c r="A2717" s="1">
        <f>HYPERLINK("http://www.twitter.com/NathanBLawrence/status/989528633051107328", "989528633051107328")</f>
        <v/>
      </c>
      <c r="B2717" s="2" t="n">
        <v>43216.65028935186</v>
      </c>
      <c r="C2717" t="n">
        <v>0</v>
      </c>
      <c r="D2717" t="n">
        <v>9</v>
      </c>
      <c r="E2717" t="s">
        <v>2682</v>
      </c>
      <c r="F2717" t="s"/>
      <c r="G2717" t="s"/>
      <c r="H2717" t="s"/>
      <c r="I2717" t="s"/>
      <c r="J2717" t="n">
        <v>-0.0772</v>
      </c>
      <c r="K2717" t="n">
        <v>0.048</v>
      </c>
      <c r="L2717" t="n">
        <v>0.952</v>
      </c>
      <c r="M2717" t="n">
        <v>0</v>
      </c>
    </row>
    <row r="2718" spans="1:13">
      <c r="A2718" s="1">
        <f>HYPERLINK("http://www.twitter.com/NathanBLawrence/status/989528505770799105", "989528505770799105")</f>
        <v/>
      </c>
      <c r="B2718" s="2" t="n">
        <v>43216.64993055556</v>
      </c>
      <c r="C2718" t="n">
        <v>0</v>
      </c>
      <c r="D2718" t="n">
        <v>13</v>
      </c>
      <c r="E2718" t="s">
        <v>2683</v>
      </c>
      <c r="F2718" t="s"/>
      <c r="G2718" t="s"/>
      <c r="H2718" t="s"/>
      <c r="I2718" t="s"/>
      <c r="J2718" t="n">
        <v>0</v>
      </c>
      <c r="K2718" t="n">
        <v>0</v>
      </c>
      <c r="L2718" t="n">
        <v>1</v>
      </c>
      <c r="M2718" t="n">
        <v>0</v>
      </c>
    </row>
    <row r="2719" spans="1:13">
      <c r="A2719" s="1">
        <f>HYPERLINK("http://www.twitter.com/NathanBLawrence/status/989528235909287936", "989528235909287936")</f>
        <v/>
      </c>
      <c r="B2719" s="2" t="n">
        <v>43216.64918981482</v>
      </c>
      <c r="C2719" t="n">
        <v>0</v>
      </c>
      <c r="D2719" t="n">
        <v>3</v>
      </c>
      <c r="E2719" t="s">
        <v>2684</v>
      </c>
      <c r="F2719" t="s"/>
      <c r="G2719" t="s"/>
      <c r="H2719" t="s"/>
      <c r="I2719" t="s"/>
      <c r="J2719" t="n">
        <v>0</v>
      </c>
      <c r="K2719" t="n">
        <v>0</v>
      </c>
      <c r="L2719" t="n">
        <v>1</v>
      </c>
      <c r="M2719" t="n">
        <v>0</v>
      </c>
    </row>
    <row r="2720" spans="1:13">
      <c r="A2720" s="1">
        <f>HYPERLINK("http://www.twitter.com/NathanBLawrence/status/989528192628219906", "989528192628219906")</f>
        <v/>
      </c>
      <c r="B2720" s="2" t="n">
        <v>43216.64907407408</v>
      </c>
      <c r="C2720" t="n">
        <v>0</v>
      </c>
      <c r="D2720" t="n">
        <v>5</v>
      </c>
      <c r="E2720" t="s">
        <v>2685</v>
      </c>
      <c r="F2720" t="s"/>
      <c r="G2720" t="s"/>
      <c r="H2720" t="s"/>
      <c r="I2720" t="s"/>
      <c r="J2720" t="n">
        <v>-0.5266999999999999</v>
      </c>
      <c r="K2720" t="n">
        <v>0.152</v>
      </c>
      <c r="L2720" t="n">
        <v>0.848</v>
      </c>
      <c r="M2720" t="n">
        <v>0</v>
      </c>
    </row>
    <row r="2721" spans="1:13">
      <c r="A2721" s="1">
        <f>HYPERLINK("http://www.twitter.com/NathanBLawrence/status/989528085593841664", "989528085593841664")</f>
        <v/>
      </c>
      <c r="B2721" s="2" t="n">
        <v>43216.64877314815</v>
      </c>
      <c r="C2721" t="n">
        <v>0</v>
      </c>
      <c r="D2721" t="n">
        <v>1</v>
      </c>
      <c r="E2721" t="s">
        <v>2686</v>
      </c>
      <c r="F2721" t="s"/>
      <c r="G2721" t="s"/>
      <c r="H2721" t="s"/>
      <c r="I2721" t="s"/>
      <c r="J2721" t="n">
        <v>-0.4588</v>
      </c>
      <c r="K2721" t="n">
        <v>0.143</v>
      </c>
      <c r="L2721" t="n">
        <v>0.857</v>
      </c>
      <c r="M2721" t="n">
        <v>0</v>
      </c>
    </row>
    <row r="2722" spans="1:13">
      <c r="A2722" s="1">
        <f>HYPERLINK("http://www.twitter.com/NathanBLawrence/status/989527801140338689", "989527801140338689")</f>
        <v/>
      </c>
      <c r="B2722" s="2" t="n">
        <v>43216.64798611111</v>
      </c>
      <c r="C2722" t="n">
        <v>0</v>
      </c>
      <c r="D2722" t="n">
        <v>0</v>
      </c>
      <c r="E2722" t="s">
        <v>2687</v>
      </c>
      <c r="F2722" t="s"/>
      <c r="G2722" t="s"/>
      <c r="H2722" t="s"/>
      <c r="I2722" t="s"/>
      <c r="J2722" t="n">
        <v>0</v>
      </c>
      <c r="K2722" t="n">
        <v>0</v>
      </c>
      <c r="L2722" t="n">
        <v>1</v>
      </c>
      <c r="M2722" t="n">
        <v>0</v>
      </c>
    </row>
    <row r="2723" spans="1:13">
      <c r="A2723" s="1">
        <f>HYPERLINK("http://www.twitter.com/NathanBLawrence/status/989527639588245504", "989527639588245504")</f>
        <v/>
      </c>
      <c r="B2723" s="2" t="n">
        <v>43216.6475462963</v>
      </c>
      <c r="C2723" t="n">
        <v>0</v>
      </c>
      <c r="D2723" t="n">
        <v>5</v>
      </c>
      <c r="E2723" t="s">
        <v>2688</v>
      </c>
      <c r="F2723" t="s"/>
      <c r="G2723" t="s"/>
      <c r="H2723" t="s"/>
      <c r="I2723" t="s"/>
      <c r="J2723" t="n">
        <v>-0.8658</v>
      </c>
      <c r="K2723" t="n">
        <v>0.422</v>
      </c>
      <c r="L2723" t="n">
        <v>0.578</v>
      </c>
      <c r="M2723" t="n">
        <v>0</v>
      </c>
    </row>
    <row r="2724" spans="1:13">
      <c r="A2724" s="1">
        <f>HYPERLINK("http://www.twitter.com/NathanBLawrence/status/989527133197303809", "989527133197303809")</f>
        <v/>
      </c>
      <c r="B2724" s="2" t="n">
        <v>43216.64614583334</v>
      </c>
      <c r="C2724" t="n">
        <v>0</v>
      </c>
      <c r="D2724" t="n">
        <v>38</v>
      </c>
      <c r="E2724" t="s">
        <v>2689</v>
      </c>
      <c r="F2724" t="s"/>
      <c r="G2724" t="s"/>
      <c r="H2724" t="s"/>
      <c r="I2724" t="s"/>
      <c r="J2724" t="n">
        <v>0</v>
      </c>
      <c r="K2724" t="n">
        <v>0</v>
      </c>
      <c r="L2724" t="n">
        <v>1</v>
      </c>
      <c r="M2724" t="n">
        <v>0</v>
      </c>
    </row>
    <row r="2725" spans="1:13">
      <c r="A2725" s="1">
        <f>HYPERLINK("http://www.twitter.com/NathanBLawrence/status/989527111475040258", "989527111475040258")</f>
        <v/>
      </c>
      <c r="B2725" s="2" t="n">
        <v>43216.64608796296</v>
      </c>
      <c r="C2725" t="n">
        <v>7</v>
      </c>
      <c r="D2725" t="n">
        <v>7</v>
      </c>
      <c r="E2725" t="s">
        <v>2690</v>
      </c>
      <c r="F2725" t="s"/>
      <c r="G2725" t="s"/>
      <c r="H2725" t="s"/>
      <c r="I2725" t="s"/>
      <c r="J2725" t="n">
        <v>-0.6239</v>
      </c>
      <c r="K2725" t="n">
        <v>0.241</v>
      </c>
      <c r="L2725" t="n">
        <v>0.759</v>
      </c>
      <c r="M2725" t="n">
        <v>0</v>
      </c>
    </row>
    <row r="2726" spans="1:13">
      <c r="A2726" s="1">
        <f>HYPERLINK("http://www.twitter.com/NathanBLawrence/status/989526946404012032", "989526946404012032")</f>
        <v/>
      </c>
      <c r="B2726" s="2" t="n">
        <v>43216.64563657407</v>
      </c>
      <c r="C2726" t="n">
        <v>0</v>
      </c>
      <c r="D2726" t="n">
        <v>4</v>
      </c>
      <c r="E2726" t="s">
        <v>2691</v>
      </c>
      <c r="F2726" t="s"/>
      <c r="G2726" t="s"/>
      <c r="H2726" t="s"/>
      <c r="I2726" t="s"/>
      <c r="J2726" t="n">
        <v>0.1027</v>
      </c>
      <c r="K2726" t="n">
        <v>0.104</v>
      </c>
      <c r="L2726" t="n">
        <v>0.778</v>
      </c>
      <c r="M2726" t="n">
        <v>0.119</v>
      </c>
    </row>
    <row r="2727" spans="1:13">
      <c r="A2727" s="1">
        <f>HYPERLINK("http://www.twitter.com/NathanBLawrence/status/989526931468177409", "989526931468177409")</f>
        <v/>
      </c>
      <c r="B2727" s="2" t="n">
        <v>43216.64559027777</v>
      </c>
      <c r="C2727" t="n">
        <v>12</v>
      </c>
      <c r="D2727" t="n">
        <v>9</v>
      </c>
      <c r="E2727" t="s">
        <v>2692</v>
      </c>
      <c r="F2727" t="s"/>
      <c r="G2727" t="s"/>
      <c r="H2727" t="s"/>
      <c r="I2727" t="s"/>
      <c r="J2727" t="n">
        <v>-0.0772</v>
      </c>
      <c r="K2727" t="n">
        <v>0.043</v>
      </c>
      <c r="L2727" t="n">
        <v>0.957</v>
      </c>
      <c r="M2727" t="n">
        <v>0</v>
      </c>
    </row>
    <row r="2728" spans="1:13">
      <c r="A2728" s="1">
        <f>HYPERLINK("http://www.twitter.com/NathanBLawrence/status/989526660813934593", "989526660813934593")</f>
        <v/>
      </c>
      <c r="B2728" s="2" t="n">
        <v>43216.64484953704</v>
      </c>
      <c r="C2728" t="n">
        <v>0</v>
      </c>
      <c r="D2728" t="n">
        <v>39</v>
      </c>
      <c r="E2728" t="s">
        <v>2693</v>
      </c>
      <c r="F2728" t="s"/>
      <c r="G2728" t="s"/>
      <c r="H2728" t="s"/>
      <c r="I2728" t="s"/>
      <c r="J2728" t="n">
        <v>-0.296</v>
      </c>
      <c r="K2728" t="n">
        <v>0.095</v>
      </c>
      <c r="L2728" t="n">
        <v>0.905</v>
      </c>
      <c r="M2728" t="n">
        <v>0</v>
      </c>
    </row>
    <row r="2729" spans="1:13">
      <c r="A2729" s="1">
        <f>HYPERLINK("http://www.twitter.com/NathanBLawrence/status/989526350435373056", "989526350435373056")</f>
        <v/>
      </c>
      <c r="B2729" s="2" t="n">
        <v>43216.64399305556</v>
      </c>
      <c r="C2729" t="n">
        <v>0</v>
      </c>
      <c r="D2729" t="n">
        <v>5</v>
      </c>
      <c r="E2729" t="s">
        <v>2694</v>
      </c>
      <c r="F2729" t="s"/>
      <c r="G2729" t="s"/>
      <c r="H2729" t="s"/>
      <c r="I2729" t="s"/>
      <c r="J2729" t="n">
        <v>0</v>
      </c>
      <c r="K2729" t="n">
        <v>0</v>
      </c>
      <c r="L2729" t="n">
        <v>1</v>
      </c>
      <c r="M2729" t="n">
        <v>0</v>
      </c>
    </row>
    <row r="2730" spans="1:13">
      <c r="A2730" s="1">
        <f>HYPERLINK("http://www.twitter.com/NathanBLawrence/status/989526341535125504", "989526341535125504")</f>
        <v/>
      </c>
      <c r="B2730" s="2" t="n">
        <v>43216.64395833333</v>
      </c>
      <c r="C2730" t="n">
        <v>0</v>
      </c>
      <c r="D2730" t="n">
        <v>3</v>
      </c>
      <c r="E2730" t="s">
        <v>2695</v>
      </c>
      <c r="F2730" t="s"/>
      <c r="G2730" t="s"/>
      <c r="H2730" t="s"/>
      <c r="I2730" t="s"/>
      <c r="J2730" t="n">
        <v>0.162</v>
      </c>
      <c r="K2730" t="n">
        <v>0.136</v>
      </c>
      <c r="L2730" t="n">
        <v>0.657</v>
      </c>
      <c r="M2730" t="n">
        <v>0.207</v>
      </c>
    </row>
    <row r="2731" spans="1:13">
      <c r="A2731" s="1">
        <f>HYPERLINK("http://www.twitter.com/NathanBLawrence/status/989526231233245185", "989526231233245185")</f>
        <v/>
      </c>
      <c r="B2731" s="2" t="n">
        <v>43216.64365740741</v>
      </c>
      <c r="C2731" t="n">
        <v>0</v>
      </c>
      <c r="D2731" t="n">
        <v>3</v>
      </c>
      <c r="E2731" t="s">
        <v>2696</v>
      </c>
      <c r="F2731" t="s"/>
      <c r="G2731" t="s"/>
      <c r="H2731" t="s"/>
      <c r="I2731" t="s"/>
      <c r="J2731" t="n">
        <v>0.3052</v>
      </c>
      <c r="K2731" t="n">
        <v>0.092</v>
      </c>
      <c r="L2731" t="n">
        <v>0.771</v>
      </c>
      <c r="M2731" t="n">
        <v>0.137</v>
      </c>
    </row>
    <row r="2732" spans="1:13">
      <c r="A2732" s="1">
        <f>HYPERLINK("http://www.twitter.com/NathanBLawrence/status/989525186759286785", "989525186759286785")</f>
        <v/>
      </c>
      <c r="B2732" s="2" t="n">
        <v>43216.64077546296</v>
      </c>
      <c r="C2732" t="n">
        <v>0</v>
      </c>
      <c r="D2732" t="n">
        <v>16</v>
      </c>
      <c r="E2732" t="s">
        <v>2697</v>
      </c>
      <c r="F2732" t="s"/>
      <c r="G2732" t="s"/>
      <c r="H2732" t="s"/>
      <c r="I2732" t="s"/>
      <c r="J2732" t="n">
        <v>-0.8481</v>
      </c>
      <c r="K2732" t="n">
        <v>0.305</v>
      </c>
      <c r="L2732" t="n">
        <v>0.695</v>
      </c>
      <c r="M2732" t="n">
        <v>0</v>
      </c>
    </row>
    <row r="2733" spans="1:13">
      <c r="A2733" s="1">
        <f>HYPERLINK("http://www.twitter.com/NathanBLawrence/status/989523824990400512", "989523824990400512")</f>
        <v/>
      </c>
      <c r="B2733" s="2" t="n">
        <v>43216.63701388889</v>
      </c>
      <c r="C2733" t="n">
        <v>3</v>
      </c>
      <c r="D2733" t="n">
        <v>2</v>
      </c>
      <c r="E2733" t="s">
        <v>2698</v>
      </c>
      <c r="F2733">
        <f>HYPERLINK("http://pbs.twimg.com/media/Dbt-qOaX4AIcYOo.jpg", "http://pbs.twimg.com/media/Dbt-qOaX4AIcYOo.jpg")</f>
        <v/>
      </c>
      <c r="G2733" t="s"/>
      <c r="H2733" t="s"/>
      <c r="I2733" t="s"/>
      <c r="J2733" t="n">
        <v>0</v>
      </c>
      <c r="K2733" t="n">
        <v>0</v>
      </c>
      <c r="L2733" t="n">
        <v>1</v>
      </c>
      <c r="M2733" t="n">
        <v>0</v>
      </c>
    </row>
    <row r="2734" spans="1:13">
      <c r="A2734" s="1">
        <f>HYPERLINK("http://www.twitter.com/NathanBLawrence/status/989352300043997186", "989352300043997186")</f>
        <v/>
      </c>
      <c r="B2734" s="2" t="n">
        <v>43216.16370370371</v>
      </c>
      <c r="C2734" t="n">
        <v>0</v>
      </c>
      <c r="D2734" t="n">
        <v>0</v>
      </c>
      <c r="E2734" t="s">
        <v>2699</v>
      </c>
      <c r="F2734" t="s"/>
      <c r="G2734" t="s"/>
      <c r="H2734" t="s"/>
      <c r="I2734" t="s"/>
      <c r="J2734" t="n">
        <v>0.6808</v>
      </c>
      <c r="K2734" t="n">
        <v>0</v>
      </c>
      <c r="L2734" t="n">
        <v>0.784</v>
      </c>
      <c r="M2734" t="n">
        <v>0.216</v>
      </c>
    </row>
    <row r="2735" spans="1:13">
      <c r="A2735" s="1">
        <f>HYPERLINK("http://www.twitter.com/NathanBLawrence/status/989349189942378497", "989349189942378497")</f>
        <v/>
      </c>
      <c r="B2735" s="2" t="n">
        <v>43216.15511574074</v>
      </c>
      <c r="C2735" t="n">
        <v>0</v>
      </c>
      <c r="D2735" t="n">
        <v>5</v>
      </c>
      <c r="E2735" t="s">
        <v>2700</v>
      </c>
      <c r="F2735" t="s"/>
      <c r="G2735" t="s"/>
      <c r="H2735" t="s"/>
      <c r="I2735" t="s"/>
      <c r="J2735" t="n">
        <v>-0.4588</v>
      </c>
      <c r="K2735" t="n">
        <v>0.143</v>
      </c>
      <c r="L2735" t="n">
        <v>0.857</v>
      </c>
      <c r="M2735" t="n">
        <v>0</v>
      </c>
    </row>
    <row r="2736" spans="1:13">
      <c r="A2736" s="1">
        <f>HYPERLINK("http://www.twitter.com/NathanBLawrence/status/989349150738272257", "989349150738272257")</f>
        <v/>
      </c>
      <c r="B2736" s="2" t="n">
        <v>43216.15501157408</v>
      </c>
      <c r="C2736" t="n">
        <v>0</v>
      </c>
      <c r="D2736" t="n">
        <v>11</v>
      </c>
      <c r="E2736" t="s">
        <v>2701</v>
      </c>
      <c r="F2736" t="s"/>
      <c r="G2736" t="s"/>
      <c r="H2736" t="s"/>
      <c r="I2736" t="s"/>
      <c r="J2736" t="n">
        <v>-0.0258</v>
      </c>
      <c r="K2736" t="n">
        <v>0.169</v>
      </c>
      <c r="L2736" t="n">
        <v>0.664</v>
      </c>
      <c r="M2736" t="n">
        <v>0.166</v>
      </c>
    </row>
    <row r="2737" spans="1:13">
      <c r="A2737" s="1">
        <f>HYPERLINK("http://www.twitter.com/NathanBLawrence/status/989349127791300608", "989349127791300608")</f>
        <v/>
      </c>
      <c r="B2737" s="2" t="n">
        <v>43216.15494212963</v>
      </c>
      <c r="C2737" t="n">
        <v>0</v>
      </c>
      <c r="D2737" t="n">
        <v>12</v>
      </c>
      <c r="E2737" t="s">
        <v>2702</v>
      </c>
      <c r="F2737" t="s"/>
      <c r="G2737" t="s"/>
      <c r="H2737" t="s"/>
      <c r="I2737" t="s"/>
      <c r="J2737" t="n">
        <v>-0.8126</v>
      </c>
      <c r="K2737" t="n">
        <v>0.318</v>
      </c>
      <c r="L2737" t="n">
        <v>0.6820000000000001</v>
      </c>
      <c r="M2737" t="n">
        <v>0</v>
      </c>
    </row>
    <row r="2738" spans="1:13">
      <c r="A2738" s="1">
        <f>HYPERLINK("http://www.twitter.com/NathanBLawrence/status/989347572274880513", "989347572274880513")</f>
        <v/>
      </c>
      <c r="B2738" s="2" t="n">
        <v>43216.15065972223</v>
      </c>
      <c r="C2738" t="n">
        <v>16</v>
      </c>
      <c r="D2738" t="n">
        <v>11</v>
      </c>
      <c r="E2738" t="s">
        <v>2703</v>
      </c>
      <c r="F2738" t="s"/>
      <c r="G2738" t="s"/>
      <c r="H2738" t="s"/>
      <c r="I2738" t="s"/>
      <c r="J2738" t="n">
        <v>-0.5719</v>
      </c>
      <c r="K2738" t="n">
        <v>0.199</v>
      </c>
      <c r="L2738" t="n">
        <v>0.698</v>
      </c>
      <c r="M2738" t="n">
        <v>0.103</v>
      </c>
    </row>
    <row r="2739" spans="1:13">
      <c r="A2739" s="1">
        <f>HYPERLINK("http://www.twitter.com/NathanBLawrence/status/989346997407756288", "989346997407756288")</f>
        <v/>
      </c>
      <c r="B2739" s="2" t="n">
        <v>43216.14907407408</v>
      </c>
      <c r="C2739" t="n">
        <v>6</v>
      </c>
      <c r="D2739" t="n">
        <v>5</v>
      </c>
      <c r="E2739" t="s">
        <v>2704</v>
      </c>
      <c r="F2739" t="s"/>
      <c r="G2739" t="s"/>
      <c r="H2739" t="s"/>
      <c r="I2739" t="s"/>
      <c r="J2739" t="n">
        <v>-0.8622</v>
      </c>
      <c r="K2739" t="n">
        <v>0.223</v>
      </c>
      <c r="L2739" t="n">
        <v>0.777</v>
      </c>
      <c r="M2739" t="n">
        <v>0</v>
      </c>
    </row>
    <row r="2740" spans="1:13">
      <c r="A2740" s="1">
        <f>HYPERLINK("http://www.twitter.com/NathanBLawrence/status/989344111256899584", "989344111256899584")</f>
        <v/>
      </c>
      <c r="B2740" s="2" t="n">
        <v>43216.14109953704</v>
      </c>
      <c r="C2740" t="n">
        <v>0</v>
      </c>
      <c r="D2740" t="n">
        <v>8</v>
      </c>
      <c r="E2740" t="s">
        <v>2705</v>
      </c>
      <c r="F2740" t="s"/>
      <c r="G2740" t="s"/>
      <c r="H2740" t="s"/>
      <c r="I2740" t="s"/>
      <c r="J2740" t="n">
        <v>-0.6747</v>
      </c>
      <c r="K2740" t="n">
        <v>0.201</v>
      </c>
      <c r="L2740" t="n">
        <v>0.799</v>
      </c>
      <c r="M2740" t="n">
        <v>0</v>
      </c>
    </row>
    <row r="2741" spans="1:13">
      <c r="A2741" s="1">
        <f>HYPERLINK("http://www.twitter.com/NathanBLawrence/status/989343787712434176", "989343787712434176")</f>
        <v/>
      </c>
      <c r="B2741" s="2" t="n">
        <v>43216.14020833333</v>
      </c>
      <c r="C2741" t="n">
        <v>14</v>
      </c>
      <c r="D2741" t="n">
        <v>8</v>
      </c>
      <c r="E2741" t="s">
        <v>2706</v>
      </c>
      <c r="F2741" t="s"/>
      <c r="G2741" t="s"/>
      <c r="H2741" t="s"/>
      <c r="I2741" t="s"/>
      <c r="J2741" t="n">
        <v>0.7343</v>
      </c>
      <c r="K2741" t="n">
        <v>0.062</v>
      </c>
      <c r="L2741" t="n">
        <v>0.783</v>
      </c>
      <c r="M2741" t="n">
        <v>0.155</v>
      </c>
    </row>
    <row r="2742" spans="1:13">
      <c r="A2742" s="1">
        <f>HYPERLINK("http://www.twitter.com/NathanBLawrence/status/989342888034291712", "989342888034291712")</f>
        <v/>
      </c>
      <c r="B2742" s="2" t="n">
        <v>43216.13773148148</v>
      </c>
      <c r="C2742" t="n">
        <v>0</v>
      </c>
      <c r="D2742" t="n">
        <v>6</v>
      </c>
      <c r="E2742" t="s">
        <v>2707</v>
      </c>
      <c r="F2742" t="s"/>
      <c r="G2742" t="s"/>
      <c r="H2742" t="s"/>
      <c r="I2742" t="s"/>
      <c r="J2742" t="n">
        <v>-0.4588</v>
      </c>
      <c r="K2742" t="n">
        <v>0.143</v>
      </c>
      <c r="L2742" t="n">
        <v>0.857</v>
      </c>
      <c r="M2742" t="n">
        <v>0</v>
      </c>
    </row>
    <row r="2743" spans="1:13">
      <c r="A2743" s="1">
        <f>HYPERLINK("http://www.twitter.com/NathanBLawrence/status/989342723332329472", "989342723332329472")</f>
        <v/>
      </c>
      <c r="B2743" s="2" t="n">
        <v>43216.13726851852</v>
      </c>
      <c r="C2743" t="n">
        <v>7</v>
      </c>
      <c r="D2743" t="n">
        <v>6</v>
      </c>
      <c r="E2743" t="s">
        <v>2708</v>
      </c>
      <c r="F2743" t="s"/>
      <c r="G2743" t="s"/>
      <c r="H2743" t="s"/>
      <c r="I2743" t="s"/>
      <c r="J2743" t="n">
        <v>-0.8622</v>
      </c>
      <c r="K2743" t="n">
        <v>0.223</v>
      </c>
      <c r="L2743" t="n">
        <v>0.777</v>
      </c>
      <c r="M2743" t="n">
        <v>0</v>
      </c>
    </row>
    <row r="2744" spans="1:13">
      <c r="A2744" s="1">
        <f>HYPERLINK("http://www.twitter.com/NathanBLawrence/status/989341026144997376", "989341026144997376")</f>
        <v/>
      </c>
      <c r="B2744" s="2" t="n">
        <v>43216.13259259259</v>
      </c>
      <c r="C2744" t="n">
        <v>0</v>
      </c>
      <c r="D2744" t="n">
        <v>9</v>
      </c>
      <c r="E2744" t="s">
        <v>2709</v>
      </c>
      <c r="F2744" t="s"/>
      <c r="G2744" t="s"/>
      <c r="H2744" t="s"/>
      <c r="I2744" t="s"/>
      <c r="J2744" t="n">
        <v>-0.7088</v>
      </c>
      <c r="K2744" t="n">
        <v>0.219</v>
      </c>
      <c r="L2744" t="n">
        <v>0.781</v>
      </c>
      <c r="M2744" t="n">
        <v>0</v>
      </c>
    </row>
    <row r="2745" spans="1:13">
      <c r="A2745" s="1">
        <f>HYPERLINK("http://www.twitter.com/NathanBLawrence/status/989340977209933824", "989340977209933824")</f>
        <v/>
      </c>
      <c r="B2745" s="2" t="n">
        <v>43216.13245370371</v>
      </c>
      <c r="C2745" t="n">
        <v>0</v>
      </c>
      <c r="D2745" t="n">
        <v>15</v>
      </c>
      <c r="E2745" t="s">
        <v>2710</v>
      </c>
      <c r="F2745" t="s"/>
      <c r="G2745" t="s"/>
      <c r="H2745" t="s"/>
      <c r="I2745" t="s"/>
      <c r="J2745" t="n">
        <v>-0.8381</v>
      </c>
      <c r="K2745" t="n">
        <v>0.332</v>
      </c>
      <c r="L2745" t="n">
        <v>0.668</v>
      </c>
      <c r="M2745" t="n">
        <v>0</v>
      </c>
    </row>
    <row r="2746" spans="1:13">
      <c r="A2746" s="1">
        <f>HYPERLINK("http://www.twitter.com/NathanBLawrence/status/989340958469902336", "989340958469902336")</f>
        <v/>
      </c>
      <c r="B2746" s="2" t="n">
        <v>43216.13240740741</v>
      </c>
      <c r="C2746" t="n">
        <v>0</v>
      </c>
      <c r="D2746" t="n">
        <v>7</v>
      </c>
      <c r="E2746" t="s">
        <v>2711</v>
      </c>
      <c r="F2746" t="s"/>
      <c r="G2746" t="s"/>
      <c r="H2746" t="s"/>
      <c r="I2746" t="s"/>
      <c r="J2746" t="n">
        <v>-0.6808</v>
      </c>
      <c r="K2746" t="n">
        <v>0.203</v>
      </c>
      <c r="L2746" t="n">
        <v>0.797</v>
      </c>
      <c r="M2746" t="n">
        <v>0</v>
      </c>
    </row>
    <row r="2747" spans="1:13">
      <c r="A2747" s="1">
        <f>HYPERLINK("http://www.twitter.com/NathanBLawrence/status/989333429690011648", "989333429690011648")</f>
        <v/>
      </c>
      <c r="B2747" s="2" t="n">
        <v>43216.11163194444</v>
      </c>
      <c r="C2747" t="n">
        <v>0</v>
      </c>
      <c r="D2747" t="n">
        <v>4136</v>
      </c>
      <c r="E2747" t="s">
        <v>2712</v>
      </c>
      <c r="F2747" t="s"/>
      <c r="G2747" t="s"/>
      <c r="H2747" t="s"/>
      <c r="I2747" t="s"/>
      <c r="J2747" t="n">
        <v>0</v>
      </c>
      <c r="K2747" t="n">
        <v>0</v>
      </c>
      <c r="L2747" t="n">
        <v>1</v>
      </c>
      <c r="M2747" t="n">
        <v>0</v>
      </c>
    </row>
    <row r="2748" spans="1:13">
      <c r="A2748" s="1">
        <f>HYPERLINK("http://www.twitter.com/NathanBLawrence/status/989333395753795585", "989333395753795585")</f>
        <v/>
      </c>
      <c r="B2748" s="2" t="n">
        <v>43216.11153935185</v>
      </c>
      <c r="C2748" t="n">
        <v>0</v>
      </c>
      <c r="D2748" t="n">
        <v>40411</v>
      </c>
      <c r="E2748" t="s">
        <v>2713</v>
      </c>
      <c r="F2748" t="s"/>
      <c r="G2748" t="s"/>
      <c r="H2748" t="s"/>
      <c r="I2748" t="s"/>
      <c r="J2748" t="n">
        <v>0</v>
      </c>
      <c r="K2748" t="n">
        <v>0</v>
      </c>
      <c r="L2748" t="n">
        <v>1</v>
      </c>
      <c r="M2748" t="n">
        <v>0</v>
      </c>
    </row>
    <row r="2749" spans="1:13">
      <c r="A2749" s="1">
        <f>HYPERLINK("http://www.twitter.com/NathanBLawrence/status/989332739559251968", "989332739559251968")</f>
        <v/>
      </c>
      <c r="B2749" s="2" t="n">
        <v>43216.10972222222</v>
      </c>
      <c r="C2749" t="n">
        <v>0</v>
      </c>
      <c r="D2749" t="n">
        <v>6</v>
      </c>
      <c r="E2749" t="s">
        <v>2714</v>
      </c>
      <c r="F2749" t="s"/>
      <c r="G2749" t="s"/>
      <c r="H2749" t="s"/>
      <c r="I2749" t="s"/>
      <c r="J2749" t="n">
        <v>0.09</v>
      </c>
      <c r="K2749" t="n">
        <v>0.07099999999999999</v>
      </c>
      <c r="L2749" t="n">
        <v>0.843</v>
      </c>
      <c r="M2749" t="n">
        <v>0.08599999999999999</v>
      </c>
    </row>
    <row r="2750" spans="1:13">
      <c r="A2750" s="1">
        <f>HYPERLINK("http://www.twitter.com/NathanBLawrence/status/989332626015244288", "989332626015244288")</f>
        <v/>
      </c>
      <c r="B2750" s="2" t="n">
        <v>43216.10940972222</v>
      </c>
      <c r="C2750" t="n">
        <v>0</v>
      </c>
      <c r="D2750" t="n">
        <v>6</v>
      </c>
      <c r="E2750" t="s">
        <v>2715</v>
      </c>
      <c r="F2750" t="s"/>
      <c r="G2750" t="s"/>
      <c r="H2750" t="s"/>
      <c r="I2750" t="s"/>
      <c r="J2750" t="n">
        <v>-0.4588</v>
      </c>
      <c r="K2750" t="n">
        <v>0.24</v>
      </c>
      <c r="L2750" t="n">
        <v>0.584</v>
      </c>
      <c r="M2750" t="n">
        <v>0.175</v>
      </c>
    </row>
    <row r="2751" spans="1:13">
      <c r="A2751" s="1">
        <f>HYPERLINK("http://www.twitter.com/NathanBLawrence/status/989332471476047872", "989332471476047872")</f>
        <v/>
      </c>
      <c r="B2751" s="2" t="n">
        <v>43216.10898148148</v>
      </c>
      <c r="C2751" t="n">
        <v>9</v>
      </c>
      <c r="D2751" t="n">
        <v>6</v>
      </c>
      <c r="E2751" t="s">
        <v>2716</v>
      </c>
      <c r="F2751" t="s"/>
      <c r="G2751" t="s"/>
      <c r="H2751" t="s"/>
      <c r="I2751" t="s"/>
      <c r="J2751" t="n">
        <v>0.2382</v>
      </c>
      <c r="K2751" t="n">
        <v>0.092</v>
      </c>
      <c r="L2751" t="n">
        <v>0.798</v>
      </c>
      <c r="M2751" t="n">
        <v>0.11</v>
      </c>
    </row>
    <row r="2752" spans="1:13">
      <c r="A2752" s="1">
        <f>HYPERLINK("http://www.twitter.com/NathanBLawrence/status/989331776182120448", "989331776182120448")</f>
        <v/>
      </c>
      <c r="B2752" s="2" t="n">
        <v>43216.10706018518</v>
      </c>
      <c r="C2752" t="n">
        <v>6</v>
      </c>
      <c r="D2752" t="n">
        <v>6</v>
      </c>
      <c r="E2752" t="s">
        <v>2717</v>
      </c>
      <c r="F2752" t="s"/>
      <c r="G2752" t="s"/>
      <c r="H2752" t="s"/>
      <c r="I2752" t="s"/>
      <c r="J2752" t="n">
        <v>-0.5266999999999999</v>
      </c>
      <c r="K2752" t="n">
        <v>0.195</v>
      </c>
      <c r="L2752" t="n">
        <v>0.6860000000000001</v>
      </c>
      <c r="M2752" t="n">
        <v>0.119</v>
      </c>
    </row>
    <row r="2753" spans="1:13">
      <c r="A2753" s="1">
        <f>HYPERLINK("http://www.twitter.com/NathanBLawrence/status/989330162725675008", "989330162725675008")</f>
        <v/>
      </c>
      <c r="B2753" s="2" t="n">
        <v>43216.10261574074</v>
      </c>
      <c r="C2753" t="n">
        <v>0</v>
      </c>
      <c r="D2753" t="n">
        <v>77</v>
      </c>
      <c r="E2753" t="s">
        <v>2718</v>
      </c>
      <c r="F2753">
        <f>HYPERLINK("http://pbs.twimg.com/media/Dbp51JmUQAEMa32.jpg", "http://pbs.twimg.com/media/Dbp51JmUQAEMa32.jpg")</f>
        <v/>
      </c>
      <c r="G2753" t="s"/>
      <c r="H2753" t="s"/>
      <c r="I2753" t="s"/>
      <c r="J2753" t="n">
        <v>0.6124000000000001</v>
      </c>
      <c r="K2753" t="n">
        <v>0</v>
      </c>
      <c r="L2753" t="n">
        <v>0.792</v>
      </c>
      <c r="M2753" t="n">
        <v>0.208</v>
      </c>
    </row>
    <row r="2754" spans="1:13">
      <c r="A2754" s="1">
        <f>HYPERLINK("http://www.twitter.com/NathanBLawrence/status/989330065904238599", "989330065904238599")</f>
        <v/>
      </c>
      <c r="B2754" s="2" t="n">
        <v>43216.10234953704</v>
      </c>
      <c r="C2754" t="n">
        <v>0</v>
      </c>
      <c r="D2754" t="n">
        <v>0</v>
      </c>
      <c r="E2754" t="s">
        <v>2719</v>
      </c>
      <c r="F2754">
        <f>HYPERLINK("http://pbs.twimg.com/media/DbrOco7WAAAnVcF.jpg", "http://pbs.twimg.com/media/DbrOco7WAAAnVcF.jpg")</f>
        <v/>
      </c>
      <c r="G2754" t="s"/>
      <c r="H2754" t="s"/>
      <c r="I2754" t="s"/>
      <c r="J2754" t="n">
        <v>0</v>
      </c>
      <c r="K2754" t="n">
        <v>0</v>
      </c>
      <c r="L2754" t="n">
        <v>1</v>
      </c>
      <c r="M2754" t="n">
        <v>0</v>
      </c>
    </row>
    <row r="2755" spans="1:13">
      <c r="A2755" s="1">
        <f>HYPERLINK("http://www.twitter.com/NathanBLawrence/status/989312003998208001", "989312003998208001")</f>
        <v/>
      </c>
      <c r="B2755" s="2" t="n">
        <v>43216.0525</v>
      </c>
      <c r="C2755" t="n">
        <v>0</v>
      </c>
      <c r="D2755" t="n">
        <v>160</v>
      </c>
      <c r="E2755" t="s">
        <v>2720</v>
      </c>
      <c r="F2755">
        <f>HYPERLINK("https://video.twimg.com/ext_tw_video/937480480751890433/pu/vid/480x360/o8_pJJ4yKMFRaMk2.mp4", "https://video.twimg.com/ext_tw_video/937480480751890433/pu/vid/480x360/o8_pJJ4yKMFRaMk2.mp4")</f>
        <v/>
      </c>
      <c r="G2755" t="s"/>
      <c r="H2755" t="s"/>
      <c r="I2755" t="s"/>
      <c r="J2755" t="n">
        <v>0.4588</v>
      </c>
      <c r="K2755" t="n">
        <v>0</v>
      </c>
      <c r="L2755" t="n">
        <v>0.875</v>
      </c>
      <c r="M2755" t="n">
        <v>0.125</v>
      </c>
    </row>
    <row r="2756" spans="1:13">
      <c r="A2756" s="1">
        <f>HYPERLINK("http://www.twitter.com/NathanBLawrence/status/989311138767699968", "989311138767699968")</f>
        <v/>
      </c>
      <c r="B2756" s="2" t="n">
        <v>43216.05011574074</v>
      </c>
      <c r="C2756" t="n">
        <v>0</v>
      </c>
      <c r="D2756" t="n">
        <v>12</v>
      </c>
      <c r="E2756" t="s">
        <v>2721</v>
      </c>
      <c r="F2756" t="s"/>
      <c r="G2756" t="s"/>
      <c r="H2756" t="s"/>
      <c r="I2756" t="s"/>
      <c r="J2756" t="n">
        <v>-0.4588</v>
      </c>
      <c r="K2756" t="n">
        <v>0.241</v>
      </c>
      <c r="L2756" t="n">
        <v>0.667</v>
      </c>
      <c r="M2756" t="n">
        <v>0.093</v>
      </c>
    </row>
    <row r="2757" spans="1:13">
      <c r="A2757" s="1">
        <f>HYPERLINK("http://www.twitter.com/NathanBLawrence/status/989305038819463168", "989305038819463168")</f>
        <v/>
      </c>
      <c r="B2757" s="2" t="n">
        <v>43216.03328703704</v>
      </c>
      <c r="C2757" t="n">
        <v>1</v>
      </c>
      <c r="D2757" t="n">
        <v>0</v>
      </c>
      <c r="E2757" t="s">
        <v>2722</v>
      </c>
      <c r="F2757" t="s"/>
      <c r="G2757" t="s"/>
      <c r="H2757" t="s"/>
      <c r="I2757" t="s"/>
      <c r="J2757" t="n">
        <v>0</v>
      </c>
      <c r="K2757" t="n">
        <v>0</v>
      </c>
      <c r="L2757" t="n">
        <v>1</v>
      </c>
      <c r="M2757" t="n">
        <v>0</v>
      </c>
    </row>
    <row r="2758" spans="1:13">
      <c r="A2758" s="1">
        <f>HYPERLINK("http://www.twitter.com/NathanBLawrence/status/989304579669020673", "989304579669020673")</f>
        <v/>
      </c>
      <c r="B2758" s="2" t="n">
        <v>43216.03201388889</v>
      </c>
      <c r="C2758" t="n">
        <v>0</v>
      </c>
      <c r="D2758" t="n">
        <v>38</v>
      </c>
      <c r="E2758" t="s">
        <v>2723</v>
      </c>
      <c r="F2758" t="s"/>
      <c r="G2758" t="s"/>
      <c r="H2758" t="s"/>
      <c r="I2758" t="s"/>
      <c r="J2758" t="n">
        <v>0.2732</v>
      </c>
      <c r="K2758" t="n">
        <v>0</v>
      </c>
      <c r="L2758" t="n">
        <v>0.89</v>
      </c>
      <c r="M2758" t="n">
        <v>0.11</v>
      </c>
    </row>
    <row r="2759" spans="1:13">
      <c r="A2759" s="1">
        <f>HYPERLINK("http://www.twitter.com/NathanBLawrence/status/989304173647851520", "989304173647851520")</f>
        <v/>
      </c>
      <c r="B2759" s="2" t="n">
        <v>43216.03090277778</v>
      </c>
      <c r="C2759" t="n">
        <v>0</v>
      </c>
      <c r="D2759" t="n">
        <v>192</v>
      </c>
      <c r="E2759" t="s">
        <v>2724</v>
      </c>
      <c r="F2759" t="s"/>
      <c r="G2759" t="s"/>
      <c r="H2759" t="s"/>
      <c r="I2759" t="s"/>
      <c r="J2759" t="n">
        <v>-0.1556</v>
      </c>
      <c r="K2759" t="n">
        <v>0.156</v>
      </c>
      <c r="L2759" t="n">
        <v>0.744</v>
      </c>
      <c r="M2759" t="n">
        <v>0.099</v>
      </c>
    </row>
    <row r="2760" spans="1:13">
      <c r="A2760" s="1">
        <f>HYPERLINK("http://www.twitter.com/NathanBLawrence/status/989303855111340033", "989303855111340033")</f>
        <v/>
      </c>
      <c r="B2760" s="2" t="n">
        <v>43216.03002314815</v>
      </c>
      <c r="C2760" t="n">
        <v>0</v>
      </c>
      <c r="D2760" t="n">
        <v>3</v>
      </c>
      <c r="E2760" t="s">
        <v>2725</v>
      </c>
      <c r="F2760" t="s"/>
      <c r="G2760" t="s"/>
      <c r="H2760" t="s"/>
      <c r="I2760" t="s"/>
      <c r="J2760" t="n">
        <v>0.34</v>
      </c>
      <c r="K2760" t="n">
        <v>0</v>
      </c>
      <c r="L2760" t="n">
        <v>0.876</v>
      </c>
      <c r="M2760" t="n">
        <v>0.124</v>
      </c>
    </row>
    <row r="2761" spans="1:13">
      <c r="A2761" s="1">
        <f>HYPERLINK("http://www.twitter.com/NathanBLawrence/status/989303778515079169", "989303778515079169")</f>
        <v/>
      </c>
      <c r="B2761" s="2" t="n">
        <v>43216.02980324074</v>
      </c>
      <c r="C2761" t="n">
        <v>0</v>
      </c>
      <c r="D2761" t="n">
        <v>3</v>
      </c>
      <c r="E2761" t="s">
        <v>2726</v>
      </c>
      <c r="F2761" t="s"/>
      <c r="G2761" t="s"/>
      <c r="H2761" t="s"/>
      <c r="I2761" t="s"/>
      <c r="J2761" t="n">
        <v>0.4404</v>
      </c>
      <c r="K2761" t="n">
        <v>0</v>
      </c>
      <c r="L2761" t="n">
        <v>0.868</v>
      </c>
      <c r="M2761" t="n">
        <v>0.132</v>
      </c>
    </row>
    <row r="2762" spans="1:13">
      <c r="A2762" s="1">
        <f>HYPERLINK("http://www.twitter.com/NathanBLawrence/status/989303595551154177", "989303595551154177")</f>
        <v/>
      </c>
      <c r="B2762" s="2" t="n">
        <v>43216.02930555555</v>
      </c>
      <c r="C2762" t="n">
        <v>0</v>
      </c>
      <c r="D2762" t="n">
        <v>6</v>
      </c>
      <c r="E2762" t="s">
        <v>2727</v>
      </c>
      <c r="F2762" t="s"/>
      <c r="G2762" t="s"/>
      <c r="H2762" t="s"/>
      <c r="I2762" t="s"/>
      <c r="J2762" t="n">
        <v>0</v>
      </c>
      <c r="K2762" t="n">
        <v>0</v>
      </c>
      <c r="L2762" t="n">
        <v>1</v>
      </c>
      <c r="M2762" t="n">
        <v>0</v>
      </c>
    </row>
    <row r="2763" spans="1:13">
      <c r="A2763" s="1">
        <f>HYPERLINK("http://www.twitter.com/NathanBLawrence/status/989284702245748738", "989284702245748738")</f>
        <v/>
      </c>
      <c r="B2763" s="2" t="n">
        <v>43215.97716435185</v>
      </c>
      <c r="C2763" t="n">
        <v>0</v>
      </c>
      <c r="D2763" t="n">
        <v>19</v>
      </c>
      <c r="E2763" t="s">
        <v>2728</v>
      </c>
      <c r="F2763">
        <f>HYPERLINK("http://pbs.twimg.com/media/DbqlEKGW0AUdVFf.jpg", "http://pbs.twimg.com/media/DbqlEKGW0AUdVFf.jpg")</f>
        <v/>
      </c>
      <c r="G2763">
        <f>HYPERLINK("http://pbs.twimg.com/media/DbqlEvWWkAEg20c.jpg", "http://pbs.twimg.com/media/DbqlEvWWkAEg20c.jpg")</f>
        <v/>
      </c>
      <c r="H2763" t="s"/>
      <c r="I2763" t="s"/>
      <c r="J2763" t="n">
        <v>-0.5266999999999999</v>
      </c>
      <c r="K2763" t="n">
        <v>0.145</v>
      </c>
      <c r="L2763" t="n">
        <v>0.855</v>
      </c>
      <c r="M2763" t="n">
        <v>0</v>
      </c>
    </row>
    <row r="2764" spans="1:13">
      <c r="A2764" s="1">
        <f>HYPERLINK("http://www.twitter.com/NathanBLawrence/status/989284571442184193", "989284571442184193")</f>
        <v/>
      </c>
      <c r="B2764" s="2" t="n">
        <v>43215.97680555555</v>
      </c>
      <c r="C2764" t="n">
        <v>24</v>
      </c>
      <c r="D2764" t="n">
        <v>19</v>
      </c>
      <c r="E2764" t="s">
        <v>2729</v>
      </c>
      <c r="F2764">
        <f>HYPERLINK("http://pbs.twimg.com/media/DbqlEKGW0AUdVFf.jpg", "http://pbs.twimg.com/media/DbqlEKGW0AUdVFf.jpg")</f>
        <v/>
      </c>
      <c r="G2764">
        <f>HYPERLINK("http://pbs.twimg.com/media/DbqlEvWWkAEg20c.jpg", "http://pbs.twimg.com/media/DbqlEvWWkAEg20c.jpg")</f>
        <v/>
      </c>
      <c r="H2764" t="s"/>
      <c r="I2764" t="s"/>
      <c r="J2764" t="n">
        <v>-0.6908</v>
      </c>
      <c r="K2764" t="n">
        <v>0.13</v>
      </c>
      <c r="L2764" t="n">
        <v>0.842</v>
      </c>
      <c r="M2764" t="n">
        <v>0.028</v>
      </c>
    </row>
    <row r="2765" spans="1:13">
      <c r="A2765" s="1">
        <f>HYPERLINK("http://www.twitter.com/NathanBLawrence/status/989283439152189440", "989283439152189440")</f>
        <v/>
      </c>
      <c r="B2765" s="2" t="n">
        <v>43215.97368055556</v>
      </c>
      <c r="C2765" t="n">
        <v>0</v>
      </c>
      <c r="D2765" t="n">
        <v>7</v>
      </c>
      <c r="E2765" t="s">
        <v>2730</v>
      </c>
      <c r="F2765" t="s"/>
      <c r="G2765" t="s"/>
      <c r="H2765" t="s"/>
      <c r="I2765" t="s"/>
      <c r="J2765" t="n">
        <v>0.7003</v>
      </c>
      <c r="K2765" t="n">
        <v>0.092</v>
      </c>
      <c r="L2765" t="n">
        <v>0.651</v>
      </c>
      <c r="M2765" t="n">
        <v>0.257</v>
      </c>
    </row>
    <row r="2766" spans="1:13">
      <c r="A2766" s="1">
        <f>HYPERLINK("http://www.twitter.com/NathanBLawrence/status/989283314824597504", "989283314824597504")</f>
        <v/>
      </c>
      <c r="B2766" s="2" t="n">
        <v>43215.97333333334</v>
      </c>
      <c r="C2766" t="n">
        <v>0</v>
      </c>
      <c r="D2766" t="n">
        <v>12</v>
      </c>
      <c r="E2766" t="s">
        <v>2731</v>
      </c>
      <c r="F2766">
        <f>HYPERLINK("http://pbs.twimg.com/media/DbklY4nWkAACgWt.jpg", "http://pbs.twimg.com/media/DbklY4nWkAACgWt.jpg")</f>
        <v/>
      </c>
      <c r="G2766" t="s"/>
      <c r="H2766" t="s"/>
      <c r="I2766" t="s"/>
      <c r="J2766" t="n">
        <v>0</v>
      </c>
      <c r="K2766" t="n">
        <v>0</v>
      </c>
      <c r="L2766" t="n">
        <v>1</v>
      </c>
      <c r="M2766" t="n">
        <v>0</v>
      </c>
    </row>
    <row r="2767" spans="1:13">
      <c r="A2767" s="1">
        <f>HYPERLINK("http://www.twitter.com/NathanBLawrence/status/989283051267153926", "989283051267153926")</f>
        <v/>
      </c>
      <c r="B2767" s="2" t="n">
        <v>43215.97261574074</v>
      </c>
      <c r="C2767" t="n">
        <v>0</v>
      </c>
      <c r="D2767" t="n">
        <v>47</v>
      </c>
      <c r="E2767" t="s">
        <v>2732</v>
      </c>
      <c r="F2767" t="s"/>
      <c r="G2767" t="s"/>
      <c r="H2767" t="s"/>
      <c r="I2767" t="s"/>
      <c r="J2767" t="n">
        <v>-0.3612</v>
      </c>
      <c r="K2767" t="n">
        <v>0.116</v>
      </c>
      <c r="L2767" t="n">
        <v>0.884</v>
      </c>
      <c r="M2767" t="n">
        <v>0</v>
      </c>
    </row>
    <row r="2768" spans="1:13">
      <c r="A2768" s="1">
        <f>HYPERLINK("http://www.twitter.com/NathanBLawrence/status/989282962725318656", "989282962725318656")</f>
        <v/>
      </c>
      <c r="B2768" s="2" t="n">
        <v>43215.97236111111</v>
      </c>
      <c r="C2768" t="n">
        <v>0</v>
      </c>
      <c r="D2768" t="n">
        <v>8</v>
      </c>
      <c r="E2768" t="s">
        <v>2733</v>
      </c>
      <c r="F2768">
        <f>HYPERLINK("http://pbs.twimg.com/media/Dbqik_MW4AYH9oI.jpg", "http://pbs.twimg.com/media/Dbqik_MW4AYH9oI.jpg")</f>
        <v/>
      </c>
      <c r="G2768">
        <f>HYPERLINK("http://pbs.twimg.com/media/Dbqik_NX4AYpkPY.jpg", "http://pbs.twimg.com/media/Dbqik_NX4AYpkPY.jpg")</f>
        <v/>
      </c>
      <c r="H2768" t="s"/>
      <c r="I2768" t="s"/>
      <c r="J2768" t="n">
        <v>0.1779</v>
      </c>
      <c r="K2768" t="n">
        <v>0.08</v>
      </c>
      <c r="L2768" t="n">
        <v>0.802</v>
      </c>
      <c r="M2768" t="n">
        <v>0.118</v>
      </c>
    </row>
    <row r="2769" spans="1:13">
      <c r="A2769" s="1">
        <f>HYPERLINK("http://www.twitter.com/NathanBLawrence/status/989281835476758528", "989281835476758528")</f>
        <v/>
      </c>
      <c r="B2769" s="2" t="n">
        <v>43215.96925925926</v>
      </c>
      <c r="C2769" t="n">
        <v>16</v>
      </c>
      <c r="D2769" t="n">
        <v>8</v>
      </c>
      <c r="E2769" t="s">
        <v>2734</v>
      </c>
      <c r="F2769">
        <f>HYPERLINK("http://pbs.twimg.com/media/Dbqik_MW4AYH9oI.jpg", "http://pbs.twimg.com/media/Dbqik_MW4AYH9oI.jpg")</f>
        <v/>
      </c>
      <c r="G2769">
        <f>HYPERLINK("http://pbs.twimg.com/media/Dbqik_NX4AYpkPY.jpg", "http://pbs.twimg.com/media/Dbqik_NX4AYpkPY.jpg")</f>
        <v/>
      </c>
      <c r="H2769" t="s"/>
      <c r="I2769" t="s"/>
      <c r="J2769" t="n">
        <v>0.1779</v>
      </c>
      <c r="K2769" t="n">
        <v>0.061</v>
      </c>
      <c r="L2769" t="n">
        <v>0.85</v>
      </c>
      <c r="M2769" t="n">
        <v>0.089</v>
      </c>
    </row>
    <row r="2770" spans="1:13">
      <c r="A2770" s="1">
        <f>HYPERLINK("http://www.twitter.com/NathanBLawrence/status/989279112371015681", "989279112371015681")</f>
        <v/>
      </c>
      <c r="B2770" s="2" t="n">
        <v>43215.96173611111</v>
      </c>
      <c r="C2770" t="n">
        <v>0</v>
      </c>
      <c r="D2770" t="n">
        <v>16</v>
      </c>
      <c r="E2770" t="s">
        <v>2735</v>
      </c>
      <c r="F2770">
        <f>HYPERLINK("http://pbs.twimg.com/media/Dbqf_vcUwAEuyZn.jpg", "http://pbs.twimg.com/media/Dbqf_vcUwAEuyZn.jpg")</f>
        <v/>
      </c>
      <c r="G2770">
        <f>HYPERLINK("http://pbs.twimg.com/media/Dbqf_vXUwAA9KuS.jpg", "http://pbs.twimg.com/media/Dbqf_vXUwAA9KuS.jpg")</f>
        <v/>
      </c>
      <c r="H2770" t="s"/>
      <c r="I2770" t="s"/>
      <c r="J2770" t="n">
        <v>0</v>
      </c>
      <c r="K2770" t="n">
        <v>0</v>
      </c>
      <c r="L2770" t="n">
        <v>1</v>
      </c>
      <c r="M2770" t="n">
        <v>0</v>
      </c>
    </row>
    <row r="2771" spans="1:13">
      <c r="A2771" s="1">
        <f>HYPERLINK("http://www.twitter.com/NathanBLawrence/status/989278995148570627", "989278995148570627")</f>
        <v/>
      </c>
      <c r="B2771" s="2" t="n">
        <v>43215.96142361111</v>
      </c>
      <c r="C2771" t="n">
        <v>19</v>
      </c>
      <c r="D2771" t="n">
        <v>16</v>
      </c>
      <c r="E2771" t="s">
        <v>2736</v>
      </c>
      <c r="F2771">
        <f>HYPERLINK("http://pbs.twimg.com/media/Dbqf_vcUwAEuyZn.jpg", "http://pbs.twimg.com/media/Dbqf_vcUwAEuyZn.jpg")</f>
        <v/>
      </c>
      <c r="G2771">
        <f>HYPERLINK("http://pbs.twimg.com/media/Dbqf_vXUwAA9KuS.jpg", "http://pbs.twimg.com/media/Dbqf_vXUwAA9KuS.jpg")</f>
        <v/>
      </c>
      <c r="H2771" t="s"/>
      <c r="I2771" t="s"/>
      <c r="J2771" t="n">
        <v>0</v>
      </c>
      <c r="K2771" t="n">
        <v>0</v>
      </c>
      <c r="L2771" t="n">
        <v>1</v>
      </c>
      <c r="M2771" t="n">
        <v>0</v>
      </c>
    </row>
    <row r="2772" spans="1:13">
      <c r="A2772" s="1">
        <f>HYPERLINK("http://www.twitter.com/NathanBLawrence/status/989277385496367105", "989277385496367105")</f>
        <v/>
      </c>
      <c r="B2772" s="2" t="n">
        <v>43215.95697916667</v>
      </c>
      <c r="C2772" t="n">
        <v>1</v>
      </c>
      <c r="D2772" t="n">
        <v>1</v>
      </c>
      <c r="E2772" t="s">
        <v>2737</v>
      </c>
      <c r="F2772" t="s"/>
      <c r="G2772" t="s"/>
      <c r="H2772" t="s"/>
      <c r="I2772" t="s"/>
      <c r="J2772" t="n">
        <v>-0.7184</v>
      </c>
      <c r="K2772" t="n">
        <v>0.155</v>
      </c>
      <c r="L2772" t="n">
        <v>0.805</v>
      </c>
      <c r="M2772" t="n">
        <v>0.04</v>
      </c>
    </row>
    <row r="2773" spans="1:13">
      <c r="A2773" s="1">
        <f>HYPERLINK("http://www.twitter.com/NathanBLawrence/status/989276258658906112", "989276258658906112")</f>
        <v/>
      </c>
      <c r="B2773" s="2" t="n">
        <v>43215.95386574074</v>
      </c>
      <c r="C2773" t="n">
        <v>2</v>
      </c>
      <c r="D2773" t="n">
        <v>0</v>
      </c>
      <c r="E2773" t="s">
        <v>2738</v>
      </c>
      <c r="F2773" t="s"/>
      <c r="G2773" t="s"/>
      <c r="H2773" t="s"/>
      <c r="I2773" t="s"/>
      <c r="J2773" t="n">
        <v>0.4939</v>
      </c>
      <c r="K2773" t="n">
        <v>0.067</v>
      </c>
      <c r="L2773" t="n">
        <v>0.785</v>
      </c>
      <c r="M2773" t="n">
        <v>0.148</v>
      </c>
    </row>
    <row r="2774" spans="1:13">
      <c r="A2774" s="1">
        <f>HYPERLINK("http://www.twitter.com/NathanBLawrence/status/989268146640113665", "989268146640113665")</f>
        <v/>
      </c>
      <c r="B2774" s="2" t="n">
        <v>43215.93148148148</v>
      </c>
      <c r="C2774" t="n">
        <v>0</v>
      </c>
      <c r="D2774" t="n">
        <v>4</v>
      </c>
      <c r="E2774" t="s">
        <v>2739</v>
      </c>
      <c r="F2774" t="s"/>
      <c r="G2774" t="s"/>
      <c r="H2774" t="s"/>
      <c r="I2774" t="s"/>
      <c r="J2774" t="n">
        <v>-0.6486</v>
      </c>
      <c r="K2774" t="n">
        <v>0.218</v>
      </c>
      <c r="L2774" t="n">
        <v>0.782</v>
      </c>
      <c r="M2774" t="n">
        <v>0</v>
      </c>
    </row>
    <row r="2775" spans="1:13">
      <c r="A2775" s="1">
        <f>HYPERLINK("http://www.twitter.com/NathanBLawrence/status/989265736626524160", "989265736626524160")</f>
        <v/>
      </c>
      <c r="B2775" s="2" t="n">
        <v>43215.92482638889</v>
      </c>
      <c r="C2775" t="n">
        <v>1</v>
      </c>
      <c r="D2775" t="n">
        <v>0</v>
      </c>
      <c r="E2775" t="s">
        <v>2740</v>
      </c>
      <c r="F2775">
        <f>HYPERLINK("http://pbs.twimg.com/media/DbqT8EdWsAMw_LV.jpg", "http://pbs.twimg.com/media/DbqT8EdWsAMw_LV.jpg")</f>
        <v/>
      </c>
      <c r="G2775" t="s"/>
      <c r="H2775" t="s"/>
      <c r="I2775" t="s"/>
      <c r="J2775" t="n">
        <v>0.296</v>
      </c>
      <c r="K2775" t="n">
        <v>0</v>
      </c>
      <c r="L2775" t="n">
        <v>0.761</v>
      </c>
      <c r="M2775" t="n">
        <v>0.239</v>
      </c>
    </row>
    <row r="2776" spans="1:13">
      <c r="A2776" s="1">
        <f>HYPERLINK("http://www.twitter.com/NathanBLawrence/status/989254444075421697", "989254444075421697")</f>
        <v/>
      </c>
      <c r="B2776" s="2" t="n">
        <v>43215.89366898148</v>
      </c>
      <c r="C2776" t="n">
        <v>4</v>
      </c>
      <c r="D2776" t="n">
        <v>2</v>
      </c>
      <c r="E2776" t="s">
        <v>2741</v>
      </c>
      <c r="F2776" t="s"/>
      <c r="G2776" t="s"/>
      <c r="H2776" t="s"/>
      <c r="I2776" t="s"/>
      <c r="J2776" t="n">
        <v>-0.3612</v>
      </c>
      <c r="K2776" t="n">
        <v>0.455</v>
      </c>
      <c r="L2776" t="n">
        <v>0.545</v>
      </c>
      <c r="M2776" t="n">
        <v>0</v>
      </c>
    </row>
    <row r="2777" spans="1:13">
      <c r="A2777" s="1">
        <f>HYPERLINK("http://www.twitter.com/NathanBLawrence/status/989251115949666306", "989251115949666306")</f>
        <v/>
      </c>
      <c r="B2777" s="2" t="n">
        <v>43215.88449074074</v>
      </c>
      <c r="C2777" t="n">
        <v>0</v>
      </c>
      <c r="D2777" t="n">
        <v>13</v>
      </c>
      <c r="E2777" t="s">
        <v>2742</v>
      </c>
      <c r="F2777">
        <f>HYPERLINK("http://pbs.twimg.com/media/DbqFcMFVAAEqRlL.jpg", "http://pbs.twimg.com/media/DbqFcMFVAAEqRlL.jpg")</f>
        <v/>
      </c>
      <c r="G2777" t="s"/>
      <c r="H2777" t="s"/>
      <c r="I2777" t="s"/>
      <c r="J2777" t="n">
        <v>0.34</v>
      </c>
      <c r="K2777" t="n">
        <v>0</v>
      </c>
      <c r="L2777" t="n">
        <v>0.876</v>
      </c>
      <c r="M2777" t="n">
        <v>0.124</v>
      </c>
    </row>
    <row r="2778" spans="1:13">
      <c r="A2778" s="1">
        <f>HYPERLINK("http://www.twitter.com/NathanBLawrence/status/989251026703257600", "989251026703257600")</f>
        <v/>
      </c>
      <c r="B2778" s="2" t="n">
        <v>43215.88423611111</v>
      </c>
      <c r="C2778" t="n">
        <v>5</v>
      </c>
      <c r="D2778" t="n">
        <v>3</v>
      </c>
      <c r="E2778" t="s">
        <v>2743</v>
      </c>
      <c r="F2778" t="s"/>
      <c r="G2778" t="s"/>
      <c r="H2778" t="s"/>
      <c r="I2778" t="s"/>
      <c r="J2778" t="n">
        <v>0</v>
      </c>
      <c r="K2778" t="n">
        <v>0</v>
      </c>
      <c r="L2778" t="n">
        <v>1</v>
      </c>
      <c r="M2778" t="n">
        <v>0</v>
      </c>
    </row>
    <row r="2779" spans="1:13">
      <c r="A2779" s="1">
        <f>HYPERLINK("http://www.twitter.com/NathanBLawrence/status/989250736281309184", "989250736281309184")</f>
        <v/>
      </c>
      <c r="B2779" s="2" t="n">
        <v>43215.8834375</v>
      </c>
      <c r="C2779" t="n">
        <v>0</v>
      </c>
      <c r="D2779" t="n">
        <v>8</v>
      </c>
      <c r="E2779" t="s">
        <v>2744</v>
      </c>
      <c r="F2779" t="s"/>
      <c r="G2779" t="s"/>
      <c r="H2779" t="s"/>
      <c r="I2779" t="s"/>
      <c r="J2779" t="n">
        <v>0.6249</v>
      </c>
      <c r="K2779" t="n">
        <v>0</v>
      </c>
      <c r="L2779" t="n">
        <v>0.769</v>
      </c>
      <c r="M2779" t="n">
        <v>0.231</v>
      </c>
    </row>
    <row r="2780" spans="1:13">
      <c r="A2780" s="1">
        <f>HYPERLINK("http://www.twitter.com/NathanBLawrence/status/989250702974291974", "989250702974291974")</f>
        <v/>
      </c>
      <c r="B2780" s="2" t="n">
        <v>43215.88334490741</v>
      </c>
      <c r="C2780" t="n">
        <v>9</v>
      </c>
      <c r="D2780" t="n">
        <v>8</v>
      </c>
      <c r="E2780" t="s">
        <v>2745</v>
      </c>
      <c r="F2780" t="s"/>
      <c r="G2780" t="s"/>
      <c r="H2780" t="s"/>
      <c r="I2780" t="s"/>
      <c r="J2780" t="n">
        <v>-0.7906</v>
      </c>
      <c r="K2780" t="n">
        <v>0.235</v>
      </c>
      <c r="L2780" t="n">
        <v>0.657</v>
      </c>
      <c r="M2780" t="n">
        <v>0.108</v>
      </c>
    </row>
    <row r="2781" spans="1:13">
      <c r="A2781" s="1">
        <f>HYPERLINK("http://www.twitter.com/NathanBLawrence/status/989249906765418497", "989249906765418497")</f>
        <v/>
      </c>
      <c r="B2781" s="2" t="n">
        <v>43215.88114583334</v>
      </c>
      <c r="C2781" t="n">
        <v>0</v>
      </c>
      <c r="D2781" t="n">
        <v>30317</v>
      </c>
      <c r="E2781" t="s">
        <v>2746</v>
      </c>
      <c r="F2781">
        <f>HYPERLINK("http://pbs.twimg.com/media/DbpshRZUQAA5cXe.jpg", "http://pbs.twimg.com/media/DbpshRZUQAA5cXe.jpg")</f>
        <v/>
      </c>
      <c r="G2781" t="s"/>
      <c r="H2781" t="s"/>
      <c r="I2781" t="s"/>
      <c r="J2781" t="n">
        <v>0.6369</v>
      </c>
      <c r="K2781" t="n">
        <v>0</v>
      </c>
      <c r="L2781" t="n">
        <v>0.543</v>
      </c>
      <c r="M2781" t="n">
        <v>0.457</v>
      </c>
    </row>
    <row r="2782" spans="1:13">
      <c r="A2782" s="1">
        <f>HYPERLINK("http://www.twitter.com/NathanBLawrence/status/989249890457972736", "989249890457972736")</f>
        <v/>
      </c>
      <c r="B2782" s="2" t="n">
        <v>43215.88109953704</v>
      </c>
      <c r="C2782" t="n">
        <v>0</v>
      </c>
      <c r="D2782" t="n">
        <v>651</v>
      </c>
      <c r="E2782" t="s">
        <v>2747</v>
      </c>
      <c r="F2782" t="s"/>
      <c r="G2782" t="s"/>
      <c r="H2782" t="s"/>
      <c r="I2782" t="s"/>
      <c r="J2782" t="n">
        <v>0.5574</v>
      </c>
      <c r="K2782" t="n">
        <v>0</v>
      </c>
      <c r="L2782" t="n">
        <v>0.753</v>
      </c>
      <c r="M2782" t="n">
        <v>0.247</v>
      </c>
    </row>
    <row r="2783" spans="1:13">
      <c r="A2783" s="1">
        <f>HYPERLINK("http://www.twitter.com/NathanBLawrence/status/989249794647478273", "989249794647478273")</f>
        <v/>
      </c>
      <c r="B2783" s="2" t="n">
        <v>43215.88084490741</v>
      </c>
      <c r="C2783" t="n">
        <v>10</v>
      </c>
      <c r="D2783" t="n">
        <v>13</v>
      </c>
      <c r="E2783" t="s">
        <v>2748</v>
      </c>
      <c r="F2783">
        <f>HYPERLINK("http://pbs.twimg.com/media/DbqFcMFVAAEqRlL.jpg", "http://pbs.twimg.com/media/DbqFcMFVAAEqRlL.jpg")</f>
        <v/>
      </c>
      <c r="G2783" t="s"/>
      <c r="H2783" t="s"/>
      <c r="I2783" t="s"/>
      <c r="J2783" t="n">
        <v>0.34</v>
      </c>
      <c r="K2783" t="n">
        <v>0</v>
      </c>
      <c r="L2783" t="n">
        <v>0.9340000000000001</v>
      </c>
      <c r="M2783" t="n">
        <v>0.066</v>
      </c>
    </row>
    <row r="2784" spans="1:13">
      <c r="A2784" s="1">
        <f>HYPERLINK("http://www.twitter.com/NathanBLawrence/status/989246236011134982", "989246236011134982")</f>
        <v/>
      </c>
      <c r="B2784" s="2" t="n">
        <v>43215.87101851852</v>
      </c>
      <c r="C2784" t="n">
        <v>0</v>
      </c>
      <c r="D2784" t="n">
        <v>11</v>
      </c>
      <c r="E2784" t="s">
        <v>2742</v>
      </c>
      <c r="F2784">
        <f>HYPERLINK("http://pbs.twimg.com/media/DbqBkZFXkAE6aJP.jpg", "http://pbs.twimg.com/media/DbqBkZFXkAE6aJP.jpg")</f>
        <v/>
      </c>
      <c r="G2784" t="s"/>
      <c r="H2784" t="s"/>
      <c r="I2784" t="s"/>
      <c r="J2784" t="n">
        <v>0.34</v>
      </c>
      <c r="K2784" t="n">
        <v>0</v>
      </c>
      <c r="L2784" t="n">
        <v>0.876</v>
      </c>
      <c r="M2784" t="n">
        <v>0.124</v>
      </c>
    </row>
    <row r="2785" spans="1:13">
      <c r="A2785" s="1">
        <f>HYPERLINK("http://www.twitter.com/NathanBLawrence/status/989245536766177281", "989245536766177281")</f>
        <v/>
      </c>
      <c r="B2785" s="2" t="n">
        <v>43215.86908564815</v>
      </c>
      <c r="C2785" t="n">
        <v>12</v>
      </c>
      <c r="D2785" t="n">
        <v>11</v>
      </c>
      <c r="E2785" t="s">
        <v>2749</v>
      </c>
      <c r="F2785">
        <f>HYPERLINK("http://pbs.twimg.com/media/DbqBkZFXkAE6aJP.jpg", "http://pbs.twimg.com/media/DbqBkZFXkAE6aJP.jpg")</f>
        <v/>
      </c>
      <c r="G2785" t="s"/>
      <c r="H2785" t="s"/>
      <c r="I2785" t="s"/>
      <c r="J2785" t="n">
        <v>0.34</v>
      </c>
      <c r="K2785" t="n">
        <v>0</v>
      </c>
      <c r="L2785" t="n">
        <v>0.9320000000000001</v>
      </c>
      <c r="M2785" t="n">
        <v>0.068</v>
      </c>
    </row>
    <row r="2786" spans="1:13">
      <c r="A2786" s="1">
        <f>HYPERLINK("http://www.twitter.com/NathanBLawrence/status/989240189389287428", "989240189389287428")</f>
        <v/>
      </c>
      <c r="B2786" s="2" t="n">
        <v>43215.85434027778</v>
      </c>
      <c r="C2786" t="n">
        <v>0</v>
      </c>
      <c r="D2786" t="n">
        <v>100</v>
      </c>
      <c r="E2786" t="s">
        <v>2750</v>
      </c>
      <c r="F2786">
        <f>HYPERLINK("http://pbs.twimg.com/media/Dbpn-6rV4AAwkwf.jpg", "http://pbs.twimg.com/media/Dbpn-6rV4AAwkwf.jpg")</f>
        <v/>
      </c>
      <c r="G2786" t="s"/>
      <c r="H2786" t="s"/>
      <c r="I2786" t="s"/>
      <c r="J2786" t="n">
        <v>-0.07539999999999999</v>
      </c>
      <c r="K2786" t="n">
        <v>0.128</v>
      </c>
      <c r="L2786" t="n">
        <v>0.721</v>
      </c>
      <c r="M2786" t="n">
        <v>0.151</v>
      </c>
    </row>
    <row r="2787" spans="1:13">
      <c r="A2787" s="1">
        <f>HYPERLINK("http://www.twitter.com/NathanBLawrence/status/989240148935225347", "989240148935225347")</f>
        <v/>
      </c>
      <c r="B2787" s="2" t="n">
        <v>43215.85422453703</v>
      </c>
      <c r="C2787" t="n">
        <v>0</v>
      </c>
      <c r="D2787" t="n">
        <v>24</v>
      </c>
      <c r="E2787" t="s">
        <v>2751</v>
      </c>
      <c r="F2787" t="s"/>
      <c r="G2787" t="s"/>
      <c r="H2787" t="s"/>
      <c r="I2787" t="s"/>
      <c r="J2787" t="n">
        <v>0</v>
      </c>
      <c r="K2787" t="n">
        <v>0</v>
      </c>
      <c r="L2787" t="n">
        <v>1</v>
      </c>
      <c r="M2787" t="n">
        <v>0</v>
      </c>
    </row>
    <row r="2788" spans="1:13">
      <c r="A2788" s="1">
        <f>HYPERLINK("http://www.twitter.com/NathanBLawrence/status/989240067603525635", "989240067603525635")</f>
        <v/>
      </c>
      <c r="B2788" s="2" t="n">
        <v>43215.85399305556</v>
      </c>
      <c r="C2788" t="n">
        <v>0</v>
      </c>
      <c r="D2788" t="n">
        <v>10381</v>
      </c>
      <c r="E2788" t="s">
        <v>2752</v>
      </c>
      <c r="F2788">
        <f>HYPERLINK("http://pbs.twimg.com/media/DbpyV11VwAAcCzs.jpg", "http://pbs.twimg.com/media/DbpyV11VwAAcCzs.jpg")</f>
        <v/>
      </c>
      <c r="G2788" t="s"/>
      <c r="H2788" t="s"/>
      <c r="I2788" t="s"/>
      <c r="J2788" t="n">
        <v>0</v>
      </c>
      <c r="K2788" t="n">
        <v>0</v>
      </c>
      <c r="L2788" t="n">
        <v>1</v>
      </c>
      <c r="M2788" t="n">
        <v>0</v>
      </c>
    </row>
    <row r="2789" spans="1:13">
      <c r="A2789" s="1">
        <f>HYPERLINK("http://www.twitter.com/NathanBLawrence/status/989239976960421893", "989239976960421893")</f>
        <v/>
      </c>
      <c r="B2789" s="2" t="n">
        <v>43215.85375</v>
      </c>
      <c r="C2789" t="n">
        <v>0</v>
      </c>
      <c r="D2789" t="n">
        <v>60029</v>
      </c>
      <c r="E2789" t="s">
        <v>2753</v>
      </c>
      <c r="F2789">
        <f>HYPERLINK("http://pbs.twimg.com/media/Dbpw2J4UwAA9vzT.jpg", "http://pbs.twimg.com/media/Dbpw2J4UwAA9vzT.jpg")</f>
        <v/>
      </c>
      <c r="G2789" t="s"/>
      <c r="H2789" t="s"/>
      <c r="I2789" t="s"/>
      <c r="J2789" t="n">
        <v>0</v>
      </c>
      <c r="K2789" t="n">
        <v>0</v>
      </c>
      <c r="L2789" t="n">
        <v>1</v>
      </c>
      <c r="M2789" t="n">
        <v>0</v>
      </c>
    </row>
    <row r="2790" spans="1:13">
      <c r="A2790" s="1">
        <f>HYPERLINK("http://www.twitter.com/NathanBLawrence/status/989239918789525504", "989239918789525504")</f>
        <v/>
      </c>
      <c r="B2790" s="2" t="n">
        <v>43215.85358796296</v>
      </c>
      <c r="C2790" t="n">
        <v>0</v>
      </c>
      <c r="D2790" t="n">
        <v>5947</v>
      </c>
      <c r="E2790" t="s">
        <v>2754</v>
      </c>
      <c r="F2790" t="s"/>
      <c r="G2790" t="s"/>
      <c r="H2790" t="s"/>
      <c r="I2790" t="s"/>
      <c r="J2790" t="n">
        <v>0</v>
      </c>
      <c r="K2790" t="n">
        <v>0</v>
      </c>
      <c r="L2790" t="n">
        <v>1</v>
      </c>
      <c r="M2790" t="n">
        <v>0</v>
      </c>
    </row>
    <row r="2791" spans="1:13">
      <c r="A2791" s="1">
        <f>HYPERLINK("http://www.twitter.com/NathanBLawrence/status/989239869422669825", "989239869422669825")</f>
        <v/>
      </c>
      <c r="B2791" s="2" t="n">
        <v>43215.85344907407</v>
      </c>
      <c r="C2791" t="n">
        <v>0</v>
      </c>
      <c r="D2791" t="n">
        <v>53</v>
      </c>
      <c r="E2791" t="s">
        <v>2755</v>
      </c>
      <c r="F2791" t="s"/>
      <c r="G2791" t="s"/>
      <c r="H2791" t="s"/>
      <c r="I2791" t="s"/>
      <c r="J2791" t="n">
        <v>-0.9022</v>
      </c>
      <c r="K2791" t="n">
        <v>0.548</v>
      </c>
      <c r="L2791" t="n">
        <v>0.452</v>
      </c>
      <c r="M2791" t="n">
        <v>0</v>
      </c>
    </row>
    <row r="2792" spans="1:13">
      <c r="A2792" s="1">
        <f>HYPERLINK("http://www.twitter.com/NathanBLawrence/status/989239373836308481", "989239373836308481")</f>
        <v/>
      </c>
      <c r="B2792" s="2" t="n">
        <v>43215.85208333333</v>
      </c>
      <c r="C2792" t="n">
        <v>0</v>
      </c>
      <c r="D2792" t="n">
        <v>6</v>
      </c>
      <c r="E2792" t="s">
        <v>2756</v>
      </c>
      <c r="F2792" t="s"/>
      <c r="G2792" t="s"/>
      <c r="H2792" t="s"/>
      <c r="I2792" t="s"/>
      <c r="J2792" t="n">
        <v>0</v>
      </c>
      <c r="K2792" t="n">
        <v>0</v>
      </c>
      <c r="L2792" t="n">
        <v>1</v>
      </c>
      <c r="M2792" t="n">
        <v>0</v>
      </c>
    </row>
    <row r="2793" spans="1:13">
      <c r="A2793" s="1">
        <f>HYPERLINK("http://www.twitter.com/NathanBLawrence/status/989239090565525505", "989239090565525505")</f>
        <v/>
      </c>
      <c r="B2793" s="2" t="n">
        <v>43215.85130787037</v>
      </c>
      <c r="C2793" t="n">
        <v>9</v>
      </c>
      <c r="D2793" t="n">
        <v>8</v>
      </c>
      <c r="E2793" t="s">
        <v>2757</v>
      </c>
      <c r="F2793">
        <f>HYPERLINK("http://pbs.twimg.com/media/Dbp7tBoW4AIYJBg.jpg", "http://pbs.twimg.com/media/Dbp7tBoW4AIYJBg.jpg")</f>
        <v/>
      </c>
      <c r="G2793" t="s"/>
      <c r="H2793" t="s"/>
      <c r="I2793" t="s"/>
      <c r="J2793" t="n">
        <v>0.3182</v>
      </c>
      <c r="K2793" t="n">
        <v>0</v>
      </c>
      <c r="L2793" t="n">
        <v>0.796</v>
      </c>
      <c r="M2793" t="n">
        <v>0.204</v>
      </c>
    </row>
    <row r="2794" spans="1:13">
      <c r="A2794" s="1">
        <f>HYPERLINK("http://www.twitter.com/NathanBLawrence/status/989234604623179780", "989234604623179780")</f>
        <v/>
      </c>
      <c r="B2794" s="2" t="n">
        <v>43215.83892361111</v>
      </c>
      <c r="C2794" t="n">
        <v>0</v>
      </c>
      <c r="D2794" t="n">
        <v>7</v>
      </c>
      <c r="E2794" t="s">
        <v>2758</v>
      </c>
      <c r="F2794" t="s"/>
      <c r="G2794" t="s"/>
      <c r="H2794" t="s"/>
      <c r="I2794" t="s"/>
      <c r="J2794" t="n">
        <v>0.5983000000000001</v>
      </c>
      <c r="K2794" t="n">
        <v>0</v>
      </c>
      <c r="L2794" t="n">
        <v>0.804</v>
      </c>
      <c r="M2794" t="n">
        <v>0.196</v>
      </c>
    </row>
    <row r="2795" spans="1:13">
      <c r="A2795" s="1">
        <f>HYPERLINK("http://www.twitter.com/NathanBLawrence/status/989229279572561921", "989229279572561921")</f>
        <v/>
      </c>
      <c r="B2795" s="2" t="n">
        <v>43215.82422453703</v>
      </c>
      <c r="C2795" t="n">
        <v>0</v>
      </c>
      <c r="D2795" t="n">
        <v>330</v>
      </c>
      <c r="E2795" t="s">
        <v>2759</v>
      </c>
      <c r="F2795">
        <f>HYPERLINK("http://pbs.twimg.com/media/DbppNSmUwAAXHZi.jpg", "http://pbs.twimg.com/media/DbppNSmUwAAXHZi.jpg")</f>
        <v/>
      </c>
      <c r="G2795" t="s"/>
      <c r="H2795" t="s"/>
      <c r="I2795" t="s"/>
      <c r="J2795" t="n">
        <v>-0.6705</v>
      </c>
      <c r="K2795" t="n">
        <v>0.209</v>
      </c>
      <c r="L2795" t="n">
        <v>0.791</v>
      </c>
      <c r="M2795" t="n">
        <v>0</v>
      </c>
    </row>
    <row r="2796" spans="1:13">
      <c r="A2796" s="1">
        <f>HYPERLINK("http://www.twitter.com/NathanBLawrence/status/989222792326451200", "989222792326451200")</f>
        <v/>
      </c>
      <c r="B2796" s="2" t="n">
        <v>43215.80633101852</v>
      </c>
      <c r="C2796" t="n">
        <v>0</v>
      </c>
      <c r="D2796" t="n">
        <v>5</v>
      </c>
      <c r="E2796" t="s">
        <v>2760</v>
      </c>
      <c r="F2796">
        <f>HYPERLINK("http://pbs.twimg.com/media/Dbps2UfW0AUFqTY.jpg", "http://pbs.twimg.com/media/Dbps2UfW0AUFqTY.jpg")</f>
        <v/>
      </c>
      <c r="G2796" t="s"/>
      <c r="H2796" t="s"/>
      <c r="I2796" t="s"/>
      <c r="J2796" t="n">
        <v>0</v>
      </c>
      <c r="K2796" t="n">
        <v>0</v>
      </c>
      <c r="L2796" t="n">
        <v>1</v>
      </c>
      <c r="M2796" t="n">
        <v>0</v>
      </c>
    </row>
    <row r="2797" spans="1:13">
      <c r="A2797" s="1">
        <f>HYPERLINK("http://www.twitter.com/NathanBLawrence/status/989222754829422598", "989222754829422598")</f>
        <v/>
      </c>
      <c r="B2797" s="2" t="n">
        <v>43215.80622685186</v>
      </c>
      <c r="C2797" t="n">
        <v>8</v>
      </c>
      <c r="D2797" t="n">
        <v>5</v>
      </c>
      <c r="E2797" t="s">
        <v>2761</v>
      </c>
      <c r="F2797">
        <f>HYPERLINK("http://pbs.twimg.com/media/Dbps2UfW0AUFqTY.jpg", "http://pbs.twimg.com/media/Dbps2UfW0AUFqTY.jpg")</f>
        <v/>
      </c>
      <c r="G2797" t="s"/>
      <c r="H2797" t="s"/>
      <c r="I2797" t="s"/>
      <c r="J2797" t="n">
        <v>0</v>
      </c>
      <c r="K2797" t="n">
        <v>0</v>
      </c>
      <c r="L2797" t="n">
        <v>1</v>
      </c>
      <c r="M2797" t="n">
        <v>0</v>
      </c>
    </row>
    <row r="2798" spans="1:13">
      <c r="A2798" s="1">
        <f>HYPERLINK("http://www.twitter.com/NathanBLawrence/status/989220961001132032", "989220961001132032")</f>
        <v/>
      </c>
      <c r="B2798" s="2" t="n">
        <v>43215.80127314815</v>
      </c>
      <c r="C2798" t="n">
        <v>0</v>
      </c>
      <c r="D2798" t="n">
        <v>4</v>
      </c>
      <c r="E2798" t="s">
        <v>2762</v>
      </c>
      <c r="F2798">
        <f>HYPERLINK("http://pbs.twimg.com/media/Dba7i1KVAAAL6MT.jpg", "http://pbs.twimg.com/media/Dba7i1KVAAAL6MT.jpg")</f>
        <v/>
      </c>
      <c r="G2798" t="s"/>
      <c r="H2798" t="s"/>
      <c r="I2798" t="s"/>
      <c r="J2798" t="n">
        <v>0</v>
      </c>
      <c r="K2798" t="n">
        <v>0</v>
      </c>
      <c r="L2798" t="n">
        <v>1</v>
      </c>
      <c r="M2798" t="n">
        <v>0</v>
      </c>
    </row>
    <row r="2799" spans="1:13">
      <c r="A2799" s="1">
        <f>HYPERLINK("http://www.twitter.com/NathanBLawrence/status/989220902725353478", "989220902725353478")</f>
        <v/>
      </c>
      <c r="B2799" s="2" t="n">
        <v>43215.80111111111</v>
      </c>
      <c r="C2799" t="n">
        <v>0</v>
      </c>
      <c r="D2799" t="n">
        <v>1</v>
      </c>
      <c r="E2799" t="s">
        <v>2763</v>
      </c>
      <c r="F2799">
        <f>HYPERLINK("http://pbs.twimg.com/media/Dbd_D62WkAA7JAD.jpg", "http://pbs.twimg.com/media/Dbd_D62WkAA7JAD.jpg")</f>
        <v/>
      </c>
      <c r="G2799" t="s"/>
      <c r="H2799" t="s"/>
      <c r="I2799" t="s"/>
      <c r="J2799" t="n">
        <v>0</v>
      </c>
      <c r="K2799" t="n">
        <v>0</v>
      </c>
      <c r="L2799" t="n">
        <v>1</v>
      </c>
      <c r="M2799" t="n">
        <v>0</v>
      </c>
    </row>
    <row r="2800" spans="1:13">
      <c r="A2800" s="1">
        <f>HYPERLINK("http://www.twitter.com/NathanBLawrence/status/989220250821578752", "989220250821578752")</f>
        <v/>
      </c>
      <c r="B2800" s="2" t="n">
        <v>43215.79931712963</v>
      </c>
      <c r="C2800" t="n">
        <v>0</v>
      </c>
      <c r="D2800" t="n">
        <v>45</v>
      </c>
      <c r="E2800" t="s">
        <v>2764</v>
      </c>
      <c r="F2800" t="s"/>
      <c r="G2800" t="s"/>
      <c r="H2800" t="s"/>
      <c r="I2800" t="s"/>
      <c r="J2800" t="n">
        <v>0.1066</v>
      </c>
      <c r="K2800" t="n">
        <v>0.082</v>
      </c>
      <c r="L2800" t="n">
        <v>0.82</v>
      </c>
      <c r="M2800" t="n">
        <v>0.098</v>
      </c>
    </row>
    <row r="2801" spans="1:13">
      <c r="A2801" s="1">
        <f>HYPERLINK("http://www.twitter.com/NathanBLawrence/status/989220059489951744", "989220059489951744")</f>
        <v/>
      </c>
      <c r="B2801" s="2" t="n">
        <v>43215.79878472222</v>
      </c>
      <c r="C2801" t="n">
        <v>0</v>
      </c>
      <c r="D2801" t="n">
        <v>9</v>
      </c>
      <c r="E2801" t="s">
        <v>2765</v>
      </c>
      <c r="F2801" t="s"/>
      <c r="G2801" t="s"/>
      <c r="H2801" t="s"/>
      <c r="I2801" t="s"/>
      <c r="J2801" t="n">
        <v>0.7783</v>
      </c>
      <c r="K2801" t="n">
        <v>0</v>
      </c>
      <c r="L2801" t="n">
        <v>0.736</v>
      </c>
      <c r="M2801" t="n">
        <v>0.264</v>
      </c>
    </row>
    <row r="2802" spans="1:13">
      <c r="A2802" s="1">
        <f>HYPERLINK("http://www.twitter.com/NathanBLawrence/status/989219794225389568", "989219794225389568")</f>
        <v/>
      </c>
      <c r="B2802" s="2" t="n">
        <v>43215.79805555556</v>
      </c>
      <c r="C2802" t="n">
        <v>11</v>
      </c>
      <c r="D2802" t="n">
        <v>9</v>
      </c>
      <c r="E2802" t="s">
        <v>2766</v>
      </c>
      <c r="F2802" t="s"/>
      <c r="G2802" t="s"/>
      <c r="H2802" t="s"/>
      <c r="I2802" t="s"/>
      <c r="J2802" t="n">
        <v>0.8779</v>
      </c>
      <c r="K2802" t="n">
        <v>0.109</v>
      </c>
      <c r="L2802" t="n">
        <v>0.612</v>
      </c>
      <c r="M2802" t="n">
        <v>0.278</v>
      </c>
    </row>
    <row r="2803" spans="1:13">
      <c r="A2803" s="1">
        <f>HYPERLINK("http://www.twitter.com/NathanBLawrence/status/989217581293887489", "989217581293887489")</f>
        <v/>
      </c>
      <c r="B2803" s="2" t="n">
        <v>43215.79194444444</v>
      </c>
      <c r="C2803" t="n">
        <v>0</v>
      </c>
      <c r="D2803" t="n">
        <v>4</v>
      </c>
      <c r="E2803" t="s">
        <v>2767</v>
      </c>
      <c r="F2803">
        <f>HYPERLINK("http://pbs.twimg.com/media/Dbd4ERRU0AALAh_.jpg", "http://pbs.twimg.com/media/Dbd4ERRU0AALAh_.jpg")</f>
        <v/>
      </c>
      <c r="G2803" t="s"/>
      <c r="H2803" t="s"/>
      <c r="I2803" t="s"/>
      <c r="J2803" t="n">
        <v>0</v>
      </c>
      <c r="K2803" t="n">
        <v>0</v>
      </c>
      <c r="L2803" t="n">
        <v>1</v>
      </c>
      <c r="M2803" t="n">
        <v>0</v>
      </c>
    </row>
    <row r="2804" spans="1:13">
      <c r="A2804" s="1">
        <f>HYPERLINK("http://www.twitter.com/NathanBLawrence/status/989216938541895682", "989216938541895682")</f>
        <v/>
      </c>
      <c r="B2804" s="2" t="n">
        <v>43215.79017361111</v>
      </c>
      <c r="C2804" t="n">
        <v>0</v>
      </c>
      <c r="D2804" t="n">
        <v>84098</v>
      </c>
      <c r="E2804" t="s">
        <v>1532</v>
      </c>
      <c r="F2804" t="s"/>
      <c r="G2804" t="s"/>
      <c r="H2804" t="s"/>
      <c r="I2804" t="s"/>
      <c r="J2804" t="n">
        <v>-0.5357</v>
      </c>
      <c r="K2804" t="n">
        <v>0.181</v>
      </c>
      <c r="L2804" t="n">
        <v>0.741</v>
      </c>
      <c r="M2804" t="n">
        <v>0.079</v>
      </c>
    </row>
    <row r="2805" spans="1:13">
      <c r="A2805" s="1">
        <f>HYPERLINK("http://www.twitter.com/NathanBLawrence/status/989216891062358023", "989216891062358023")</f>
        <v/>
      </c>
      <c r="B2805" s="2" t="n">
        <v>43215.79004629629</v>
      </c>
      <c r="C2805" t="n">
        <v>0</v>
      </c>
      <c r="D2805" t="n">
        <v>5085</v>
      </c>
      <c r="E2805" t="s">
        <v>2768</v>
      </c>
      <c r="F2805" t="s"/>
      <c r="G2805" t="s"/>
      <c r="H2805" t="s"/>
      <c r="I2805" t="s"/>
      <c r="J2805" t="n">
        <v>0.0772</v>
      </c>
      <c r="K2805" t="n">
        <v>0.165</v>
      </c>
      <c r="L2805" t="n">
        <v>0.653</v>
      </c>
      <c r="M2805" t="n">
        <v>0.181</v>
      </c>
    </row>
    <row r="2806" spans="1:13">
      <c r="A2806" s="1">
        <f>HYPERLINK("http://www.twitter.com/NathanBLawrence/status/989216868257943552", "989216868257943552")</f>
        <v/>
      </c>
      <c r="B2806" s="2" t="n">
        <v>43215.78997685185</v>
      </c>
      <c r="C2806" t="n">
        <v>7</v>
      </c>
      <c r="D2806" t="n">
        <v>4</v>
      </c>
      <c r="E2806" t="s">
        <v>2769</v>
      </c>
      <c r="F2806">
        <f>HYPERLINK("http://pbs.twimg.com/media/DbpnfowU0AANyNI.jpg", "http://pbs.twimg.com/media/DbpnfowU0AANyNI.jpg")</f>
        <v/>
      </c>
      <c r="G2806" t="s"/>
      <c r="H2806" t="s"/>
      <c r="I2806" t="s"/>
      <c r="J2806" t="n">
        <v>-0.3818</v>
      </c>
      <c r="K2806" t="n">
        <v>0.234</v>
      </c>
      <c r="L2806" t="n">
        <v>0.633</v>
      </c>
      <c r="M2806" t="n">
        <v>0.133</v>
      </c>
    </row>
    <row r="2807" spans="1:13">
      <c r="A2807" s="1">
        <f>HYPERLINK("http://www.twitter.com/NathanBLawrence/status/989216469455134720", "989216469455134720")</f>
        <v/>
      </c>
      <c r="B2807" s="2" t="n">
        <v>43215.78887731482</v>
      </c>
      <c r="C2807" t="n">
        <v>0</v>
      </c>
      <c r="D2807" t="n">
        <v>7</v>
      </c>
      <c r="E2807" t="s">
        <v>2770</v>
      </c>
      <c r="F2807" t="s"/>
      <c r="G2807" t="s"/>
      <c r="H2807" t="s"/>
      <c r="I2807" t="s"/>
      <c r="J2807" t="n">
        <v>-0.4939</v>
      </c>
      <c r="K2807" t="n">
        <v>0.167</v>
      </c>
      <c r="L2807" t="n">
        <v>0.833</v>
      </c>
      <c r="M2807" t="n">
        <v>0</v>
      </c>
    </row>
    <row r="2808" spans="1:13">
      <c r="A2808" s="1">
        <f>HYPERLINK("http://www.twitter.com/NathanBLawrence/status/989216322151223297", "989216322151223297")</f>
        <v/>
      </c>
      <c r="B2808" s="2" t="n">
        <v>43215.78847222222</v>
      </c>
      <c r="C2808" t="n">
        <v>9</v>
      </c>
      <c r="D2808" t="n">
        <v>7</v>
      </c>
      <c r="E2808" t="s">
        <v>2771</v>
      </c>
      <c r="F2808" t="s"/>
      <c r="G2808" t="s"/>
      <c r="H2808" t="s"/>
      <c r="I2808" t="s"/>
      <c r="J2808" t="n">
        <v>-0.7845</v>
      </c>
      <c r="K2808" t="n">
        <v>0.157</v>
      </c>
      <c r="L2808" t="n">
        <v>0.843</v>
      </c>
      <c r="M2808" t="n">
        <v>0</v>
      </c>
    </row>
    <row r="2809" spans="1:13">
      <c r="A2809" s="1">
        <f>HYPERLINK("http://www.twitter.com/NathanBLawrence/status/989215165869625344", "989215165869625344")</f>
        <v/>
      </c>
      <c r="B2809" s="2" t="n">
        <v>43215.78527777778</v>
      </c>
      <c r="C2809" t="n">
        <v>0</v>
      </c>
      <c r="D2809" t="n">
        <v>34</v>
      </c>
      <c r="E2809" t="s">
        <v>2772</v>
      </c>
      <c r="F2809" t="s"/>
      <c r="G2809" t="s"/>
      <c r="H2809" t="s"/>
      <c r="I2809" t="s"/>
      <c r="J2809" t="n">
        <v>-0.2023</v>
      </c>
      <c r="K2809" t="n">
        <v>0.122</v>
      </c>
      <c r="L2809" t="n">
        <v>0.798</v>
      </c>
      <c r="M2809" t="n">
        <v>0.08</v>
      </c>
    </row>
    <row r="2810" spans="1:13">
      <c r="A2810" s="1">
        <f>HYPERLINK("http://www.twitter.com/NathanBLawrence/status/989214910080061440", "989214910080061440")</f>
        <v/>
      </c>
      <c r="B2810" s="2" t="n">
        <v>43215.78457175926</v>
      </c>
      <c r="C2810" t="n">
        <v>0</v>
      </c>
      <c r="D2810" t="n">
        <v>8</v>
      </c>
      <c r="E2810" t="s">
        <v>2773</v>
      </c>
      <c r="F2810" t="s"/>
      <c r="G2810" t="s"/>
      <c r="H2810" t="s"/>
      <c r="I2810" t="s"/>
      <c r="J2810" t="n">
        <v>-0.25</v>
      </c>
      <c r="K2810" t="n">
        <v>0.13</v>
      </c>
      <c r="L2810" t="n">
        <v>0.775</v>
      </c>
      <c r="M2810" t="n">
        <v>0.095</v>
      </c>
    </row>
    <row r="2811" spans="1:13">
      <c r="A2811" s="1">
        <f>HYPERLINK("http://www.twitter.com/NathanBLawrence/status/989201664572784646", "989201664572784646")</f>
        <v/>
      </c>
      <c r="B2811" s="2" t="n">
        <v>43215.74802083334</v>
      </c>
      <c r="C2811" t="n">
        <v>0</v>
      </c>
      <c r="D2811" t="n">
        <v>5</v>
      </c>
      <c r="E2811" t="s">
        <v>2774</v>
      </c>
      <c r="F2811" t="s"/>
      <c r="G2811" t="s"/>
      <c r="H2811" t="s"/>
      <c r="I2811" t="s"/>
      <c r="J2811" t="n">
        <v>-0.25</v>
      </c>
      <c r="K2811" t="n">
        <v>0.201</v>
      </c>
      <c r="L2811" t="n">
        <v>0.652</v>
      </c>
      <c r="M2811" t="n">
        <v>0.147</v>
      </c>
    </row>
    <row r="2812" spans="1:13">
      <c r="A2812" s="1">
        <f>HYPERLINK("http://www.twitter.com/NathanBLawrence/status/989199672534355968", "989199672534355968")</f>
        <v/>
      </c>
      <c r="B2812" s="2" t="n">
        <v>43215.74253472222</v>
      </c>
      <c r="C2812" t="n">
        <v>0</v>
      </c>
      <c r="D2812" t="n">
        <v>5</v>
      </c>
      <c r="E2812" t="s">
        <v>2775</v>
      </c>
      <c r="F2812" t="s"/>
      <c r="G2812" t="s"/>
      <c r="H2812" t="s"/>
      <c r="I2812" t="s"/>
      <c r="J2812" t="n">
        <v>0.1027</v>
      </c>
      <c r="K2812" t="n">
        <v>0</v>
      </c>
      <c r="L2812" t="n">
        <v>0.9399999999999999</v>
      </c>
      <c r="M2812" t="n">
        <v>0.06</v>
      </c>
    </row>
    <row r="2813" spans="1:13">
      <c r="A2813" s="1">
        <f>HYPERLINK("http://www.twitter.com/NathanBLawrence/status/989199407601111040", "989199407601111040")</f>
        <v/>
      </c>
      <c r="B2813" s="2" t="n">
        <v>43215.74179398148</v>
      </c>
      <c r="C2813" t="n">
        <v>0</v>
      </c>
      <c r="D2813" t="n">
        <v>5</v>
      </c>
      <c r="E2813" t="s">
        <v>2776</v>
      </c>
      <c r="F2813" t="s"/>
      <c r="G2813" t="s"/>
      <c r="H2813" t="s"/>
      <c r="I2813" t="s"/>
      <c r="J2813" t="n">
        <v>-0.3612</v>
      </c>
      <c r="K2813" t="n">
        <v>0.116</v>
      </c>
      <c r="L2813" t="n">
        <v>0.884</v>
      </c>
      <c r="M2813" t="n">
        <v>0</v>
      </c>
    </row>
    <row r="2814" spans="1:13">
      <c r="A2814" s="1">
        <f>HYPERLINK("http://www.twitter.com/NathanBLawrence/status/989199242391621635", "989199242391621635")</f>
        <v/>
      </c>
      <c r="B2814" s="2" t="n">
        <v>43215.74134259259</v>
      </c>
      <c r="C2814" t="n">
        <v>1</v>
      </c>
      <c r="D2814" t="n">
        <v>0</v>
      </c>
      <c r="E2814" t="s">
        <v>2777</v>
      </c>
      <c r="F2814" t="s"/>
      <c r="G2814" t="s"/>
      <c r="H2814" t="s"/>
      <c r="I2814" t="s"/>
      <c r="J2814" t="n">
        <v>0</v>
      </c>
      <c r="K2814" t="n">
        <v>0</v>
      </c>
      <c r="L2814" t="n">
        <v>1</v>
      </c>
      <c r="M2814" t="n">
        <v>0</v>
      </c>
    </row>
    <row r="2815" spans="1:13">
      <c r="A2815" s="1">
        <f>HYPERLINK("http://www.twitter.com/NathanBLawrence/status/989199086661373957", "989199086661373957")</f>
        <v/>
      </c>
      <c r="B2815" s="2" t="n">
        <v>43215.74091435185</v>
      </c>
      <c r="C2815" t="n">
        <v>0</v>
      </c>
      <c r="D2815" t="n">
        <v>176</v>
      </c>
      <c r="E2815" t="s">
        <v>2778</v>
      </c>
      <c r="F2815">
        <f>HYPERLINK("http://pbs.twimg.com/media/DbVbhFHX0AEaRlL.jpg", "http://pbs.twimg.com/media/DbVbhFHX0AEaRlL.jpg")</f>
        <v/>
      </c>
      <c r="G2815" t="s"/>
      <c r="H2815" t="s"/>
      <c r="I2815" t="s"/>
      <c r="J2815" t="n">
        <v>0</v>
      </c>
      <c r="K2815" t="n">
        <v>0</v>
      </c>
      <c r="L2815" t="n">
        <v>1</v>
      </c>
      <c r="M2815" t="n">
        <v>0</v>
      </c>
    </row>
    <row r="2816" spans="1:13">
      <c r="A2816" s="1">
        <f>HYPERLINK("http://www.twitter.com/NathanBLawrence/status/989199027332886530", "989199027332886530")</f>
        <v/>
      </c>
      <c r="B2816" s="2" t="n">
        <v>43215.74075231481</v>
      </c>
      <c r="C2816" t="n">
        <v>0</v>
      </c>
      <c r="D2816" t="n">
        <v>18</v>
      </c>
      <c r="E2816" t="s">
        <v>2779</v>
      </c>
      <c r="F2816" t="s"/>
      <c r="G2816" t="s"/>
      <c r="H2816" t="s"/>
      <c r="I2816" t="s"/>
      <c r="J2816" t="n">
        <v>0.6705</v>
      </c>
      <c r="K2816" t="n">
        <v>0</v>
      </c>
      <c r="L2816" t="n">
        <v>0.744</v>
      </c>
      <c r="M2816" t="n">
        <v>0.256</v>
      </c>
    </row>
    <row r="2817" spans="1:13">
      <c r="A2817" s="1">
        <f>HYPERLINK("http://www.twitter.com/NathanBLawrence/status/989199016624820225", "989199016624820225")</f>
        <v/>
      </c>
      <c r="B2817" s="2" t="n">
        <v>43215.74071759259</v>
      </c>
      <c r="C2817" t="n">
        <v>8</v>
      </c>
      <c r="D2817" t="n">
        <v>5</v>
      </c>
      <c r="E2817" t="s">
        <v>2780</v>
      </c>
      <c r="F2817" t="s"/>
      <c r="G2817" t="s"/>
      <c r="H2817" t="s"/>
      <c r="I2817" t="s"/>
      <c r="J2817" t="n">
        <v>-0.25</v>
      </c>
      <c r="K2817" t="n">
        <v>0.226</v>
      </c>
      <c r="L2817" t="n">
        <v>0.61</v>
      </c>
      <c r="M2817" t="n">
        <v>0.165</v>
      </c>
    </row>
    <row r="2818" spans="1:13">
      <c r="A2818" s="1">
        <f>HYPERLINK("http://www.twitter.com/NathanBLawrence/status/989197752553889792", "989197752553889792")</f>
        <v/>
      </c>
      <c r="B2818" s="2" t="n">
        <v>43215.7372337963</v>
      </c>
      <c r="C2818" t="n">
        <v>4</v>
      </c>
      <c r="D2818" t="n">
        <v>1</v>
      </c>
      <c r="E2818" t="s">
        <v>2579</v>
      </c>
      <c r="F2818" t="s"/>
      <c r="G2818" t="s"/>
      <c r="H2818" t="s"/>
      <c r="I2818" t="s"/>
      <c r="J2818" t="n">
        <v>0</v>
      </c>
      <c r="K2818" t="n">
        <v>0</v>
      </c>
      <c r="L2818" t="n">
        <v>1</v>
      </c>
      <c r="M2818" t="n">
        <v>0</v>
      </c>
    </row>
    <row r="2819" spans="1:13">
      <c r="A2819" s="1">
        <f>HYPERLINK("http://www.twitter.com/NathanBLawrence/status/989196290654425088", "989196290654425088")</f>
        <v/>
      </c>
      <c r="B2819" s="2" t="n">
        <v>43215.73319444444</v>
      </c>
      <c r="C2819" t="n">
        <v>0</v>
      </c>
      <c r="D2819" t="n">
        <v>0</v>
      </c>
      <c r="E2819" t="s">
        <v>2781</v>
      </c>
      <c r="F2819" t="s"/>
      <c r="G2819" t="s"/>
      <c r="H2819" t="s"/>
      <c r="I2819" t="s"/>
      <c r="J2819" t="n">
        <v>-0.1779</v>
      </c>
      <c r="K2819" t="n">
        <v>0.304</v>
      </c>
      <c r="L2819" t="n">
        <v>0.456</v>
      </c>
      <c r="M2819" t="n">
        <v>0.24</v>
      </c>
    </row>
    <row r="2820" spans="1:13">
      <c r="A2820" s="1">
        <f>HYPERLINK("http://www.twitter.com/NathanBLawrence/status/989196069958488064", "989196069958488064")</f>
        <v/>
      </c>
      <c r="B2820" s="2" t="n">
        <v>43215.73259259259</v>
      </c>
      <c r="C2820" t="n">
        <v>0</v>
      </c>
      <c r="D2820" t="n">
        <v>9972</v>
      </c>
      <c r="E2820" t="s">
        <v>2782</v>
      </c>
      <c r="F2820" t="s"/>
      <c r="G2820" t="s"/>
      <c r="H2820" t="s"/>
      <c r="I2820" t="s"/>
      <c r="J2820" t="n">
        <v>0.8057</v>
      </c>
      <c r="K2820" t="n">
        <v>0</v>
      </c>
      <c r="L2820" t="n">
        <v>0.718</v>
      </c>
      <c r="M2820" t="n">
        <v>0.282</v>
      </c>
    </row>
    <row r="2821" spans="1:13">
      <c r="A2821" s="1">
        <f>HYPERLINK("http://www.twitter.com/NathanBLawrence/status/989195677656809472", "989195677656809472")</f>
        <v/>
      </c>
      <c r="B2821" s="2" t="n">
        <v>43215.73150462963</v>
      </c>
      <c r="C2821" t="n">
        <v>0</v>
      </c>
      <c r="D2821" t="n">
        <v>0</v>
      </c>
      <c r="E2821" t="s">
        <v>2579</v>
      </c>
      <c r="F2821" t="s"/>
      <c r="G2821" t="s"/>
      <c r="H2821" t="s"/>
      <c r="I2821" t="s"/>
      <c r="J2821" t="n">
        <v>0</v>
      </c>
      <c r="K2821" t="n">
        <v>0</v>
      </c>
      <c r="L2821" t="n">
        <v>1</v>
      </c>
      <c r="M2821" t="n">
        <v>0</v>
      </c>
    </row>
    <row r="2822" spans="1:13">
      <c r="A2822" s="1">
        <f>HYPERLINK("http://www.twitter.com/NathanBLawrence/status/989194966294581249", "989194966294581249")</f>
        <v/>
      </c>
      <c r="B2822" s="2" t="n">
        <v>43215.72953703703</v>
      </c>
      <c r="C2822" t="n">
        <v>0</v>
      </c>
      <c r="D2822" t="n">
        <v>7</v>
      </c>
      <c r="E2822" t="s">
        <v>2783</v>
      </c>
      <c r="F2822" t="s"/>
      <c r="G2822" t="s"/>
      <c r="H2822" t="s"/>
      <c r="I2822" t="s"/>
      <c r="J2822" t="n">
        <v>-0.4019</v>
      </c>
      <c r="K2822" t="n">
        <v>0.153</v>
      </c>
      <c r="L2822" t="n">
        <v>0.847</v>
      </c>
      <c r="M2822" t="n">
        <v>0</v>
      </c>
    </row>
    <row r="2823" spans="1:13">
      <c r="A2823" s="1">
        <f>HYPERLINK("http://www.twitter.com/NathanBLawrence/status/989194801508704257", "989194801508704257")</f>
        <v/>
      </c>
      <c r="B2823" s="2" t="n">
        <v>43215.72908564815</v>
      </c>
      <c r="C2823" t="n">
        <v>0</v>
      </c>
      <c r="D2823" t="n">
        <v>12</v>
      </c>
      <c r="E2823" t="s">
        <v>2784</v>
      </c>
      <c r="F2823">
        <f>HYPERLINK("http://pbs.twimg.com/media/DbpTV0xXkAA7imT.jpg", "http://pbs.twimg.com/media/DbpTV0xXkAA7imT.jpg")</f>
        <v/>
      </c>
      <c r="G2823" t="s"/>
      <c r="H2823" t="s"/>
      <c r="I2823" t="s"/>
      <c r="J2823" t="n">
        <v>0.7184</v>
      </c>
      <c r="K2823" t="n">
        <v>0</v>
      </c>
      <c r="L2823" t="n">
        <v>0.76</v>
      </c>
      <c r="M2823" t="n">
        <v>0.24</v>
      </c>
    </row>
    <row r="2824" spans="1:13">
      <c r="A2824" s="1">
        <f>HYPERLINK("http://www.twitter.com/NathanBLawrence/status/989194708957171712", "989194708957171712")</f>
        <v/>
      </c>
      <c r="B2824" s="2" t="n">
        <v>43215.72883101852</v>
      </c>
      <c r="C2824" t="n">
        <v>18</v>
      </c>
      <c r="D2824" t="n">
        <v>12</v>
      </c>
      <c r="E2824" t="s">
        <v>2785</v>
      </c>
      <c r="F2824">
        <f>HYPERLINK("http://pbs.twimg.com/media/DbpTV0xXkAA7imT.jpg", "http://pbs.twimg.com/media/DbpTV0xXkAA7imT.jpg")</f>
        <v/>
      </c>
      <c r="G2824" t="s"/>
      <c r="H2824" t="s"/>
      <c r="I2824" t="s"/>
      <c r="J2824" t="n">
        <v>0.7184</v>
      </c>
      <c r="K2824" t="n">
        <v>0</v>
      </c>
      <c r="L2824" t="n">
        <v>0.864</v>
      </c>
      <c r="M2824" t="n">
        <v>0.136</v>
      </c>
    </row>
    <row r="2825" spans="1:13">
      <c r="A2825" s="1">
        <f>HYPERLINK("http://www.twitter.com/NathanBLawrence/status/989193946659213312", "989193946659213312")</f>
        <v/>
      </c>
      <c r="B2825" s="2" t="n">
        <v>43215.72672453704</v>
      </c>
      <c r="C2825" t="n">
        <v>0</v>
      </c>
      <c r="D2825" t="n">
        <v>3</v>
      </c>
      <c r="E2825" t="s">
        <v>2786</v>
      </c>
      <c r="F2825" t="s"/>
      <c r="G2825" t="s"/>
      <c r="H2825" t="s"/>
      <c r="I2825" t="s"/>
      <c r="J2825" t="n">
        <v>0.8188</v>
      </c>
      <c r="K2825" t="n">
        <v>0</v>
      </c>
      <c r="L2825" t="n">
        <v>0.701</v>
      </c>
      <c r="M2825" t="n">
        <v>0.299</v>
      </c>
    </row>
    <row r="2826" spans="1:13">
      <c r="A2826" s="1">
        <f>HYPERLINK("http://www.twitter.com/NathanBLawrence/status/989193778438246400", "989193778438246400")</f>
        <v/>
      </c>
      <c r="B2826" s="2" t="n">
        <v>43215.72626157408</v>
      </c>
      <c r="C2826" t="n">
        <v>3</v>
      </c>
      <c r="D2826" t="n">
        <v>0</v>
      </c>
      <c r="E2826" t="s">
        <v>2787</v>
      </c>
      <c r="F2826" t="s"/>
      <c r="G2826" t="s"/>
      <c r="H2826" t="s"/>
      <c r="I2826" t="s"/>
      <c r="J2826" t="n">
        <v>0</v>
      </c>
      <c r="K2826" t="n">
        <v>0</v>
      </c>
      <c r="L2826" t="n">
        <v>1</v>
      </c>
      <c r="M2826" t="n">
        <v>0</v>
      </c>
    </row>
    <row r="2827" spans="1:13">
      <c r="A2827" s="1">
        <f>HYPERLINK("http://www.twitter.com/NathanBLawrence/status/989192613441036288", "989192613441036288")</f>
        <v/>
      </c>
      <c r="B2827" s="2" t="n">
        <v>43215.72305555556</v>
      </c>
      <c r="C2827" t="n">
        <v>0</v>
      </c>
      <c r="D2827" t="n">
        <v>25</v>
      </c>
      <c r="E2827" t="s">
        <v>2788</v>
      </c>
      <c r="F2827">
        <f>HYPERLINK("http://pbs.twimg.com/media/DbpLpd1XUAEWv5a.jpg", "http://pbs.twimg.com/media/DbpLpd1XUAEWv5a.jpg")</f>
        <v/>
      </c>
      <c r="G2827">
        <f>HYPERLINK("http://pbs.twimg.com/media/DbpLpd0X4AAoUkJ.jpg", "http://pbs.twimg.com/media/DbpLpd0X4AAoUkJ.jpg")</f>
        <v/>
      </c>
      <c r="H2827">
        <f>HYPERLINK("http://pbs.twimg.com/media/DbpLpd0XUAUOJp3.jpg", "http://pbs.twimg.com/media/DbpLpd0XUAUOJp3.jpg")</f>
        <v/>
      </c>
      <c r="I2827">
        <f>HYPERLINK("http://pbs.twimg.com/media/DbpLpd3WkAAJ87I.jpg", "http://pbs.twimg.com/media/DbpLpd3WkAAJ87I.jpg")</f>
        <v/>
      </c>
      <c r="J2827" t="n">
        <v>-0.7906</v>
      </c>
      <c r="K2827" t="n">
        <v>0.269</v>
      </c>
      <c r="L2827" t="n">
        <v>0.731</v>
      </c>
      <c r="M2827" t="n">
        <v>0</v>
      </c>
    </row>
    <row r="2828" spans="1:13">
      <c r="A2828" s="1">
        <f>HYPERLINK("http://www.twitter.com/NathanBLawrence/status/989192543073177600", "989192543073177600")</f>
        <v/>
      </c>
      <c r="B2828" s="2" t="n">
        <v>43215.7228587963</v>
      </c>
      <c r="C2828" t="n">
        <v>0</v>
      </c>
      <c r="D2828" t="n">
        <v>0</v>
      </c>
      <c r="E2828" t="s">
        <v>2789</v>
      </c>
      <c r="F2828" t="s"/>
      <c r="G2828" t="s"/>
      <c r="H2828" t="s"/>
      <c r="I2828" t="s"/>
      <c r="J2828" t="n">
        <v>0</v>
      </c>
      <c r="K2828" t="n">
        <v>0</v>
      </c>
      <c r="L2828" t="n">
        <v>1</v>
      </c>
      <c r="M2828" t="n">
        <v>0</v>
      </c>
    </row>
    <row r="2829" spans="1:13">
      <c r="A2829" s="1">
        <f>HYPERLINK("http://www.twitter.com/NathanBLawrence/status/989192475024744448", "989192475024744448")</f>
        <v/>
      </c>
      <c r="B2829" s="2" t="n">
        <v>43215.72267361111</v>
      </c>
      <c r="C2829" t="n">
        <v>2</v>
      </c>
      <c r="D2829" t="n">
        <v>0</v>
      </c>
      <c r="E2829" t="s">
        <v>2579</v>
      </c>
      <c r="F2829" t="s"/>
      <c r="G2829" t="s"/>
      <c r="H2829" t="s"/>
      <c r="I2829" t="s"/>
      <c r="J2829" t="n">
        <v>0</v>
      </c>
      <c r="K2829" t="n">
        <v>0</v>
      </c>
      <c r="L2829" t="n">
        <v>1</v>
      </c>
      <c r="M2829" t="n">
        <v>0</v>
      </c>
    </row>
    <row r="2830" spans="1:13">
      <c r="A2830" s="1">
        <f>HYPERLINK("http://www.twitter.com/NathanBLawrence/status/989191060713803777", "989191060713803777")</f>
        <v/>
      </c>
      <c r="B2830" s="2" t="n">
        <v>43215.71876157408</v>
      </c>
      <c r="C2830" t="n">
        <v>0</v>
      </c>
      <c r="D2830" t="n">
        <v>13</v>
      </c>
      <c r="E2830" t="s">
        <v>2735</v>
      </c>
      <c r="F2830">
        <f>HYPERLINK("http://pbs.twimg.com/media/DbpOJ2ZUwAEjEXr.jpg", "http://pbs.twimg.com/media/DbpOJ2ZUwAEjEXr.jpg")</f>
        <v/>
      </c>
      <c r="G2830" t="s"/>
      <c r="H2830" t="s"/>
      <c r="I2830" t="s"/>
      <c r="J2830" t="n">
        <v>0</v>
      </c>
      <c r="K2830" t="n">
        <v>0</v>
      </c>
      <c r="L2830" t="n">
        <v>1</v>
      </c>
      <c r="M2830" t="n">
        <v>0</v>
      </c>
    </row>
    <row r="2831" spans="1:13">
      <c r="A2831" s="1">
        <f>HYPERLINK("http://www.twitter.com/NathanBLawrence/status/989189005345509382", "989189005345509382")</f>
        <v/>
      </c>
      <c r="B2831" s="2" t="n">
        <v>43215.71309027778</v>
      </c>
      <c r="C2831" t="n">
        <v>22</v>
      </c>
      <c r="D2831" t="n">
        <v>13</v>
      </c>
      <c r="E2831" t="s">
        <v>2790</v>
      </c>
      <c r="F2831">
        <f>HYPERLINK("http://pbs.twimg.com/media/DbpOJ2ZUwAEjEXr.jpg", "http://pbs.twimg.com/media/DbpOJ2ZUwAEjEXr.jpg")</f>
        <v/>
      </c>
      <c r="G2831" t="s"/>
      <c r="H2831" t="s"/>
      <c r="I2831" t="s"/>
      <c r="J2831" t="n">
        <v>0</v>
      </c>
      <c r="K2831" t="n">
        <v>0</v>
      </c>
      <c r="L2831" t="n">
        <v>1</v>
      </c>
      <c r="M2831" t="n">
        <v>0</v>
      </c>
    </row>
    <row r="2832" spans="1:13">
      <c r="A2832" s="1">
        <f>HYPERLINK("http://www.twitter.com/NathanBLawrence/status/989186926753275905", "989186926753275905")</f>
        <v/>
      </c>
      <c r="B2832" s="2" t="n">
        <v>43215.70736111111</v>
      </c>
      <c r="C2832" t="n">
        <v>0</v>
      </c>
      <c r="D2832" t="n">
        <v>17</v>
      </c>
      <c r="E2832" t="s">
        <v>2791</v>
      </c>
      <c r="F2832" t="s"/>
      <c r="G2832" t="s"/>
      <c r="H2832" t="s"/>
      <c r="I2832" t="s"/>
      <c r="J2832" t="n">
        <v>0.0258</v>
      </c>
      <c r="K2832" t="n">
        <v>0.103</v>
      </c>
      <c r="L2832" t="n">
        <v>0.791</v>
      </c>
      <c r="M2832" t="n">
        <v>0.107</v>
      </c>
    </row>
    <row r="2833" spans="1:13">
      <c r="A2833" s="1">
        <f>HYPERLINK("http://www.twitter.com/NathanBLawrence/status/989186917270016000", "989186917270016000")</f>
        <v/>
      </c>
      <c r="B2833" s="2" t="n">
        <v>43215.70732638889</v>
      </c>
      <c r="C2833" t="n">
        <v>8</v>
      </c>
      <c r="D2833" t="n">
        <v>8</v>
      </c>
      <c r="E2833" t="s">
        <v>2792</v>
      </c>
      <c r="F2833" t="s"/>
      <c r="G2833" t="s"/>
      <c r="H2833" t="s"/>
      <c r="I2833" t="s"/>
      <c r="J2833" t="n">
        <v>-0.25</v>
      </c>
      <c r="K2833" t="n">
        <v>0.13</v>
      </c>
      <c r="L2833" t="n">
        <v>0.775</v>
      </c>
      <c r="M2833" t="n">
        <v>0.095</v>
      </c>
    </row>
    <row r="2834" spans="1:13">
      <c r="A2834" s="1">
        <f>HYPERLINK("http://www.twitter.com/NathanBLawrence/status/989186251176726533", "989186251176726533")</f>
        <v/>
      </c>
      <c r="B2834" s="2" t="n">
        <v>43215.70549768519</v>
      </c>
      <c r="C2834" t="n">
        <v>38</v>
      </c>
      <c r="D2834" t="n">
        <v>25</v>
      </c>
      <c r="E2834" t="s">
        <v>2793</v>
      </c>
      <c r="F2834">
        <f>HYPERLINK("http://pbs.twimg.com/media/DbpLpd1XUAEWv5a.jpg", "http://pbs.twimg.com/media/DbpLpd1XUAEWv5a.jpg")</f>
        <v/>
      </c>
      <c r="G2834">
        <f>HYPERLINK("http://pbs.twimg.com/media/DbpLpd0X4AAoUkJ.jpg", "http://pbs.twimg.com/media/DbpLpd0X4AAoUkJ.jpg")</f>
        <v/>
      </c>
      <c r="H2834">
        <f>HYPERLINK("http://pbs.twimg.com/media/DbpLpd0XUAUOJp3.jpg", "http://pbs.twimg.com/media/DbpLpd0XUAUOJp3.jpg")</f>
        <v/>
      </c>
      <c r="I2834">
        <f>HYPERLINK("http://pbs.twimg.com/media/DbpLpd3WkAAJ87I.jpg", "http://pbs.twimg.com/media/DbpLpd3WkAAJ87I.jpg")</f>
        <v/>
      </c>
      <c r="J2834" t="n">
        <v>-0.6705</v>
      </c>
      <c r="K2834" t="n">
        <v>0.141</v>
      </c>
      <c r="L2834" t="n">
        <v>0.8080000000000001</v>
      </c>
      <c r="M2834" t="n">
        <v>0.051</v>
      </c>
    </row>
    <row r="2835" spans="1:13">
      <c r="A2835" s="1">
        <f>HYPERLINK("http://www.twitter.com/NathanBLawrence/status/989179256566636544", "989179256566636544")</f>
        <v/>
      </c>
      <c r="B2835" s="2" t="n">
        <v>43215.68619212963</v>
      </c>
      <c r="C2835" t="n">
        <v>0</v>
      </c>
      <c r="D2835" t="n">
        <v>9</v>
      </c>
      <c r="E2835" t="s">
        <v>2794</v>
      </c>
      <c r="F2835">
        <f>HYPERLINK("http://pbs.twimg.com/media/DboPyUiU0AEkNSa.jpg", "http://pbs.twimg.com/media/DboPyUiU0AEkNSa.jpg")</f>
        <v/>
      </c>
      <c r="G2835" t="s"/>
      <c r="H2835" t="s"/>
      <c r="I2835" t="s"/>
      <c r="J2835" t="n">
        <v>0.6486</v>
      </c>
      <c r="K2835" t="n">
        <v>0</v>
      </c>
      <c r="L2835" t="n">
        <v>0.751</v>
      </c>
      <c r="M2835" t="n">
        <v>0.249</v>
      </c>
    </row>
    <row r="2836" spans="1:13">
      <c r="A2836" s="1">
        <f>HYPERLINK("http://www.twitter.com/NathanBLawrence/status/989179187335397377", "989179187335397377")</f>
        <v/>
      </c>
      <c r="B2836" s="2" t="n">
        <v>43215.68599537037</v>
      </c>
      <c r="C2836" t="n">
        <v>0</v>
      </c>
      <c r="D2836" t="n">
        <v>6</v>
      </c>
      <c r="E2836" t="s">
        <v>2795</v>
      </c>
      <c r="F2836" t="s"/>
      <c r="G2836" t="s"/>
      <c r="H2836" t="s"/>
      <c r="I2836" t="s"/>
      <c r="J2836" t="n">
        <v>-0.296</v>
      </c>
      <c r="K2836" t="n">
        <v>0.091</v>
      </c>
      <c r="L2836" t="n">
        <v>0.909</v>
      </c>
      <c r="M2836" t="n">
        <v>0</v>
      </c>
    </row>
    <row r="2837" spans="1:13">
      <c r="A2837" s="1">
        <f>HYPERLINK("http://www.twitter.com/NathanBLawrence/status/989179176711319554", "989179176711319554")</f>
        <v/>
      </c>
      <c r="B2837" s="2" t="n">
        <v>43215.68597222222</v>
      </c>
      <c r="C2837" t="n">
        <v>0</v>
      </c>
      <c r="D2837" t="n">
        <v>10</v>
      </c>
      <c r="E2837" t="s">
        <v>2796</v>
      </c>
      <c r="F2837" t="s"/>
      <c r="G2837" t="s"/>
      <c r="H2837" t="s"/>
      <c r="I2837" t="s"/>
      <c r="J2837" t="n">
        <v>-0.3753</v>
      </c>
      <c r="K2837" t="n">
        <v>0.105</v>
      </c>
      <c r="L2837" t="n">
        <v>0.895</v>
      </c>
      <c r="M2837" t="n">
        <v>0</v>
      </c>
    </row>
    <row r="2838" spans="1:13">
      <c r="A2838" s="1">
        <f>HYPERLINK("http://www.twitter.com/NathanBLawrence/status/989178493677301760", "989178493677301760")</f>
        <v/>
      </c>
      <c r="B2838" s="2" t="n">
        <v>43215.68408564815</v>
      </c>
      <c r="C2838" t="n">
        <v>1</v>
      </c>
      <c r="D2838" t="n">
        <v>0</v>
      </c>
      <c r="E2838" t="s">
        <v>2797</v>
      </c>
      <c r="F2838" t="s"/>
      <c r="G2838" t="s"/>
      <c r="H2838" t="s"/>
      <c r="I2838" t="s"/>
      <c r="J2838" t="n">
        <v>0</v>
      </c>
      <c r="K2838" t="n">
        <v>0</v>
      </c>
      <c r="L2838" t="n">
        <v>1</v>
      </c>
      <c r="M2838" t="n">
        <v>0</v>
      </c>
    </row>
    <row r="2839" spans="1:13">
      <c r="A2839" s="1">
        <f>HYPERLINK("http://www.twitter.com/NathanBLawrence/status/989178371333648384", "989178371333648384")</f>
        <v/>
      </c>
      <c r="B2839" s="2" t="n">
        <v>43215.68375</v>
      </c>
      <c r="C2839" t="n">
        <v>0</v>
      </c>
      <c r="D2839" t="n">
        <v>10</v>
      </c>
      <c r="E2839" t="s">
        <v>2798</v>
      </c>
      <c r="F2839" t="s"/>
      <c r="G2839" t="s"/>
      <c r="H2839" t="s"/>
      <c r="I2839" t="s"/>
      <c r="J2839" t="n">
        <v>-0.7783</v>
      </c>
      <c r="K2839" t="n">
        <v>0.312</v>
      </c>
      <c r="L2839" t="n">
        <v>0.6879999999999999</v>
      </c>
      <c r="M2839" t="n">
        <v>0</v>
      </c>
    </row>
    <row r="2840" spans="1:13">
      <c r="A2840" s="1">
        <f>HYPERLINK("http://www.twitter.com/NathanBLawrence/status/989178173198929923", "989178173198929923")</f>
        <v/>
      </c>
      <c r="B2840" s="2" t="n">
        <v>43215.68320601852</v>
      </c>
      <c r="C2840" t="n">
        <v>12</v>
      </c>
      <c r="D2840" t="n">
        <v>10</v>
      </c>
      <c r="E2840" t="s">
        <v>2799</v>
      </c>
      <c r="F2840" t="s"/>
      <c r="G2840" t="s"/>
      <c r="H2840" t="s"/>
      <c r="I2840" t="s"/>
      <c r="J2840" t="n">
        <v>-0.9019</v>
      </c>
      <c r="K2840" t="n">
        <v>0.302</v>
      </c>
      <c r="L2840" t="n">
        <v>0.698</v>
      </c>
      <c r="M2840" t="n">
        <v>0</v>
      </c>
    </row>
    <row r="2841" spans="1:13">
      <c r="A2841" s="1">
        <f>HYPERLINK("http://www.twitter.com/NathanBLawrence/status/989175636722900993", "989175636722900993")</f>
        <v/>
      </c>
      <c r="B2841" s="2" t="n">
        <v>43215.6762037037</v>
      </c>
      <c r="C2841" t="n">
        <v>0</v>
      </c>
      <c r="D2841" t="n">
        <v>63</v>
      </c>
      <c r="E2841" t="s">
        <v>2800</v>
      </c>
      <c r="F2841" t="s"/>
      <c r="G2841" t="s"/>
      <c r="H2841" t="s"/>
      <c r="I2841" t="s"/>
      <c r="J2841" t="n">
        <v>0</v>
      </c>
      <c r="K2841" t="n">
        <v>0</v>
      </c>
      <c r="L2841" t="n">
        <v>1</v>
      </c>
      <c r="M2841" t="n">
        <v>0</v>
      </c>
    </row>
    <row r="2842" spans="1:13">
      <c r="A2842" s="1">
        <f>HYPERLINK("http://www.twitter.com/NathanBLawrence/status/989175542359511041", "989175542359511041")</f>
        <v/>
      </c>
      <c r="B2842" s="2" t="n">
        <v>43215.6759375</v>
      </c>
      <c r="C2842" t="n">
        <v>0</v>
      </c>
      <c r="D2842" t="n">
        <v>5</v>
      </c>
      <c r="E2842" t="s">
        <v>2801</v>
      </c>
      <c r="F2842" t="s"/>
      <c r="G2842" t="s"/>
      <c r="H2842" t="s"/>
      <c r="I2842" t="s"/>
      <c r="J2842" t="n">
        <v>0.3612</v>
      </c>
      <c r="K2842" t="n">
        <v>0</v>
      </c>
      <c r="L2842" t="n">
        <v>0.872</v>
      </c>
      <c r="M2842" t="n">
        <v>0.128</v>
      </c>
    </row>
    <row r="2843" spans="1:13">
      <c r="A2843" s="1">
        <f>HYPERLINK("http://www.twitter.com/NathanBLawrence/status/989175250993668096", "989175250993668096")</f>
        <v/>
      </c>
      <c r="B2843" s="2" t="n">
        <v>43215.67513888889</v>
      </c>
      <c r="C2843" t="n">
        <v>9</v>
      </c>
      <c r="D2843" t="n">
        <v>5</v>
      </c>
      <c r="E2843" t="s">
        <v>2802</v>
      </c>
      <c r="F2843" t="s"/>
      <c r="G2843" t="s"/>
      <c r="H2843" t="s"/>
      <c r="I2843" t="s"/>
      <c r="J2843" t="n">
        <v>0.6124000000000001</v>
      </c>
      <c r="K2843" t="n">
        <v>0</v>
      </c>
      <c r="L2843" t="n">
        <v>0.878</v>
      </c>
      <c r="M2843" t="n">
        <v>0.122</v>
      </c>
    </row>
    <row r="2844" spans="1:13">
      <c r="A2844" s="1">
        <f>HYPERLINK("http://www.twitter.com/NathanBLawrence/status/989174585747795969", "989174585747795969")</f>
        <v/>
      </c>
      <c r="B2844" s="2" t="n">
        <v>43215.67329861111</v>
      </c>
      <c r="C2844" t="n">
        <v>0</v>
      </c>
      <c r="D2844" t="n">
        <v>6</v>
      </c>
      <c r="E2844" t="s">
        <v>2803</v>
      </c>
      <c r="F2844" t="s"/>
      <c r="G2844" t="s"/>
      <c r="H2844" t="s"/>
      <c r="I2844" t="s"/>
      <c r="J2844" t="n">
        <v>0.3612</v>
      </c>
      <c r="K2844" t="n">
        <v>0</v>
      </c>
      <c r="L2844" t="n">
        <v>0.878</v>
      </c>
      <c r="M2844" t="n">
        <v>0.122</v>
      </c>
    </row>
    <row r="2845" spans="1:13">
      <c r="A2845" s="1">
        <f>HYPERLINK("http://www.twitter.com/NathanBLawrence/status/989174079658872832", "989174079658872832")</f>
        <v/>
      </c>
      <c r="B2845" s="2" t="n">
        <v>43215.67190972222</v>
      </c>
      <c r="C2845" t="n">
        <v>0</v>
      </c>
      <c r="D2845" t="n">
        <v>5</v>
      </c>
      <c r="E2845" t="s">
        <v>2804</v>
      </c>
      <c r="F2845" t="s"/>
      <c r="G2845" t="s"/>
      <c r="H2845" t="s"/>
      <c r="I2845" t="s"/>
      <c r="J2845" t="n">
        <v>-0.6597</v>
      </c>
      <c r="K2845" t="n">
        <v>0.19</v>
      </c>
      <c r="L2845" t="n">
        <v>0.8100000000000001</v>
      </c>
      <c r="M2845" t="n">
        <v>0</v>
      </c>
    </row>
    <row r="2846" spans="1:13">
      <c r="A2846" s="1">
        <f>HYPERLINK("http://www.twitter.com/NathanBLawrence/status/989174001317695493", "989174001317695493")</f>
        <v/>
      </c>
      <c r="B2846" s="2" t="n">
        <v>43215.67168981482</v>
      </c>
      <c r="C2846" t="n">
        <v>7</v>
      </c>
      <c r="D2846" t="n">
        <v>6</v>
      </c>
      <c r="E2846" t="s">
        <v>2805</v>
      </c>
      <c r="F2846" t="s"/>
      <c r="G2846" t="s"/>
      <c r="H2846" t="s"/>
      <c r="I2846" t="s"/>
      <c r="J2846" t="n">
        <v>0.6124000000000001</v>
      </c>
      <c r="K2846" t="n">
        <v>0</v>
      </c>
      <c r="L2846" t="n">
        <v>0.878</v>
      </c>
      <c r="M2846" t="n">
        <v>0.122</v>
      </c>
    </row>
    <row r="2847" spans="1:13">
      <c r="A2847" s="1">
        <f>HYPERLINK("http://www.twitter.com/NathanBLawrence/status/989172760088805376", "989172760088805376")</f>
        <v/>
      </c>
      <c r="B2847" s="2" t="n">
        <v>43215.66826388889</v>
      </c>
      <c r="C2847" t="n">
        <v>4</v>
      </c>
      <c r="D2847" t="n">
        <v>1</v>
      </c>
      <c r="E2847" t="s">
        <v>2806</v>
      </c>
      <c r="F2847">
        <f>HYPERLINK("https://video.twimg.com/ext_tw_video/989172703461560320/pu/vid/1280x720/YvzboXyTHavQmeeU.mp4?tag=3", "https://video.twimg.com/ext_tw_video/989172703461560320/pu/vid/1280x720/YvzboXyTHavQmeeU.mp4?tag=3")</f>
        <v/>
      </c>
      <c r="G2847" t="s"/>
      <c r="H2847" t="s"/>
      <c r="I2847" t="s"/>
      <c r="J2847" t="n">
        <v>0</v>
      </c>
      <c r="K2847" t="n">
        <v>0</v>
      </c>
      <c r="L2847" t="n">
        <v>1</v>
      </c>
      <c r="M2847" t="n">
        <v>0</v>
      </c>
    </row>
    <row r="2848" spans="1:13">
      <c r="A2848" s="1">
        <f>HYPERLINK("http://www.twitter.com/NathanBLawrence/status/989166206614671360", "989166206614671360")</f>
        <v/>
      </c>
      <c r="B2848" s="2" t="n">
        <v>43215.65018518519</v>
      </c>
      <c r="C2848" t="n">
        <v>0</v>
      </c>
      <c r="D2848" t="n">
        <v>6</v>
      </c>
      <c r="E2848" t="s">
        <v>2807</v>
      </c>
      <c r="F2848" t="s"/>
      <c r="G2848" t="s"/>
      <c r="H2848" t="s"/>
      <c r="I2848" t="s"/>
      <c r="J2848" t="n">
        <v>0</v>
      </c>
      <c r="K2848" t="n">
        <v>0</v>
      </c>
      <c r="L2848" t="n">
        <v>1</v>
      </c>
      <c r="M2848" t="n">
        <v>0</v>
      </c>
    </row>
    <row r="2849" spans="1:13">
      <c r="A2849" s="1">
        <f>HYPERLINK("http://www.twitter.com/NathanBLawrence/status/989150256993591296", "989150256993591296")</f>
        <v/>
      </c>
      <c r="B2849" s="2" t="n">
        <v>43215.60616898148</v>
      </c>
      <c r="C2849" t="n">
        <v>0</v>
      </c>
      <c r="D2849" t="n">
        <v>5</v>
      </c>
      <c r="E2849" t="s">
        <v>2808</v>
      </c>
      <c r="F2849">
        <f>HYPERLINK("http://pbs.twimg.com/media/DboqLRPU8AYLaBS.jpg", "http://pbs.twimg.com/media/DboqLRPU8AYLaBS.jpg")</f>
        <v/>
      </c>
      <c r="G2849" t="s"/>
      <c r="H2849" t="s"/>
      <c r="I2849" t="s"/>
      <c r="J2849" t="n">
        <v>-0.8442</v>
      </c>
      <c r="K2849" t="n">
        <v>0.394</v>
      </c>
      <c r="L2849" t="n">
        <v>0.606</v>
      </c>
      <c r="M2849" t="n">
        <v>0</v>
      </c>
    </row>
    <row r="2850" spans="1:13">
      <c r="A2850" s="1">
        <f>HYPERLINK("http://www.twitter.com/NathanBLawrence/status/989148717306601472", "989148717306601472")</f>
        <v/>
      </c>
      <c r="B2850" s="2" t="n">
        <v>43215.60192129629</v>
      </c>
      <c r="C2850" t="n">
        <v>1</v>
      </c>
      <c r="D2850" t="n">
        <v>1</v>
      </c>
      <c r="E2850" t="s">
        <v>2809</v>
      </c>
      <c r="F2850">
        <f>HYPERLINK("http://pbs.twimg.com/media/DbopfkbVQAA4MEK.jpg", "http://pbs.twimg.com/media/DbopfkbVQAA4MEK.jpg")</f>
        <v/>
      </c>
      <c r="G2850" t="s"/>
      <c r="H2850" t="s"/>
      <c r="I2850" t="s"/>
      <c r="J2850" t="n">
        <v>0</v>
      </c>
      <c r="K2850" t="n">
        <v>0</v>
      </c>
      <c r="L2850" t="n">
        <v>1</v>
      </c>
      <c r="M2850" t="n">
        <v>0</v>
      </c>
    </row>
    <row r="2851" spans="1:13">
      <c r="A2851" s="1">
        <f>HYPERLINK("http://www.twitter.com/NathanBLawrence/status/989148238635786241", "989148238635786241")</f>
        <v/>
      </c>
      <c r="B2851" s="2" t="n">
        <v>43215.60060185185</v>
      </c>
      <c r="C2851" t="n">
        <v>0</v>
      </c>
      <c r="D2851" t="n">
        <v>9</v>
      </c>
      <c r="E2851" t="s">
        <v>2810</v>
      </c>
      <c r="F2851" t="s"/>
      <c r="G2851" t="s"/>
      <c r="H2851" t="s"/>
      <c r="I2851" t="s"/>
      <c r="J2851" t="n">
        <v>0</v>
      </c>
      <c r="K2851" t="n">
        <v>0</v>
      </c>
      <c r="L2851" t="n">
        <v>1</v>
      </c>
      <c r="M2851" t="n">
        <v>0</v>
      </c>
    </row>
    <row r="2852" spans="1:13">
      <c r="A2852" s="1">
        <f>HYPERLINK("http://www.twitter.com/NathanBLawrence/status/989148170054758400", "989148170054758400")</f>
        <v/>
      </c>
      <c r="B2852" s="2" t="n">
        <v>43215.60040509259</v>
      </c>
      <c r="C2852" t="n">
        <v>0</v>
      </c>
      <c r="D2852" t="n">
        <v>4</v>
      </c>
      <c r="E2852" t="s">
        <v>2811</v>
      </c>
      <c r="F2852" t="s"/>
      <c r="G2852" t="s"/>
      <c r="H2852" t="s"/>
      <c r="I2852" t="s"/>
      <c r="J2852" t="n">
        <v>-0.836</v>
      </c>
      <c r="K2852" t="n">
        <v>0.355</v>
      </c>
      <c r="L2852" t="n">
        <v>0.645</v>
      </c>
      <c r="M2852" t="n">
        <v>0</v>
      </c>
    </row>
    <row r="2853" spans="1:13">
      <c r="A2853" s="1">
        <f>HYPERLINK("http://www.twitter.com/NathanBLawrence/status/989148096239153152", "989148096239153152")</f>
        <v/>
      </c>
      <c r="B2853" s="2" t="n">
        <v>43215.60020833334</v>
      </c>
      <c r="C2853" t="n">
        <v>13</v>
      </c>
      <c r="D2853" t="n">
        <v>9</v>
      </c>
      <c r="E2853" t="s">
        <v>2812</v>
      </c>
      <c r="F2853" t="s"/>
      <c r="G2853" t="s"/>
      <c r="H2853" t="s"/>
      <c r="I2853" t="s"/>
      <c r="J2853" t="n">
        <v>-0.6249</v>
      </c>
      <c r="K2853" t="n">
        <v>0.137</v>
      </c>
      <c r="L2853" t="n">
        <v>0.863</v>
      </c>
      <c r="M2853" t="n">
        <v>0</v>
      </c>
    </row>
    <row r="2854" spans="1:13">
      <c r="A2854" s="1">
        <f>HYPERLINK("http://www.twitter.com/NathanBLawrence/status/989147620147908613", "989147620147908613")</f>
        <v/>
      </c>
      <c r="B2854" s="2" t="n">
        <v>43215.59888888889</v>
      </c>
      <c r="C2854" t="n">
        <v>0</v>
      </c>
      <c r="D2854" t="n">
        <v>5</v>
      </c>
      <c r="E2854" t="s">
        <v>2813</v>
      </c>
      <c r="F2854">
        <f>HYPERLINK("http://pbs.twimg.com/media/DbonUjXUwAAg_Jp.jpg", "http://pbs.twimg.com/media/DbonUjXUwAAg_Jp.jpg")</f>
        <v/>
      </c>
      <c r="G2854" t="s"/>
      <c r="H2854" t="s"/>
      <c r="I2854" t="s"/>
      <c r="J2854" t="n">
        <v>0.4019</v>
      </c>
      <c r="K2854" t="n">
        <v>0</v>
      </c>
      <c r="L2854" t="n">
        <v>0.87</v>
      </c>
      <c r="M2854" t="n">
        <v>0.13</v>
      </c>
    </row>
    <row r="2855" spans="1:13">
      <c r="A2855" s="1">
        <f>HYPERLINK("http://www.twitter.com/NathanBLawrence/status/989138671931707393", "989138671931707393")</f>
        <v/>
      </c>
      <c r="B2855" s="2" t="n">
        <v>43215.57420138889</v>
      </c>
      <c r="C2855" t="n">
        <v>0</v>
      </c>
      <c r="D2855" t="n">
        <v>10</v>
      </c>
      <c r="E2855" t="s">
        <v>2814</v>
      </c>
      <c r="F2855">
        <f>HYPERLINK("http://pbs.twimg.com/media/DbofFlwWkAAZSSG.jpg", "http://pbs.twimg.com/media/DbofFlwWkAAZSSG.jpg")</f>
        <v/>
      </c>
      <c r="G2855" t="s"/>
      <c r="H2855" t="s"/>
      <c r="I2855" t="s"/>
      <c r="J2855" t="n">
        <v>0.4404</v>
      </c>
      <c r="K2855" t="n">
        <v>0</v>
      </c>
      <c r="L2855" t="n">
        <v>0.8179999999999999</v>
      </c>
      <c r="M2855" t="n">
        <v>0.182</v>
      </c>
    </row>
    <row r="2856" spans="1:13">
      <c r="A2856" s="1">
        <f>HYPERLINK("http://www.twitter.com/NathanBLawrence/status/989137255418744833", "989137255418744833")</f>
        <v/>
      </c>
      <c r="B2856" s="2" t="n">
        <v>43215.57028935185</v>
      </c>
      <c r="C2856" t="n">
        <v>13</v>
      </c>
      <c r="D2856" t="n">
        <v>10</v>
      </c>
      <c r="E2856" t="s">
        <v>2815</v>
      </c>
      <c r="F2856">
        <f>HYPERLINK("http://pbs.twimg.com/media/DbofFlwWkAAZSSG.jpg", "http://pbs.twimg.com/media/DbofFlwWkAAZSSG.jpg")</f>
        <v/>
      </c>
      <c r="G2856" t="s"/>
      <c r="H2856" t="s"/>
      <c r="I2856" t="s"/>
      <c r="J2856" t="n">
        <v>0.5513</v>
      </c>
      <c r="K2856" t="n">
        <v>0.079</v>
      </c>
      <c r="L2856" t="n">
        <v>0.756</v>
      </c>
      <c r="M2856" t="n">
        <v>0.166</v>
      </c>
    </row>
    <row r="2857" spans="1:13">
      <c r="A2857" s="1">
        <f>HYPERLINK("http://www.twitter.com/NathanBLawrence/status/988998234017234944", "988998234017234944")</f>
        <v/>
      </c>
      <c r="B2857" s="2" t="n">
        <v>43215.18666666667</v>
      </c>
      <c r="C2857" t="n">
        <v>0</v>
      </c>
      <c r="D2857" t="n">
        <v>14</v>
      </c>
      <c r="E2857" t="s">
        <v>2816</v>
      </c>
      <c r="F2857" t="s"/>
      <c r="G2857" t="s"/>
      <c r="H2857" t="s"/>
      <c r="I2857" t="s"/>
      <c r="J2857" t="n">
        <v>-0.8316</v>
      </c>
      <c r="K2857" t="n">
        <v>0.353</v>
      </c>
      <c r="L2857" t="n">
        <v>0.647</v>
      </c>
      <c r="M2857" t="n">
        <v>0</v>
      </c>
    </row>
    <row r="2858" spans="1:13">
      <c r="A2858" s="1">
        <f>HYPERLINK("http://www.twitter.com/NathanBLawrence/status/988983965821399041", "988983965821399041")</f>
        <v/>
      </c>
      <c r="B2858" s="2" t="n">
        <v>43215.14729166667</v>
      </c>
      <c r="C2858" t="n">
        <v>5</v>
      </c>
      <c r="D2858" t="n">
        <v>4</v>
      </c>
      <c r="E2858" t="s">
        <v>2817</v>
      </c>
      <c r="F2858" t="s"/>
      <c r="G2858" t="s"/>
      <c r="H2858" t="s"/>
      <c r="I2858" t="s"/>
      <c r="J2858" t="n">
        <v>-0.802</v>
      </c>
      <c r="K2858" t="n">
        <v>0.247</v>
      </c>
      <c r="L2858" t="n">
        <v>0.663</v>
      </c>
      <c r="M2858" t="n">
        <v>0.09</v>
      </c>
    </row>
    <row r="2859" spans="1:13">
      <c r="A2859" s="1">
        <f>HYPERLINK("http://www.twitter.com/NathanBLawrence/status/988982947888984065", "988982947888984065")</f>
        <v/>
      </c>
      <c r="B2859" s="2" t="n">
        <v>43215.14447916667</v>
      </c>
      <c r="C2859" t="n">
        <v>21</v>
      </c>
      <c r="D2859" t="n">
        <v>14</v>
      </c>
      <c r="E2859" t="s">
        <v>2818</v>
      </c>
      <c r="F2859" t="s"/>
      <c r="G2859" t="s"/>
      <c r="H2859" t="s"/>
      <c r="I2859" t="s"/>
      <c r="J2859" t="n">
        <v>-0.802</v>
      </c>
      <c r="K2859" t="n">
        <v>0.247</v>
      </c>
      <c r="L2859" t="n">
        <v>0.663</v>
      </c>
      <c r="M2859" t="n">
        <v>0.09</v>
      </c>
    </row>
    <row r="2860" spans="1:13">
      <c r="A2860" s="1">
        <f>HYPERLINK("http://www.twitter.com/NathanBLawrence/status/988958431712247810", "988958431712247810")</f>
        <v/>
      </c>
      <c r="B2860" s="2" t="n">
        <v>43215.07682870371</v>
      </c>
      <c r="C2860" t="n">
        <v>0</v>
      </c>
      <c r="D2860" t="n">
        <v>20375</v>
      </c>
      <c r="E2860" t="s">
        <v>2819</v>
      </c>
      <c r="F2860">
        <f>HYPERLINK("https://video.twimg.com/amplify_video/988872084850925568/vid/1280x720/Wl0mcArI9_gZL4M6.mp4?tag=2", "https://video.twimg.com/amplify_video/988872084850925568/vid/1280x720/Wl0mcArI9_gZL4M6.mp4?tag=2")</f>
        <v/>
      </c>
      <c r="G2860" t="s"/>
      <c r="H2860" t="s"/>
      <c r="I2860" t="s"/>
      <c r="J2860" t="n">
        <v>0.6249</v>
      </c>
      <c r="K2860" t="n">
        <v>0</v>
      </c>
      <c r="L2860" t="n">
        <v>0.837</v>
      </c>
      <c r="M2860" t="n">
        <v>0.163</v>
      </c>
    </row>
    <row r="2861" spans="1:13">
      <c r="A2861" s="1">
        <f>HYPERLINK("http://www.twitter.com/NathanBLawrence/status/988940122925170688", "988940122925170688")</f>
        <v/>
      </c>
      <c r="B2861" s="2" t="n">
        <v>43215.02630787037</v>
      </c>
      <c r="C2861" t="n">
        <v>0</v>
      </c>
      <c r="D2861" t="n">
        <v>2089</v>
      </c>
      <c r="E2861" t="s">
        <v>2820</v>
      </c>
      <c r="F2861" t="s"/>
      <c r="G2861" t="s"/>
      <c r="H2861" t="s"/>
      <c r="I2861" t="s"/>
      <c r="J2861" t="n">
        <v>-0.4404</v>
      </c>
      <c r="K2861" t="n">
        <v>0.127</v>
      </c>
      <c r="L2861" t="n">
        <v>0.873</v>
      </c>
      <c r="M2861" t="n">
        <v>0</v>
      </c>
    </row>
    <row r="2862" spans="1:13">
      <c r="A2862" s="1">
        <f>HYPERLINK("http://www.twitter.com/NathanBLawrence/status/988940034479919105", "988940034479919105")</f>
        <v/>
      </c>
      <c r="B2862" s="2" t="n">
        <v>43215.02606481482</v>
      </c>
      <c r="C2862" t="n">
        <v>0</v>
      </c>
      <c r="D2862" t="n">
        <v>4492</v>
      </c>
      <c r="E2862" t="s">
        <v>2821</v>
      </c>
      <c r="F2862" t="s"/>
      <c r="G2862" t="s"/>
      <c r="H2862" t="s"/>
      <c r="I2862" t="s"/>
      <c r="J2862" t="n">
        <v>-0.2023</v>
      </c>
      <c r="K2862" t="n">
        <v>0.097</v>
      </c>
      <c r="L2862" t="n">
        <v>0.841</v>
      </c>
      <c r="M2862" t="n">
        <v>0.062</v>
      </c>
    </row>
    <row r="2863" spans="1:13">
      <c r="A2863" s="1">
        <f>HYPERLINK("http://www.twitter.com/NathanBLawrence/status/988940006310973440", "988940006310973440")</f>
        <v/>
      </c>
      <c r="B2863" s="2" t="n">
        <v>43215.02598379629</v>
      </c>
      <c r="C2863" t="n">
        <v>0</v>
      </c>
      <c r="D2863" t="n">
        <v>101</v>
      </c>
      <c r="E2863" t="s">
        <v>2822</v>
      </c>
      <c r="F2863">
        <f>HYPERLINK("http://pbs.twimg.com/media/DblWGVnWAAAhDF_.jpg", "http://pbs.twimg.com/media/DblWGVnWAAAhDF_.jpg")</f>
        <v/>
      </c>
      <c r="G2863" t="s"/>
      <c r="H2863" t="s"/>
      <c r="I2863" t="s"/>
      <c r="J2863" t="n">
        <v>0.5719</v>
      </c>
      <c r="K2863" t="n">
        <v>0</v>
      </c>
      <c r="L2863" t="n">
        <v>0.575</v>
      </c>
      <c r="M2863" t="n">
        <v>0.425</v>
      </c>
    </row>
    <row r="2864" spans="1:13">
      <c r="A2864" s="1">
        <f>HYPERLINK("http://www.twitter.com/NathanBLawrence/status/988939972395847680", "988939972395847680")</f>
        <v/>
      </c>
      <c r="B2864" s="2" t="n">
        <v>43215.0258912037</v>
      </c>
      <c r="C2864" t="n">
        <v>0</v>
      </c>
      <c r="D2864" t="n">
        <v>133</v>
      </c>
      <c r="E2864" t="s">
        <v>2823</v>
      </c>
      <c r="F2864" t="s"/>
      <c r="G2864" t="s"/>
      <c r="H2864" t="s"/>
      <c r="I2864" t="s"/>
      <c r="J2864" t="n">
        <v>0.75</v>
      </c>
      <c r="K2864" t="n">
        <v>0</v>
      </c>
      <c r="L2864" t="n">
        <v>0.6840000000000001</v>
      </c>
      <c r="M2864" t="n">
        <v>0.316</v>
      </c>
    </row>
    <row r="2865" spans="1:13">
      <c r="A2865" s="1">
        <f>HYPERLINK("http://www.twitter.com/NathanBLawrence/status/988939944331763712", "988939944331763712")</f>
        <v/>
      </c>
      <c r="B2865" s="2" t="n">
        <v>43215.02582175926</v>
      </c>
      <c r="C2865" t="n">
        <v>0</v>
      </c>
      <c r="D2865" t="n">
        <v>1317</v>
      </c>
      <c r="E2865" t="s">
        <v>2824</v>
      </c>
      <c r="F2865">
        <f>HYPERLINK("http://pbs.twimg.com/media/DbPAZ2pV4AMoXbG.jpg", "http://pbs.twimg.com/media/DbPAZ2pV4AMoXbG.jpg")</f>
        <v/>
      </c>
      <c r="G2865">
        <f>HYPERLINK("http://pbs.twimg.com/media/DbPAaTYU0AA_lSt.jpg", "http://pbs.twimg.com/media/DbPAaTYU0AA_lSt.jpg")</f>
        <v/>
      </c>
      <c r="H2865" t="s"/>
      <c r="I2865" t="s"/>
      <c r="J2865" t="n">
        <v>0.8869</v>
      </c>
      <c r="K2865" t="n">
        <v>0</v>
      </c>
      <c r="L2865" t="n">
        <v>0.643</v>
      </c>
      <c r="M2865" t="n">
        <v>0.357</v>
      </c>
    </row>
    <row r="2866" spans="1:13">
      <c r="A2866" s="1">
        <f>HYPERLINK("http://www.twitter.com/NathanBLawrence/status/988939827507793920", "988939827507793920")</f>
        <v/>
      </c>
      <c r="B2866" s="2" t="n">
        <v>43215.02549768519</v>
      </c>
      <c r="C2866" t="n">
        <v>0</v>
      </c>
      <c r="D2866" t="n">
        <v>6</v>
      </c>
      <c r="E2866" t="s">
        <v>2825</v>
      </c>
      <c r="F2866" t="s"/>
      <c r="G2866" t="s"/>
      <c r="H2866" t="s"/>
      <c r="I2866" t="s"/>
      <c r="J2866" t="n">
        <v>0</v>
      </c>
      <c r="K2866" t="n">
        <v>0</v>
      </c>
      <c r="L2866" t="n">
        <v>1</v>
      </c>
      <c r="M2866" t="n">
        <v>0</v>
      </c>
    </row>
    <row r="2867" spans="1:13">
      <c r="A2867" s="1">
        <f>HYPERLINK("http://www.twitter.com/NathanBLawrence/status/988936954699026432", "988936954699026432")</f>
        <v/>
      </c>
      <c r="B2867" s="2" t="n">
        <v>43215.01756944445</v>
      </c>
      <c r="C2867" t="n">
        <v>0</v>
      </c>
      <c r="D2867" t="n">
        <v>13</v>
      </c>
      <c r="E2867" t="s">
        <v>2826</v>
      </c>
      <c r="F2867">
        <f>HYPERLINK("https://video.twimg.com/ext_tw_video/988936606945030145/pu/vid/640x360/O60U3xZ_k4dlXx0U.mp4?tag=3", "https://video.twimg.com/ext_tw_video/988936606945030145/pu/vid/640x360/O60U3xZ_k4dlXx0U.mp4?tag=3")</f>
        <v/>
      </c>
      <c r="G2867" t="s"/>
      <c r="H2867" t="s"/>
      <c r="I2867" t="s"/>
      <c r="J2867" t="n">
        <v>0.4263</v>
      </c>
      <c r="K2867" t="n">
        <v>0</v>
      </c>
      <c r="L2867" t="n">
        <v>0.871</v>
      </c>
      <c r="M2867" t="n">
        <v>0.129</v>
      </c>
    </row>
    <row r="2868" spans="1:13">
      <c r="A2868" s="1">
        <f>HYPERLINK("http://www.twitter.com/NathanBLawrence/status/988936915612205056", "988936915612205056")</f>
        <v/>
      </c>
      <c r="B2868" s="2" t="n">
        <v>43215.0174537037</v>
      </c>
      <c r="C2868" t="n">
        <v>16</v>
      </c>
      <c r="D2868" t="n">
        <v>13</v>
      </c>
      <c r="E2868" t="s">
        <v>2827</v>
      </c>
      <c r="F2868">
        <f>HYPERLINK("https://video.twimg.com/ext_tw_video/988936606945030145/pu/vid/640x360/O60U3xZ_k4dlXx0U.mp4?tag=3", "https://video.twimg.com/ext_tw_video/988936606945030145/pu/vid/640x360/O60U3xZ_k4dlXx0U.mp4?tag=3")</f>
        <v/>
      </c>
      <c r="G2868" t="s"/>
      <c r="H2868" t="s"/>
      <c r="I2868" t="s"/>
      <c r="J2868" t="n">
        <v>-0.3578</v>
      </c>
      <c r="K2868" t="n">
        <v>0.099</v>
      </c>
      <c r="L2868" t="n">
        <v>0.838</v>
      </c>
      <c r="M2868" t="n">
        <v>0.062</v>
      </c>
    </row>
    <row r="2869" spans="1:13">
      <c r="A2869" s="1">
        <f>HYPERLINK("http://www.twitter.com/NathanBLawrence/status/988934854720000006", "988934854720000006")</f>
        <v/>
      </c>
      <c r="B2869" s="2" t="n">
        <v>43215.01177083333</v>
      </c>
      <c r="C2869" t="n">
        <v>1</v>
      </c>
      <c r="D2869" t="n">
        <v>0</v>
      </c>
      <c r="E2869" t="s">
        <v>2828</v>
      </c>
      <c r="F2869" t="s"/>
      <c r="G2869" t="s"/>
      <c r="H2869" t="s"/>
      <c r="I2869" t="s"/>
      <c r="J2869" t="n">
        <v>0</v>
      </c>
      <c r="K2869" t="n">
        <v>0</v>
      </c>
      <c r="L2869" t="n">
        <v>1</v>
      </c>
      <c r="M2869" t="n">
        <v>0</v>
      </c>
    </row>
    <row r="2870" spans="1:13">
      <c r="A2870" s="1">
        <f>HYPERLINK("http://www.twitter.com/NathanBLawrence/status/988920971074637830", "988920971074637830")</f>
        <v/>
      </c>
      <c r="B2870" s="2" t="n">
        <v>43214.97346064815</v>
      </c>
      <c r="C2870" t="n">
        <v>0</v>
      </c>
      <c r="D2870" t="n">
        <v>1113</v>
      </c>
      <c r="E2870" t="s">
        <v>2829</v>
      </c>
      <c r="F2870" t="s"/>
      <c r="G2870" t="s"/>
      <c r="H2870" t="s"/>
      <c r="I2870" t="s"/>
      <c r="J2870" t="n">
        <v>-0.0258</v>
      </c>
      <c r="K2870" t="n">
        <v>0.118</v>
      </c>
      <c r="L2870" t="n">
        <v>0.769</v>
      </c>
      <c r="M2870" t="n">
        <v>0.113</v>
      </c>
    </row>
    <row r="2871" spans="1:13">
      <c r="A2871" s="1">
        <f>HYPERLINK("http://www.twitter.com/NathanBLawrence/status/988920919581233152", "988920919581233152")</f>
        <v/>
      </c>
      <c r="B2871" s="2" t="n">
        <v>43214.97332175926</v>
      </c>
      <c r="C2871" t="n">
        <v>0</v>
      </c>
      <c r="D2871" t="n">
        <v>106</v>
      </c>
      <c r="E2871" t="s">
        <v>2830</v>
      </c>
      <c r="F2871" t="s"/>
      <c r="G2871" t="s"/>
      <c r="H2871" t="s"/>
      <c r="I2871" t="s"/>
      <c r="J2871" t="n">
        <v>-0.5423</v>
      </c>
      <c r="K2871" t="n">
        <v>0.259</v>
      </c>
      <c r="L2871" t="n">
        <v>0.741</v>
      </c>
      <c r="M2871" t="n">
        <v>0</v>
      </c>
    </row>
    <row r="2872" spans="1:13">
      <c r="A2872" s="1">
        <f>HYPERLINK("http://www.twitter.com/NathanBLawrence/status/988920881320775680", "988920881320775680")</f>
        <v/>
      </c>
      <c r="B2872" s="2" t="n">
        <v>43214.97321759259</v>
      </c>
      <c r="C2872" t="n">
        <v>0</v>
      </c>
      <c r="D2872" t="n">
        <v>10354</v>
      </c>
      <c r="E2872" t="s">
        <v>2831</v>
      </c>
      <c r="F2872">
        <f>HYPERLINK("http://pbs.twimg.com/media/Dbj_MXaVMAEgiLV.jpg", "http://pbs.twimg.com/media/Dbj_MXaVMAEgiLV.jpg")</f>
        <v/>
      </c>
      <c r="G2872">
        <f>HYPERLINK("http://pbs.twimg.com/media/Dbj_MXcUwAM7sAT.jpg", "http://pbs.twimg.com/media/Dbj_MXcUwAM7sAT.jpg")</f>
        <v/>
      </c>
      <c r="H2872">
        <f>HYPERLINK("http://pbs.twimg.com/media/Dbj_MXgV4AAUNbY.jpg", "http://pbs.twimg.com/media/Dbj_MXgV4AAUNbY.jpg")</f>
        <v/>
      </c>
      <c r="I2872">
        <f>HYPERLINK("http://pbs.twimg.com/media/Dbj_MXxV4AEqXDR.jpg", "http://pbs.twimg.com/media/Dbj_MXxV4AEqXDR.jpg")</f>
        <v/>
      </c>
      <c r="J2872" t="n">
        <v>0.8074</v>
      </c>
      <c r="K2872" t="n">
        <v>0</v>
      </c>
      <c r="L2872" t="n">
        <v>0.722</v>
      </c>
      <c r="M2872" t="n">
        <v>0.278</v>
      </c>
    </row>
    <row r="2873" spans="1:13">
      <c r="A2873" s="1">
        <f>HYPERLINK("http://www.twitter.com/NathanBLawrence/status/988920793252974593", "988920793252974593")</f>
        <v/>
      </c>
      <c r="B2873" s="2" t="n">
        <v>43214.97297453704</v>
      </c>
      <c r="C2873" t="n">
        <v>0</v>
      </c>
      <c r="D2873" t="n">
        <v>0</v>
      </c>
      <c r="E2873" t="s">
        <v>2832</v>
      </c>
      <c r="F2873">
        <f>HYPERLINK("https://video.twimg.com/ext_tw_video/988920730871123974/pu/vid/240x180/ZFYD1kKf5mgpHoj4.mp4?tag=3", "https://video.twimg.com/ext_tw_video/988920730871123974/pu/vid/240x180/ZFYD1kKf5mgpHoj4.mp4?tag=3")</f>
        <v/>
      </c>
      <c r="G2873" t="s"/>
      <c r="H2873" t="s"/>
      <c r="I2873" t="s"/>
      <c r="J2873" t="n">
        <v>0</v>
      </c>
      <c r="K2873" t="n">
        <v>0</v>
      </c>
      <c r="L2873" t="n">
        <v>1</v>
      </c>
      <c r="M2873" t="n">
        <v>0</v>
      </c>
    </row>
    <row r="2874" spans="1:13">
      <c r="A2874" s="1">
        <f>HYPERLINK("http://www.twitter.com/NathanBLawrence/status/988920776807079938", "988920776807079938")</f>
        <v/>
      </c>
      <c r="B2874" s="2" t="n">
        <v>43214.97292824074</v>
      </c>
      <c r="C2874" t="n">
        <v>0</v>
      </c>
      <c r="D2874" t="n">
        <v>1504</v>
      </c>
      <c r="E2874" t="s">
        <v>2833</v>
      </c>
      <c r="F2874" t="s"/>
      <c r="G2874" t="s"/>
      <c r="H2874" t="s"/>
      <c r="I2874" t="s"/>
      <c r="J2874" t="n">
        <v>0</v>
      </c>
      <c r="K2874" t="n">
        <v>0</v>
      </c>
      <c r="L2874" t="n">
        <v>1</v>
      </c>
      <c r="M2874" t="n">
        <v>0</v>
      </c>
    </row>
    <row r="2875" spans="1:13">
      <c r="A2875" s="1">
        <f>HYPERLINK("http://www.twitter.com/NathanBLawrence/status/988920642991992833", "988920642991992833")</f>
        <v/>
      </c>
      <c r="B2875" s="2" t="n">
        <v>43214.97255787037</v>
      </c>
      <c r="C2875" t="n">
        <v>0</v>
      </c>
      <c r="D2875" t="n">
        <v>607</v>
      </c>
      <c r="E2875" t="s">
        <v>2834</v>
      </c>
      <c r="F2875" t="s"/>
      <c r="G2875" t="s"/>
      <c r="H2875" t="s"/>
      <c r="I2875" t="s"/>
      <c r="J2875" t="n">
        <v>-0.8217</v>
      </c>
      <c r="K2875" t="n">
        <v>0.256</v>
      </c>
      <c r="L2875" t="n">
        <v>0.744</v>
      </c>
      <c r="M2875" t="n">
        <v>0</v>
      </c>
    </row>
    <row r="2876" spans="1:13">
      <c r="A2876" s="1">
        <f>HYPERLINK("http://www.twitter.com/NathanBLawrence/status/988920130611662848", "988920130611662848")</f>
        <v/>
      </c>
      <c r="B2876" s="2" t="n">
        <v>43214.97114583333</v>
      </c>
      <c r="C2876" t="n">
        <v>0</v>
      </c>
      <c r="D2876" t="n">
        <v>9</v>
      </c>
      <c r="E2876" t="s">
        <v>2835</v>
      </c>
      <c r="F2876" t="s"/>
      <c r="G2876" t="s"/>
      <c r="H2876" t="s"/>
      <c r="I2876" t="s"/>
      <c r="J2876" t="n">
        <v>0</v>
      </c>
      <c r="K2876" t="n">
        <v>0</v>
      </c>
      <c r="L2876" t="n">
        <v>1</v>
      </c>
      <c r="M2876" t="n">
        <v>0</v>
      </c>
    </row>
    <row r="2877" spans="1:13">
      <c r="A2877" s="1">
        <f>HYPERLINK("http://www.twitter.com/NathanBLawrence/status/988919984414953472", "988919984414953472")</f>
        <v/>
      </c>
      <c r="B2877" s="2" t="n">
        <v>43214.97074074074</v>
      </c>
      <c r="C2877" t="n">
        <v>0</v>
      </c>
      <c r="D2877" t="n">
        <v>9</v>
      </c>
      <c r="E2877" t="s">
        <v>1974</v>
      </c>
      <c r="F2877">
        <f>HYPERLINK("http://pbs.twimg.com/media/DblTZFvV0AAdE-k.jpg", "http://pbs.twimg.com/media/DblTZFvV0AAdE-k.jpg")</f>
        <v/>
      </c>
      <c r="G2877" t="s"/>
      <c r="H2877" t="s"/>
      <c r="I2877" t="s"/>
      <c r="J2877" t="n">
        <v>-0.5106000000000001</v>
      </c>
      <c r="K2877" t="n">
        <v>0.217</v>
      </c>
      <c r="L2877" t="n">
        <v>0.6860000000000001</v>
      </c>
      <c r="M2877" t="n">
        <v>0.097</v>
      </c>
    </row>
    <row r="2878" spans="1:13">
      <c r="A2878" s="1">
        <f>HYPERLINK("http://www.twitter.com/NathanBLawrence/status/988913296836308997", "988913296836308997")</f>
        <v/>
      </c>
      <c r="B2878" s="2" t="n">
        <v>43214.95228009259</v>
      </c>
      <c r="C2878" t="n">
        <v>14</v>
      </c>
      <c r="D2878" t="n">
        <v>9</v>
      </c>
      <c r="E2878" t="s">
        <v>2836</v>
      </c>
      <c r="F2878">
        <f>HYPERLINK("http://pbs.twimg.com/media/DblTZFvV0AAdE-k.jpg", "http://pbs.twimg.com/media/DblTZFvV0AAdE-k.jpg")</f>
        <v/>
      </c>
      <c r="G2878" t="s"/>
      <c r="H2878" t="s"/>
      <c r="I2878" t="s"/>
      <c r="J2878" t="n">
        <v>-0.3076</v>
      </c>
      <c r="K2878" t="n">
        <v>0.141</v>
      </c>
      <c r="L2878" t="n">
        <v>0.744</v>
      </c>
      <c r="M2878" t="n">
        <v>0.115</v>
      </c>
    </row>
    <row r="2879" spans="1:13">
      <c r="A2879" s="1">
        <f>HYPERLINK("http://www.twitter.com/NathanBLawrence/status/988895882782429190", "988895882782429190")</f>
        <v/>
      </c>
      <c r="B2879" s="2" t="n">
        <v>43214.90422453704</v>
      </c>
      <c r="C2879" t="n">
        <v>0</v>
      </c>
      <c r="D2879" t="n">
        <v>11</v>
      </c>
      <c r="E2879" t="s">
        <v>2837</v>
      </c>
      <c r="F2879">
        <f>HYPERLINK("https://video.twimg.com/ext_tw_video/988877698549370885/pu/vid/1280x720/N0sqqlxubRUW_iMU.mp4?tag=3", "https://video.twimg.com/ext_tw_video/988877698549370885/pu/vid/1280x720/N0sqqlxubRUW_iMU.mp4?tag=3")</f>
        <v/>
      </c>
      <c r="G2879" t="s"/>
      <c r="H2879" t="s"/>
      <c r="I2879" t="s"/>
      <c r="J2879" t="n">
        <v>0</v>
      </c>
      <c r="K2879" t="n">
        <v>0</v>
      </c>
      <c r="L2879" t="n">
        <v>1</v>
      </c>
      <c r="M2879" t="n">
        <v>0</v>
      </c>
    </row>
    <row r="2880" spans="1:13">
      <c r="A2880" s="1">
        <f>HYPERLINK("http://www.twitter.com/NathanBLawrence/status/988895868949553153", "988895868949553153")</f>
        <v/>
      </c>
      <c r="B2880" s="2" t="n">
        <v>43214.90418981481</v>
      </c>
      <c r="C2880" t="n">
        <v>0</v>
      </c>
      <c r="D2880" t="n">
        <v>4</v>
      </c>
      <c r="E2880" t="s">
        <v>2838</v>
      </c>
      <c r="F2880" t="s"/>
      <c r="G2880" t="s"/>
      <c r="H2880" t="s"/>
      <c r="I2880" t="s"/>
      <c r="J2880" t="n">
        <v>0.5266999999999999</v>
      </c>
      <c r="K2880" t="n">
        <v>0.068</v>
      </c>
      <c r="L2880" t="n">
        <v>0.737</v>
      </c>
      <c r="M2880" t="n">
        <v>0.195</v>
      </c>
    </row>
    <row r="2881" spans="1:13">
      <c r="A2881" s="1">
        <f>HYPERLINK("http://www.twitter.com/NathanBLawrence/status/988895843267809281", "988895843267809281")</f>
        <v/>
      </c>
      <c r="B2881" s="2" t="n">
        <v>43214.90412037037</v>
      </c>
      <c r="C2881" t="n">
        <v>0</v>
      </c>
      <c r="D2881" t="n">
        <v>4</v>
      </c>
      <c r="E2881" t="s">
        <v>2839</v>
      </c>
      <c r="F2881" t="s"/>
      <c r="G2881" t="s"/>
      <c r="H2881" t="s"/>
      <c r="I2881" t="s"/>
      <c r="J2881" t="n">
        <v>0.2023</v>
      </c>
      <c r="K2881" t="n">
        <v>0</v>
      </c>
      <c r="L2881" t="n">
        <v>0.899</v>
      </c>
      <c r="M2881" t="n">
        <v>0.101</v>
      </c>
    </row>
    <row r="2882" spans="1:13">
      <c r="A2882" s="1">
        <f>HYPERLINK("http://www.twitter.com/NathanBLawrence/status/988895833348243456", "988895833348243456")</f>
        <v/>
      </c>
      <c r="B2882" s="2" t="n">
        <v>43214.90409722222</v>
      </c>
      <c r="C2882" t="n">
        <v>0</v>
      </c>
      <c r="D2882" t="n">
        <v>5</v>
      </c>
      <c r="E2882" t="s">
        <v>2840</v>
      </c>
      <c r="F2882">
        <f>HYPERLINK("http://pbs.twimg.com/media/Dbk3ZB8WsAcTMzi.jpg", "http://pbs.twimg.com/media/Dbk3ZB8WsAcTMzi.jpg")</f>
        <v/>
      </c>
      <c r="G2882" t="s"/>
      <c r="H2882" t="s"/>
      <c r="I2882" t="s"/>
      <c r="J2882" t="n">
        <v>0</v>
      </c>
      <c r="K2882" t="n">
        <v>0</v>
      </c>
      <c r="L2882" t="n">
        <v>1</v>
      </c>
      <c r="M2882" t="n">
        <v>0</v>
      </c>
    </row>
    <row r="2883" spans="1:13">
      <c r="A2883" s="1">
        <f>HYPERLINK("http://www.twitter.com/NathanBLawrence/status/988895814406766593", "988895814406766593")</f>
        <v/>
      </c>
      <c r="B2883" s="2" t="n">
        <v>43214.90403935185</v>
      </c>
      <c r="C2883" t="n">
        <v>0</v>
      </c>
      <c r="D2883" t="n">
        <v>5</v>
      </c>
      <c r="E2883" t="s">
        <v>2841</v>
      </c>
      <c r="F2883" t="s"/>
      <c r="G2883" t="s"/>
      <c r="H2883" t="s"/>
      <c r="I2883" t="s"/>
      <c r="J2883" t="n">
        <v>0.2023</v>
      </c>
      <c r="K2883" t="n">
        <v>0.12</v>
      </c>
      <c r="L2883" t="n">
        <v>0.721</v>
      </c>
      <c r="M2883" t="n">
        <v>0.159</v>
      </c>
    </row>
    <row r="2884" spans="1:13">
      <c r="A2884" s="1">
        <f>HYPERLINK("http://www.twitter.com/NathanBLawrence/status/988895804156010496", "988895804156010496")</f>
        <v/>
      </c>
      <c r="B2884" s="2" t="n">
        <v>43214.90401620371</v>
      </c>
      <c r="C2884" t="n">
        <v>0</v>
      </c>
      <c r="D2884" t="n">
        <v>6</v>
      </c>
      <c r="E2884" t="s">
        <v>2842</v>
      </c>
      <c r="F2884" t="s"/>
      <c r="G2884" t="s"/>
      <c r="H2884" t="s"/>
      <c r="I2884" t="s"/>
      <c r="J2884" t="n">
        <v>0</v>
      </c>
      <c r="K2884" t="n">
        <v>0</v>
      </c>
      <c r="L2884" t="n">
        <v>1</v>
      </c>
      <c r="M2884" t="n">
        <v>0</v>
      </c>
    </row>
    <row r="2885" spans="1:13">
      <c r="A2885" s="1">
        <f>HYPERLINK("http://www.twitter.com/NathanBLawrence/status/988895786074288131", "988895786074288131")</f>
        <v/>
      </c>
      <c r="B2885" s="2" t="n">
        <v>43214.90395833334</v>
      </c>
      <c r="C2885" t="n">
        <v>0</v>
      </c>
      <c r="D2885" t="n">
        <v>3</v>
      </c>
      <c r="E2885" t="s">
        <v>2843</v>
      </c>
      <c r="F2885" t="s"/>
      <c r="G2885" t="s"/>
      <c r="H2885" t="s"/>
      <c r="I2885" t="s"/>
      <c r="J2885" t="n">
        <v>-0.4767</v>
      </c>
      <c r="K2885" t="n">
        <v>0.147</v>
      </c>
      <c r="L2885" t="n">
        <v>0.853</v>
      </c>
      <c r="M2885" t="n">
        <v>0</v>
      </c>
    </row>
    <row r="2886" spans="1:13">
      <c r="A2886" s="1">
        <f>HYPERLINK("http://www.twitter.com/NathanBLawrence/status/988895768307171328", "988895768307171328")</f>
        <v/>
      </c>
      <c r="B2886" s="2" t="n">
        <v>43214.90391203704</v>
      </c>
      <c r="C2886" t="n">
        <v>2</v>
      </c>
      <c r="D2886" t="n">
        <v>1</v>
      </c>
      <c r="E2886" t="s">
        <v>2844</v>
      </c>
      <c r="F2886" t="s"/>
      <c r="G2886" t="s"/>
      <c r="H2886" t="s"/>
      <c r="I2886" t="s"/>
      <c r="J2886" t="n">
        <v>-0.9172</v>
      </c>
      <c r="K2886" t="n">
        <v>0.301</v>
      </c>
      <c r="L2886" t="n">
        <v>0.586</v>
      </c>
      <c r="M2886" t="n">
        <v>0.113</v>
      </c>
    </row>
    <row r="2887" spans="1:13">
      <c r="A2887" s="1">
        <f>HYPERLINK("http://www.twitter.com/NathanBLawrence/status/988895317096648704", "988895317096648704")</f>
        <v/>
      </c>
      <c r="B2887" s="2" t="n">
        <v>43214.90267361111</v>
      </c>
      <c r="C2887" t="n">
        <v>0</v>
      </c>
      <c r="D2887" t="n">
        <v>2</v>
      </c>
      <c r="E2887" t="s">
        <v>2845</v>
      </c>
      <c r="F2887" t="s"/>
      <c r="G2887" t="s"/>
      <c r="H2887" t="s"/>
      <c r="I2887" t="s"/>
      <c r="J2887" t="n">
        <v>0</v>
      </c>
      <c r="K2887" t="n">
        <v>0</v>
      </c>
      <c r="L2887" t="n">
        <v>1</v>
      </c>
      <c r="M2887" t="n">
        <v>0</v>
      </c>
    </row>
    <row r="2888" spans="1:13">
      <c r="A2888" s="1">
        <f>HYPERLINK("http://www.twitter.com/NathanBLawrence/status/988895245965385728", "988895245965385728")</f>
        <v/>
      </c>
      <c r="B2888" s="2" t="n">
        <v>43214.90247685185</v>
      </c>
      <c r="C2888" t="n">
        <v>0</v>
      </c>
      <c r="D2888" t="n">
        <v>8</v>
      </c>
      <c r="E2888" t="s">
        <v>2846</v>
      </c>
      <c r="F2888" t="s"/>
      <c r="G2888" t="s"/>
      <c r="H2888" t="s"/>
      <c r="I2888" t="s"/>
      <c r="J2888" t="n">
        <v>0.4449</v>
      </c>
      <c r="K2888" t="n">
        <v>0</v>
      </c>
      <c r="L2888" t="n">
        <v>0.845</v>
      </c>
      <c r="M2888" t="n">
        <v>0.155</v>
      </c>
    </row>
    <row r="2889" spans="1:13">
      <c r="A2889" s="1">
        <f>HYPERLINK("http://www.twitter.com/NathanBLawrence/status/988895121851801600", "988895121851801600")</f>
        <v/>
      </c>
      <c r="B2889" s="2" t="n">
        <v>43214.90212962963</v>
      </c>
      <c r="C2889" t="n">
        <v>2</v>
      </c>
      <c r="D2889" t="n">
        <v>1</v>
      </c>
      <c r="E2889" t="s">
        <v>2847</v>
      </c>
      <c r="F2889" t="s"/>
      <c r="G2889" t="s"/>
      <c r="H2889" t="s"/>
      <c r="I2889" t="s"/>
      <c r="J2889" t="n">
        <v>-0.4728</v>
      </c>
      <c r="K2889" t="n">
        <v>0.219</v>
      </c>
      <c r="L2889" t="n">
        <v>0.781</v>
      </c>
      <c r="M2889" t="n">
        <v>0</v>
      </c>
    </row>
    <row r="2890" spans="1:13">
      <c r="A2890" s="1">
        <f>HYPERLINK("http://www.twitter.com/NathanBLawrence/status/988894773053394944", "988894773053394944")</f>
        <v/>
      </c>
      <c r="B2890" s="2" t="n">
        <v>43214.90116898148</v>
      </c>
      <c r="C2890" t="n">
        <v>0</v>
      </c>
      <c r="D2890" t="n">
        <v>37</v>
      </c>
      <c r="E2890" t="s">
        <v>2848</v>
      </c>
      <c r="F2890">
        <f>HYPERLINK("http://pbs.twimg.com/media/Dbk7dbWWsAAxU0n.jpg", "http://pbs.twimg.com/media/Dbk7dbWWsAAxU0n.jpg")</f>
        <v/>
      </c>
      <c r="G2890" t="s"/>
      <c r="H2890" t="s"/>
      <c r="I2890" t="s"/>
      <c r="J2890" t="n">
        <v>0</v>
      </c>
      <c r="K2890" t="n">
        <v>0</v>
      </c>
      <c r="L2890" t="n">
        <v>1</v>
      </c>
      <c r="M2890" t="n">
        <v>0</v>
      </c>
    </row>
    <row r="2891" spans="1:13">
      <c r="A2891" s="1">
        <f>HYPERLINK("http://www.twitter.com/NathanBLawrence/status/988894746746720256", "988894746746720256")</f>
        <v/>
      </c>
      <c r="B2891" s="2" t="n">
        <v>43214.90109953703</v>
      </c>
      <c r="C2891" t="n">
        <v>0</v>
      </c>
      <c r="D2891" t="n">
        <v>8</v>
      </c>
      <c r="E2891" t="s">
        <v>2849</v>
      </c>
      <c r="F2891" t="s"/>
      <c r="G2891" t="s"/>
      <c r="H2891" t="s"/>
      <c r="I2891" t="s"/>
      <c r="J2891" t="n">
        <v>0</v>
      </c>
      <c r="K2891" t="n">
        <v>0</v>
      </c>
      <c r="L2891" t="n">
        <v>1</v>
      </c>
      <c r="M2891" t="n">
        <v>0</v>
      </c>
    </row>
    <row r="2892" spans="1:13">
      <c r="A2892" s="1">
        <f>HYPERLINK("http://www.twitter.com/NathanBLawrence/status/988894738303594499", "988894738303594499")</f>
        <v/>
      </c>
      <c r="B2892" s="2" t="n">
        <v>43214.90107638889</v>
      </c>
      <c r="C2892" t="n">
        <v>0</v>
      </c>
      <c r="D2892" t="n">
        <v>7</v>
      </c>
      <c r="E2892" t="s">
        <v>2850</v>
      </c>
      <c r="F2892" t="s"/>
      <c r="G2892" t="s"/>
      <c r="H2892" t="s"/>
      <c r="I2892" t="s"/>
      <c r="J2892" t="n">
        <v>-0.1316</v>
      </c>
      <c r="K2892" t="n">
        <v>0.07000000000000001</v>
      </c>
      <c r="L2892" t="n">
        <v>0.93</v>
      </c>
      <c r="M2892" t="n">
        <v>0</v>
      </c>
    </row>
    <row r="2893" spans="1:13">
      <c r="A2893" s="1">
        <f>HYPERLINK("http://www.twitter.com/NathanBLawrence/status/988882504353484800", "988882504353484800")</f>
        <v/>
      </c>
      <c r="B2893" s="2" t="n">
        <v>43214.86731481482</v>
      </c>
      <c r="C2893" t="n">
        <v>5</v>
      </c>
      <c r="D2893" t="n">
        <v>5</v>
      </c>
      <c r="E2893" t="s">
        <v>2851</v>
      </c>
      <c r="F2893">
        <f>HYPERLINK("http://pbs.twimg.com/media/Dbk3ZB8WsAcTMzi.jpg", "http://pbs.twimg.com/media/Dbk3ZB8WsAcTMzi.jpg")</f>
        <v/>
      </c>
      <c r="G2893" t="s"/>
      <c r="H2893" t="s"/>
      <c r="I2893" t="s"/>
      <c r="J2893" t="n">
        <v>0</v>
      </c>
      <c r="K2893" t="n">
        <v>0</v>
      </c>
      <c r="L2893" t="n">
        <v>1</v>
      </c>
      <c r="M2893" t="n">
        <v>0</v>
      </c>
    </row>
    <row r="2894" spans="1:13">
      <c r="A2894" s="1">
        <f>HYPERLINK("http://www.twitter.com/NathanBLawrence/status/988879329055604739", "988879329055604739")</f>
        <v/>
      </c>
      <c r="B2894" s="2" t="n">
        <v>43214.85855324074</v>
      </c>
      <c r="C2894" t="n">
        <v>0</v>
      </c>
      <c r="D2894" t="n">
        <v>3</v>
      </c>
      <c r="E2894" t="s">
        <v>2852</v>
      </c>
      <c r="F2894">
        <f>HYPERLINK("https://video.twimg.com/ext_tw_video/988868986921086978/pu/vid/1280x720/PHsEl8L8lyb7DGN0.mp4?tag=3", "https://video.twimg.com/ext_tw_video/988868986921086978/pu/vid/1280x720/PHsEl8L8lyb7DGN0.mp4?tag=3")</f>
        <v/>
      </c>
      <c r="G2894" t="s"/>
      <c r="H2894" t="s"/>
      <c r="I2894" t="s"/>
      <c r="J2894" t="n">
        <v>0</v>
      </c>
      <c r="K2894" t="n">
        <v>0</v>
      </c>
      <c r="L2894" t="n">
        <v>1</v>
      </c>
      <c r="M2894" t="n">
        <v>0</v>
      </c>
    </row>
    <row r="2895" spans="1:13">
      <c r="A2895" s="1">
        <f>HYPERLINK("http://www.twitter.com/NathanBLawrence/status/988879177070841856", "988879177070841856")</f>
        <v/>
      </c>
      <c r="B2895" s="2" t="n">
        <v>43214.858125</v>
      </c>
      <c r="C2895" t="n">
        <v>0</v>
      </c>
      <c r="D2895" t="n">
        <v>9</v>
      </c>
      <c r="E2895" t="s">
        <v>2853</v>
      </c>
      <c r="F2895" t="s"/>
      <c r="G2895" t="s"/>
      <c r="H2895" t="s"/>
      <c r="I2895" t="s"/>
      <c r="J2895" t="n">
        <v>0.128</v>
      </c>
      <c r="K2895" t="n">
        <v>0</v>
      </c>
      <c r="L2895" t="n">
        <v>0.93</v>
      </c>
      <c r="M2895" t="n">
        <v>0.07000000000000001</v>
      </c>
    </row>
    <row r="2896" spans="1:13">
      <c r="A2896" s="1">
        <f>HYPERLINK("http://www.twitter.com/NathanBLawrence/status/988879111484526593", "988879111484526593")</f>
        <v/>
      </c>
      <c r="B2896" s="2" t="n">
        <v>43214.85795138889</v>
      </c>
      <c r="C2896" t="n">
        <v>0</v>
      </c>
      <c r="D2896" t="n">
        <v>11</v>
      </c>
      <c r="E2896" t="s">
        <v>2854</v>
      </c>
      <c r="F2896" t="s"/>
      <c r="G2896" t="s"/>
      <c r="H2896" t="s"/>
      <c r="I2896" t="s"/>
      <c r="J2896" t="n">
        <v>0.6588000000000001</v>
      </c>
      <c r="K2896" t="n">
        <v>0</v>
      </c>
      <c r="L2896" t="n">
        <v>0.747</v>
      </c>
      <c r="M2896" t="n">
        <v>0.253</v>
      </c>
    </row>
    <row r="2897" spans="1:13">
      <c r="A2897" s="1">
        <f>HYPERLINK("http://www.twitter.com/NathanBLawrence/status/988879081373601792", "988879081373601792")</f>
        <v/>
      </c>
      <c r="B2897" s="2" t="n">
        <v>43214.85787037037</v>
      </c>
      <c r="C2897" t="n">
        <v>0</v>
      </c>
      <c r="D2897" t="n">
        <v>3</v>
      </c>
      <c r="E2897" t="s">
        <v>2855</v>
      </c>
      <c r="F2897" t="s"/>
      <c r="G2897" t="s"/>
      <c r="H2897" t="s"/>
      <c r="I2897" t="s"/>
      <c r="J2897" t="n">
        <v>0</v>
      </c>
      <c r="K2897" t="n">
        <v>0</v>
      </c>
      <c r="L2897" t="n">
        <v>1</v>
      </c>
      <c r="M2897" t="n">
        <v>0</v>
      </c>
    </row>
    <row r="2898" spans="1:13">
      <c r="A2898" s="1">
        <f>HYPERLINK("http://www.twitter.com/NathanBLawrence/status/988878911663673344", "988878911663673344")</f>
        <v/>
      </c>
      <c r="B2898" s="2" t="n">
        <v>43214.85739583334</v>
      </c>
      <c r="C2898" t="n">
        <v>0</v>
      </c>
      <c r="D2898" t="n">
        <v>3</v>
      </c>
      <c r="E2898" t="s">
        <v>2856</v>
      </c>
      <c r="F2898" t="s"/>
      <c r="G2898" t="s"/>
      <c r="H2898" t="s"/>
      <c r="I2898" t="s"/>
      <c r="J2898" t="n">
        <v>0.2732</v>
      </c>
      <c r="K2898" t="n">
        <v>0</v>
      </c>
      <c r="L2898" t="n">
        <v>0.89</v>
      </c>
      <c r="M2898" t="n">
        <v>0.11</v>
      </c>
    </row>
    <row r="2899" spans="1:13">
      <c r="A2899" s="1">
        <f>HYPERLINK("http://www.twitter.com/NathanBLawrence/status/988878090020499458", "988878090020499458")</f>
        <v/>
      </c>
      <c r="B2899" s="2" t="n">
        <v>43214.85512731481</v>
      </c>
      <c r="C2899" t="n">
        <v>8</v>
      </c>
      <c r="D2899" t="n">
        <v>2</v>
      </c>
      <c r="E2899" t="s">
        <v>2857</v>
      </c>
      <c r="F2899">
        <f>HYPERLINK("https://video.twimg.com/ext_tw_video/988878037000314880/pu/vid/480x640/NTlvcIr3SdnibhFN.mp4?tag=3", "https://video.twimg.com/ext_tw_video/988878037000314880/pu/vid/480x640/NTlvcIr3SdnibhFN.mp4?tag=3")</f>
        <v/>
      </c>
      <c r="G2899" t="s"/>
      <c r="H2899" t="s"/>
      <c r="I2899" t="s"/>
      <c r="J2899" t="n">
        <v>0</v>
      </c>
      <c r="K2899" t="n">
        <v>0</v>
      </c>
      <c r="L2899" t="n">
        <v>1</v>
      </c>
      <c r="M2899" t="n">
        <v>0</v>
      </c>
    </row>
    <row r="2900" spans="1:13">
      <c r="A2900" s="1">
        <f>HYPERLINK("http://www.twitter.com/NathanBLawrence/status/988877759261888512", "988877759261888512")</f>
        <v/>
      </c>
      <c r="B2900" s="2" t="n">
        <v>43214.85421296296</v>
      </c>
      <c r="C2900" t="n">
        <v>13</v>
      </c>
      <c r="D2900" t="n">
        <v>11</v>
      </c>
      <c r="E2900" t="s">
        <v>2858</v>
      </c>
      <c r="F2900">
        <f>HYPERLINK("https://video.twimg.com/ext_tw_video/988877698549370885/pu/vid/1280x720/N0sqqlxubRUW_iMU.mp4?tag=3", "https://video.twimg.com/ext_tw_video/988877698549370885/pu/vid/1280x720/N0sqqlxubRUW_iMU.mp4?tag=3")</f>
        <v/>
      </c>
      <c r="G2900" t="s"/>
      <c r="H2900" t="s"/>
      <c r="I2900" t="s"/>
      <c r="J2900" t="n">
        <v>0</v>
      </c>
      <c r="K2900" t="n">
        <v>0</v>
      </c>
      <c r="L2900" t="n">
        <v>1</v>
      </c>
      <c r="M2900" t="n">
        <v>0</v>
      </c>
    </row>
    <row r="2901" spans="1:13">
      <c r="A2901" s="1">
        <f>HYPERLINK("http://www.twitter.com/NathanBLawrence/status/988869612153565185", "988869612153565185")</f>
        <v/>
      </c>
      <c r="B2901" s="2" t="n">
        <v>43214.83173611111</v>
      </c>
      <c r="C2901" t="n">
        <v>0</v>
      </c>
      <c r="D2901" t="n">
        <v>14</v>
      </c>
      <c r="E2901" t="s">
        <v>2859</v>
      </c>
      <c r="F2901" t="s"/>
      <c r="G2901" t="s"/>
      <c r="H2901" t="s"/>
      <c r="I2901" t="s"/>
      <c r="J2901" t="n">
        <v>0.538</v>
      </c>
      <c r="K2901" t="n">
        <v>0.095</v>
      </c>
      <c r="L2901" t="n">
        <v>0.6850000000000001</v>
      </c>
      <c r="M2901" t="n">
        <v>0.22</v>
      </c>
    </row>
    <row r="2902" spans="1:13">
      <c r="A2902" s="1">
        <f>HYPERLINK("http://www.twitter.com/NathanBLawrence/status/988869076498907138", "988869076498907138")</f>
        <v/>
      </c>
      <c r="B2902" s="2" t="n">
        <v>43214.83025462963</v>
      </c>
      <c r="C2902" t="n">
        <v>4</v>
      </c>
      <c r="D2902" t="n">
        <v>3</v>
      </c>
      <c r="E2902" t="s">
        <v>2860</v>
      </c>
      <c r="F2902">
        <f>HYPERLINK("https://video.twimg.com/ext_tw_video/988868986921086978/pu/vid/1280x720/PHsEl8L8lyb7DGN0.mp4?tag=3", "https://video.twimg.com/ext_tw_video/988868986921086978/pu/vid/1280x720/PHsEl8L8lyb7DGN0.mp4?tag=3")</f>
        <v/>
      </c>
      <c r="G2902" t="s"/>
      <c r="H2902" t="s"/>
      <c r="I2902" t="s"/>
      <c r="J2902" t="n">
        <v>0</v>
      </c>
      <c r="K2902" t="n">
        <v>0</v>
      </c>
      <c r="L2902" t="n">
        <v>1</v>
      </c>
      <c r="M2902" t="n">
        <v>0</v>
      </c>
    </row>
    <row r="2903" spans="1:13">
      <c r="A2903" s="1">
        <f>HYPERLINK("http://www.twitter.com/NathanBLawrence/status/988869048942452736", "988869048942452736")</f>
        <v/>
      </c>
      <c r="B2903" s="2" t="n">
        <v>43214.83018518519</v>
      </c>
      <c r="C2903" t="n">
        <v>0</v>
      </c>
      <c r="D2903" t="n">
        <v>17</v>
      </c>
      <c r="E2903" t="s">
        <v>2861</v>
      </c>
      <c r="F2903" t="s"/>
      <c r="G2903" t="s"/>
      <c r="H2903" t="s"/>
      <c r="I2903" t="s"/>
      <c r="J2903" t="n">
        <v>-0.296</v>
      </c>
      <c r="K2903" t="n">
        <v>0.212</v>
      </c>
      <c r="L2903" t="n">
        <v>0.616</v>
      </c>
      <c r="M2903" t="n">
        <v>0.171</v>
      </c>
    </row>
    <row r="2904" spans="1:13">
      <c r="A2904" s="1">
        <f>HYPERLINK("http://www.twitter.com/NathanBLawrence/status/988868763192786944", "988868763192786944")</f>
        <v/>
      </c>
      <c r="B2904" s="2" t="n">
        <v>43214.82939814815</v>
      </c>
      <c r="C2904" t="n">
        <v>0</v>
      </c>
      <c r="D2904" t="n">
        <v>18</v>
      </c>
      <c r="E2904" t="s">
        <v>2862</v>
      </c>
      <c r="F2904">
        <f>HYPERLINK("http://pbs.twimg.com/media/DbkoPj5U0AEjpHc.jpg", "http://pbs.twimg.com/media/DbkoPj5U0AEjpHc.jpg")</f>
        <v/>
      </c>
      <c r="G2904" t="s"/>
      <c r="H2904" t="s"/>
      <c r="I2904" t="s"/>
      <c r="J2904" t="n">
        <v>0</v>
      </c>
      <c r="K2904" t="n">
        <v>0</v>
      </c>
      <c r="L2904" t="n">
        <v>1</v>
      </c>
      <c r="M2904" t="n">
        <v>0</v>
      </c>
    </row>
    <row r="2905" spans="1:13">
      <c r="A2905" s="1">
        <f>HYPERLINK("http://www.twitter.com/NathanBLawrence/status/988868038941437952", "988868038941437952")</f>
        <v/>
      </c>
      <c r="B2905" s="2" t="n">
        <v>43214.82739583333</v>
      </c>
      <c r="C2905" t="n">
        <v>0</v>
      </c>
      <c r="D2905" t="n">
        <v>13</v>
      </c>
      <c r="E2905" t="s">
        <v>2863</v>
      </c>
      <c r="F2905">
        <f>HYPERLINK("https://video.twimg.com/ext_tw_video/988867887837392896/pu/vid/1280x720/dUmudyaNvVHSLU8N.mp4?tag=3", "https://video.twimg.com/ext_tw_video/988867887837392896/pu/vid/1280x720/dUmudyaNvVHSLU8N.mp4?tag=3")</f>
        <v/>
      </c>
      <c r="G2905" t="s"/>
      <c r="H2905" t="s"/>
      <c r="I2905" t="s"/>
      <c r="J2905" t="n">
        <v>0.4263</v>
      </c>
      <c r="K2905" t="n">
        <v>0</v>
      </c>
      <c r="L2905" t="n">
        <v>0.871</v>
      </c>
      <c r="M2905" t="n">
        <v>0.129</v>
      </c>
    </row>
    <row r="2906" spans="1:13">
      <c r="A2906" s="1">
        <f>HYPERLINK("http://www.twitter.com/NathanBLawrence/status/988868002329300993", "988868002329300993")</f>
        <v/>
      </c>
      <c r="B2906" s="2" t="n">
        <v>43214.82729166667</v>
      </c>
      <c r="C2906" t="n">
        <v>14</v>
      </c>
      <c r="D2906" t="n">
        <v>13</v>
      </c>
      <c r="E2906" t="s">
        <v>2864</v>
      </c>
      <c r="F2906">
        <f>HYPERLINK("https://video.twimg.com/ext_tw_video/988867887837392896/pu/vid/1280x720/dUmudyaNvVHSLU8N.mp4?tag=3", "https://video.twimg.com/ext_tw_video/988867887837392896/pu/vid/1280x720/dUmudyaNvVHSLU8N.mp4?tag=3")</f>
        <v/>
      </c>
      <c r="G2906" t="s"/>
      <c r="H2906" t="s"/>
      <c r="I2906" t="s"/>
      <c r="J2906" t="n">
        <v>-0.3578</v>
      </c>
      <c r="K2906" t="n">
        <v>0.099</v>
      </c>
      <c r="L2906" t="n">
        <v>0.838</v>
      </c>
      <c r="M2906" t="n">
        <v>0.062</v>
      </c>
    </row>
    <row r="2907" spans="1:13">
      <c r="A2907" s="1">
        <f>HYPERLINK("http://www.twitter.com/NathanBLawrence/status/988862713077125121", "988862713077125121")</f>
        <v/>
      </c>
      <c r="B2907" s="2" t="n">
        <v>43214.81269675926</v>
      </c>
      <c r="C2907" t="n">
        <v>14</v>
      </c>
      <c r="D2907" t="n">
        <v>12</v>
      </c>
      <c r="E2907" t="s">
        <v>2865</v>
      </c>
      <c r="F2907">
        <f>HYPERLINK("http://pbs.twimg.com/media/DbklY4nWkAACgWt.jpg", "http://pbs.twimg.com/media/DbklY4nWkAACgWt.jpg")</f>
        <v/>
      </c>
      <c r="G2907" t="s"/>
      <c r="H2907" t="s"/>
      <c r="I2907" t="s"/>
      <c r="J2907" t="n">
        <v>0</v>
      </c>
      <c r="K2907" t="n">
        <v>0</v>
      </c>
      <c r="L2907" t="n">
        <v>1</v>
      </c>
      <c r="M2907" t="n">
        <v>0</v>
      </c>
    </row>
    <row r="2908" spans="1:13">
      <c r="A2908" s="1">
        <f>HYPERLINK("http://www.twitter.com/NathanBLawrence/status/988860210705035266", "988860210705035266")</f>
        <v/>
      </c>
      <c r="B2908" s="2" t="n">
        <v>43214.80579861111</v>
      </c>
      <c r="C2908" t="n">
        <v>0</v>
      </c>
      <c r="D2908" t="n">
        <v>8</v>
      </c>
      <c r="E2908" t="s">
        <v>2866</v>
      </c>
      <c r="F2908">
        <f>HYPERLINK("http://pbs.twimg.com/media/DbkeEswW4AA-tW1.jpg", "http://pbs.twimg.com/media/DbkeEswW4AA-tW1.jpg")</f>
        <v/>
      </c>
      <c r="G2908" t="s"/>
      <c r="H2908" t="s"/>
      <c r="I2908" t="s"/>
      <c r="J2908" t="n">
        <v>0</v>
      </c>
      <c r="K2908" t="n">
        <v>0</v>
      </c>
      <c r="L2908" t="n">
        <v>1</v>
      </c>
      <c r="M2908" t="n">
        <v>0</v>
      </c>
    </row>
    <row r="2909" spans="1:13">
      <c r="A2909" s="1">
        <f>HYPERLINK("http://www.twitter.com/NathanBLawrence/status/988860155415678976", "988860155415678976")</f>
        <v/>
      </c>
      <c r="B2909" s="2" t="n">
        <v>43214.80563657408</v>
      </c>
      <c r="C2909" t="n">
        <v>0</v>
      </c>
      <c r="D2909" t="n">
        <v>8</v>
      </c>
      <c r="E2909" t="s">
        <v>2867</v>
      </c>
      <c r="F2909" t="s"/>
      <c r="G2909" t="s"/>
      <c r="H2909" t="s"/>
      <c r="I2909" t="s"/>
      <c r="J2909" t="n">
        <v>0</v>
      </c>
      <c r="K2909" t="n">
        <v>0</v>
      </c>
      <c r="L2909" t="n">
        <v>1</v>
      </c>
      <c r="M2909" t="n">
        <v>0</v>
      </c>
    </row>
    <row r="2910" spans="1:13">
      <c r="A2910" s="1">
        <f>HYPERLINK("http://www.twitter.com/NathanBLawrence/status/988860135245303809", "988860135245303809")</f>
        <v/>
      </c>
      <c r="B2910" s="2" t="n">
        <v>43214.80559027778</v>
      </c>
      <c r="C2910" t="n">
        <v>0</v>
      </c>
      <c r="D2910" t="n">
        <v>5</v>
      </c>
      <c r="E2910" t="s">
        <v>2868</v>
      </c>
      <c r="F2910" t="s"/>
      <c r="G2910" t="s"/>
      <c r="H2910" t="s"/>
      <c r="I2910" t="s"/>
      <c r="J2910" t="n">
        <v>0.6705</v>
      </c>
      <c r="K2910" t="n">
        <v>0</v>
      </c>
      <c r="L2910" t="n">
        <v>0.766</v>
      </c>
      <c r="M2910" t="n">
        <v>0.234</v>
      </c>
    </row>
    <row r="2911" spans="1:13">
      <c r="A2911" s="1">
        <f>HYPERLINK("http://www.twitter.com/NathanBLawrence/status/988860106015150082", "988860106015150082")</f>
        <v/>
      </c>
      <c r="B2911" s="2" t="n">
        <v>43214.80550925926</v>
      </c>
      <c r="C2911" t="n">
        <v>0</v>
      </c>
      <c r="D2911" t="n">
        <v>10</v>
      </c>
      <c r="E2911" t="s">
        <v>2869</v>
      </c>
      <c r="F2911" t="s"/>
      <c r="G2911" t="s"/>
      <c r="H2911" t="s"/>
      <c r="I2911" t="s"/>
      <c r="J2911" t="n">
        <v>0.7506</v>
      </c>
      <c r="K2911" t="n">
        <v>0</v>
      </c>
      <c r="L2911" t="n">
        <v>0.726</v>
      </c>
      <c r="M2911" t="n">
        <v>0.274</v>
      </c>
    </row>
    <row r="2912" spans="1:13">
      <c r="A2912" s="1">
        <f>HYPERLINK("http://www.twitter.com/NathanBLawrence/status/988860084670337026", "988860084670337026")</f>
        <v/>
      </c>
      <c r="B2912" s="2" t="n">
        <v>43214.80543981482</v>
      </c>
      <c r="C2912" t="n">
        <v>0</v>
      </c>
      <c r="D2912" t="n">
        <v>9</v>
      </c>
      <c r="E2912" t="s">
        <v>2870</v>
      </c>
      <c r="F2912" t="s"/>
      <c r="G2912" t="s"/>
      <c r="H2912" t="s"/>
      <c r="I2912" t="s"/>
      <c r="J2912" t="n">
        <v>-0.3182</v>
      </c>
      <c r="K2912" t="n">
        <v>0.113</v>
      </c>
      <c r="L2912" t="n">
        <v>0.887</v>
      </c>
      <c r="M2912" t="n">
        <v>0</v>
      </c>
    </row>
    <row r="2913" spans="1:13">
      <c r="A2913" s="1">
        <f>HYPERLINK("http://www.twitter.com/NathanBLawrence/status/988854667928104960", "988854667928104960")</f>
        <v/>
      </c>
      <c r="B2913" s="2" t="n">
        <v>43214.79049768519</v>
      </c>
      <c r="C2913" t="n">
        <v>12</v>
      </c>
      <c r="D2913" t="n">
        <v>8</v>
      </c>
      <c r="E2913" t="s">
        <v>2871</v>
      </c>
      <c r="F2913">
        <f>HYPERLINK("http://pbs.twimg.com/media/DbkeEswW4AA-tW1.jpg", "http://pbs.twimg.com/media/DbkeEswW4AA-tW1.jpg")</f>
        <v/>
      </c>
      <c r="G2913" t="s"/>
      <c r="H2913" t="s"/>
      <c r="I2913" t="s"/>
      <c r="J2913" t="n">
        <v>0</v>
      </c>
      <c r="K2913" t="n">
        <v>0</v>
      </c>
      <c r="L2913" t="n">
        <v>1</v>
      </c>
      <c r="M2913" t="n">
        <v>0</v>
      </c>
    </row>
    <row r="2914" spans="1:13">
      <c r="A2914" s="1">
        <f>HYPERLINK("http://www.twitter.com/NathanBLawrence/status/988853363864465410", "988853363864465410")</f>
        <v/>
      </c>
      <c r="B2914" s="2" t="n">
        <v>43214.78689814815</v>
      </c>
      <c r="C2914" t="n">
        <v>4</v>
      </c>
      <c r="D2914" t="n">
        <v>3</v>
      </c>
      <c r="E2914" t="s">
        <v>2872</v>
      </c>
      <c r="F2914">
        <f>HYPERLINK("https://video.twimg.com/ext_tw_video/988853308675842048/pu/vid/480x640/PoygPLAqHPxgQbYB.mp4?tag=3", "https://video.twimg.com/ext_tw_video/988853308675842048/pu/vid/480x640/PoygPLAqHPxgQbYB.mp4?tag=3")</f>
        <v/>
      </c>
      <c r="G2914" t="s"/>
      <c r="H2914" t="s"/>
      <c r="I2914" t="s"/>
      <c r="J2914" t="n">
        <v>0</v>
      </c>
      <c r="K2914" t="n">
        <v>0</v>
      </c>
      <c r="L2914" t="n">
        <v>1</v>
      </c>
      <c r="M2914" t="n">
        <v>0</v>
      </c>
    </row>
    <row r="2915" spans="1:13">
      <c r="A2915" s="1">
        <f>HYPERLINK("http://www.twitter.com/NathanBLawrence/status/988853036104716294", "988853036104716294")</f>
        <v/>
      </c>
      <c r="B2915" s="2" t="n">
        <v>43214.78599537037</v>
      </c>
      <c r="C2915" t="n">
        <v>0</v>
      </c>
      <c r="D2915" t="n">
        <v>17</v>
      </c>
      <c r="E2915" t="s">
        <v>2873</v>
      </c>
      <c r="F2915">
        <f>HYPERLINK("http://pbs.twimg.com/media/DbkPuqCVwAAqd58.jpg", "http://pbs.twimg.com/media/DbkPuqCVwAAqd58.jpg")</f>
        <v/>
      </c>
      <c r="G2915" t="s"/>
      <c r="H2915" t="s"/>
      <c r="I2915" t="s"/>
      <c r="J2915" t="n">
        <v>0.6486</v>
      </c>
      <c r="K2915" t="n">
        <v>0</v>
      </c>
      <c r="L2915" t="n">
        <v>0.751</v>
      </c>
      <c r="M2915" t="n">
        <v>0.249</v>
      </c>
    </row>
    <row r="2916" spans="1:13">
      <c r="A2916" s="1">
        <f>HYPERLINK("http://www.twitter.com/NathanBLawrence/status/988852810715467776", "988852810715467776")</f>
        <v/>
      </c>
      <c r="B2916" s="2" t="n">
        <v>43214.78537037037</v>
      </c>
      <c r="C2916" t="n">
        <v>0</v>
      </c>
      <c r="D2916" t="n">
        <v>6</v>
      </c>
      <c r="E2916" t="s">
        <v>2874</v>
      </c>
      <c r="F2916" t="s"/>
      <c r="G2916" t="s"/>
      <c r="H2916" t="s"/>
      <c r="I2916" t="s"/>
      <c r="J2916" t="n">
        <v>0</v>
      </c>
      <c r="K2916" t="n">
        <v>0</v>
      </c>
      <c r="L2916" t="n">
        <v>1</v>
      </c>
      <c r="M2916" t="n">
        <v>0</v>
      </c>
    </row>
    <row r="2917" spans="1:13">
      <c r="A2917" s="1">
        <f>HYPERLINK("http://www.twitter.com/NathanBLawrence/status/988852735566020609", "988852735566020609")</f>
        <v/>
      </c>
      <c r="B2917" s="2" t="n">
        <v>43214.78516203703</v>
      </c>
      <c r="C2917" t="n">
        <v>0</v>
      </c>
      <c r="D2917" t="n">
        <v>19</v>
      </c>
      <c r="E2917" t="s">
        <v>2875</v>
      </c>
      <c r="F2917" t="s"/>
      <c r="G2917" t="s"/>
      <c r="H2917" t="s"/>
      <c r="I2917" t="s"/>
      <c r="J2917" t="n">
        <v>-0.5622</v>
      </c>
      <c r="K2917" t="n">
        <v>0.168</v>
      </c>
      <c r="L2917" t="n">
        <v>0.832</v>
      </c>
      <c r="M2917" t="n">
        <v>0</v>
      </c>
    </row>
    <row r="2918" spans="1:13">
      <c r="A2918" s="1">
        <f>HYPERLINK("http://www.twitter.com/NathanBLawrence/status/988834188802625536", "988834188802625536")</f>
        <v/>
      </c>
      <c r="B2918" s="2" t="n">
        <v>43214.73398148148</v>
      </c>
      <c r="C2918" t="n">
        <v>0</v>
      </c>
      <c r="D2918" t="n">
        <v>6</v>
      </c>
      <c r="E2918" t="s">
        <v>2876</v>
      </c>
      <c r="F2918" t="s"/>
      <c r="G2918" t="s"/>
      <c r="H2918" t="s"/>
      <c r="I2918" t="s"/>
      <c r="J2918" t="n">
        <v>-0.4199</v>
      </c>
      <c r="K2918" t="n">
        <v>0.192</v>
      </c>
      <c r="L2918" t="n">
        <v>0.8080000000000001</v>
      </c>
      <c r="M2918" t="n">
        <v>0</v>
      </c>
    </row>
    <row r="2919" spans="1:13">
      <c r="A2919" s="1">
        <f>HYPERLINK("http://www.twitter.com/NathanBLawrence/status/988833905901015042", "988833905901015042")</f>
        <v/>
      </c>
      <c r="B2919" s="2" t="n">
        <v>43214.73320601852</v>
      </c>
      <c r="C2919" t="n">
        <v>0</v>
      </c>
      <c r="D2919" t="n">
        <v>7</v>
      </c>
      <c r="E2919" t="s">
        <v>2877</v>
      </c>
      <c r="F2919">
        <f>HYPERLINK("http://pbs.twimg.com/media/DbkLKopVMAAJdcS.jpg", "http://pbs.twimg.com/media/DbkLKopVMAAJdcS.jpg")</f>
        <v/>
      </c>
      <c r="G2919" t="s"/>
      <c r="H2919" t="s"/>
      <c r="I2919" t="s"/>
      <c r="J2919" t="n">
        <v>0</v>
      </c>
      <c r="K2919" t="n">
        <v>0</v>
      </c>
      <c r="L2919" t="n">
        <v>1</v>
      </c>
      <c r="M2919" t="n">
        <v>0</v>
      </c>
    </row>
    <row r="2920" spans="1:13">
      <c r="A2920" s="1">
        <f>HYPERLINK("http://www.twitter.com/NathanBLawrence/status/988833881653694464", "988833881653694464")</f>
        <v/>
      </c>
      <c r="B2920" s="2" t="n">
        <v>43214.73313657408</v>
      </c>
      <c r="C2920" t="n">
        <v>6</v>
      </c>
      <c r="D2920" t="n">
        <v>7</v>
      </c>
      <c r="E2920" t="s">
        <v>2878</v>
      </c>
      <c r="F2920">
        <f>HYPERLINK("http://pbs.twimg.com/media/DbkLKopVMAAJdcS.jpg", "http://pbs.twimg.com/media/DbkLKopVMAAJdcS.jpg")</f>
        <v/>
      </c>
      <c r="G2920" t="s"/>
      <c r="H2920" t="s"/>
      <c r="I2920" t="s"/>
      <c r="J2920" t="n">
        <v>0</v>
      </c>
      <c r="K2920" t="n">
        <v>0</v>
      </c>
      <c r="L2920" t="n">
        <v>1</v>
      </c>
      <c r="M2920" t="n">
        <v>0</v>
      </c>
    </row>
    <row r="2921" spans="1:13">
      <c r="A2921" s="1">
        <f>HYPERLINK("http://www.twitter.com/NathanBLawrence/status/988832361549844480", "988832361549844480")</f>
        <v/>
      </c>
      <c r="B2921" s="2" t="n">
        <v>43214.72894675926</v>
      </c>
      <c r="C2921" t="n">
        <v>0</v>
      </c>
      <c r="D2921" t="n">
        <v>6</v>
      </c>
      <c r="E2921" t="s">
        <v>2879</v>
      </c>
      <c r="F2921" t="s"/>
      <c r="G2921" t="s"/>
      <c r="H2921" t="s"/>
      <c r="I2921" t="s"/>
      <c r="J2921" t="n">
        <v>0</v>
      </c>
      <c r="K2921" t="n">
        <v>0</v>
      </c>
      <c r="L2921" t="n">
        <v>1</v>
      </c>
      <c r="M2921" t="n">
        <v>0</v>
      </c>
    </row>
    <row r="2922" spans="1:13">
      <c r="A2922" s="1">
        <f>HYPERLINK("http://www.twitter.com/NathanBLawrence/status/988832343988285441", "988832343988285441")</f>
        <v/>
      </c>
      <c r="B2922" s="2" t="n">
        <v>43214.72890046296</v>
      </c>
      <c r="C2922" t="n">
        <v>4</v>
      </c>
      <c r="D2922" t="n">
        <v>2</v>
      </c>
      <c r="E2922" t="s">
        <v>2880</v>
      </c>
      <c r="F2922">
        <f>HYPERLINK("http://pbs.twimg.com/media/DbkJxeZXkAI4llC.jpg", "http://pbs.twimg.com/media/DbkJxeZXkAI4llC.jpg")</f>
        <v/>
      </c>
      <c r="G2922" t="s"/>
      <c r="H2922" t="s"/>
      <c r="I2922" t="s"/>
      <c r="J2922" t="n">
        <v>0</v>
      </c>
      <c r="K2922" t="n">
        <v>0</v>
      </c>
      <c r="L2922" t="n">
        <v>1</v>
      </c>
      <c r="M2922" t="n">
        <v>0</v>
      </c>
    </row>
    <row r="2923" spans="1:13">
      <c r="A2923" s="1">
        <f>HYPERLINK("http://www.twitter.com/NathanBLawrence/status/988832177226907649", "988832177226907649")</f>
        <v/>
      </c>
      <c r="B2923" s="2" t="n">
        <v>43214.7284375</v>
      </c>
      <c r="C2923" t="n">
        <v>0</v>
      </c>
      <c r="D2923" t="n">
        <v>2</v>
      </c>
      <c r="E2923" t="s">
        <v>2881</v>
      </c>
      <c r="F2923" t="s"/>
      <c r="G2923" t="s"/>
      <c r="H2923" t="s"/>
      <c r="I2923" t="s"/>
      <c r="J2923" t="n">
        <v>0</v>
      </c>
      <c r="K2923" t="n">
        <v>0</v>
      </c>
      <c r="L2923" t="n">
        <v>1</v>
      </c>
      <c r="M2923" t="n">
        <v>0</v>
      </c>
    </row>
    <row r="2924" spans="1:13">
      <c r="A2924" s="1">
        <f>HYPERLINK("http://www.twitter.com/NathanBLawrence/status/988832153617256450", "988832153617256450")</f>
        <v/>
      </c>
      <c r="B2924" s="2" t="n">
        <v>43214.72836805556</v>
      </c>
      <c r="C2924" t="n">
        <v>0</v>
      </c>
      <c r="D2924" t="n">
        <v>0</v>
      </c>
      <c r="E2924" t="s">
        <v>2882</v>
      </c>
      <c r="F2924">
        <f>HYPERLINK("https://video.twimg.com/ext_tw_video/988832094817222659/pu/vid/1280x720/LzxPVJqm-4ywZbHX.mp4?tag=3", "https://video.twimg.com/ext_tw_video/988832094817222659/pu/vid/1280x720/LzxPVJqm-4ywZbHX.mp4?tag=3")</f>
        <v/>
      </c>
      <c r="G2924" t="s"/>
      <c r="H2924" t="s"/>
      <c r="I2924" t="s"/>
      <c r="J2924" t="n">
        <v>0</v>
      </c>
      <c r="K2924" t="n">
        <v>0</v>
      </c>
      <c r="L2924" t="n">
        <v>1</v>
      </c>
      <c r="M2924" t="n">
        <v>0</v>
      </c>
    </row>
    <row r="2925" spans="1:13">
      <c r="A2925" s="1">
        <f>HYPERLINK("http://www.twitter.com/NathanBLawrence/status/988831949417582592", "988831949417582592")</f>
        <v/>
      </c>
      <c r="B2925" s="2" t="n">
        <v>43214.7278125</v>
      </c>
      <c r="C2925" t="n">
        <v>0</v>
      </c>
      <c r="D2925" t="n">
        <v>2</v>
      </c>
      <c r="E2925" t="s">
        <v>2883</v>
      </c>
      <c r="F2925" t="s"/>
      <c r="G2925" t="s"/>
      <c r="H2925" t="s"/>
      <c r="I2925" t="s"/>
      <c r="J2925" t="n">
        <v>0</v>
      </c>
      <c r="K2925" t="n">
        <v>0</v>
      </c>
      <c r="L2925" t="n">
        <v>1</v>
      </c>
      <c r="M2925" t="n">
        <v>0</v>
      </c>
    </row>
    <row r="2926" spans="1:13">
      <c r="A2926" s="1">
        <f>HYPERLINK("http://www.twitter.com/NathanBLawrence/status/988829574430588929", "988829574430588929")</f>
        <v/>
      </c>
      <c r="B2926" s="2" t="n">
        <v>43214.72125</v>
      </c>
      <c r="C2926" t="n">
        <v>0</v>
      </c>
      <c r="D2926" t="n">
        <v>2</v>
      </c>
      <c r="E2926" t="s">
        <v>2884</v>
      </c>
      <c r="F2926">
        <f>HYPERLINK("https://video.twimg.com/ext_tw_video/988820130447544320/pu/vid/1280x720/hUbR1rQ2I3HpaZnc.mp4?tag=3", "https://video.twimg.com/ext_tw_video/988820130447544320/pu/vid/1280x720/hUbR1rQ2I3HpaZnc.mp4?tag=3")</f>
        <v/>
      </c>
      <c r="G2926" t="s"/>
      <c r="H2926" t="s"/>
      <c r="I2926" t="s"/>
      <c r="J2926" t="n">
        <v>-0.4767</v>
      </c>
      <c r="K2926" t="n">
        <v>0.14</v>
      </c>
      <c r="L2926" t="n">
        <v>0.86</v>
      </c>
      <c r="M2926" t="n">
        <v>0</v>
      </c>
    </row>
    <row r="2927" spans="1:13">
      <c r="A2927" s="1">
        <f>HYPERLINK("http://www.twitter.com/NathanBLawrence/status/988826872082587648", "988826872082587648")</f>
        <v/>
      </c>
      <c r="B2927" s="2" t="n">
        <v>43214.7137962963</v>
      </c>
      <c r="C2927" t="n">
        <v>1</v>
      </c>
      <c r="D2927" t="n">
        <v>0</v>
      </c>
      <c r="E2927" t="s">
        <v>2885</v>
      </c>
      <c r="F2927" t="s"/>
      <c r="G2927" t="s"/>
      <c r="H2927" t="s"/>
      <c r="I2927" t="s"/>
      <c r="J2927" t="n">
        <v>0</v>
      </c>
      <c r="K2927" t="n">
        <v>0</v>
      </c>
      <c r="L2927" t="n">
        <v>1</v>
      </c>
      <c r="M2927" t="n">
        <v>0</v>
      </c>
    </row>
    <row r="2928" spans="1:13">
      <c r="A2928" s="1">
        <f>HYPERLINK("http://www.twitter.com/NathanBLawrence/status/988826730151464965", "988826730151464965")</f>
        <v/>
      </c>
      <c r="B2928" s="2" t="n">
        <v>43214.71340277778</v>
      </c>
      <c r="C2928" t="n">
        <v>0</v>
      </c>
      <c r="D2928" t="n">
        <v>9</v>
      </c>
      <c r="E2928" t="s">
        <v>2886</v>
      </c>
      <c r="F2928" t="s"/>
      <c r="G2928" t="s"/>
      <c r="H2928" t="s"/>
      <c r="I2928" t="s"/>
      <c r="J2928" t="n">
        <v>0</v>
      </c>
      <c r="K2928" t="n">
        <v>0</v>
      </c>
      <c r="L2928" t="n">
        <v>1</v>
      </c>
      <c r="M2928" t="n">
        <v>0</v>
      </c>
    </row>
    <row r="2929" spans="1:13">
      <c r="A2929" s="1">
        <f>HYPERLINK("http://www.twitter.com/NathanBLawrence/status/988826630582931456", "988826630582931456")</f>
        <v/>
      </c>
      <c r="B2929" s="2" t="n">
        <v>43214.713125</v>
      </c>
      <c r="C2929" t="n">
        <v>0</v>
      </c>
      <c r="D2929" t="n">
        <v>14</v>
      </c>
      <c r="E2929" t="s">
        <v>2887</v>
      </c>
      <c r="F2929" t="s"/>
      <c r="G2929" t="s"/>
      <c r="H2929" t="s"/>
      <c r="I2929" t="s"/>
      <c r="J2929" t="n">
        <v>-0.2732</v>
      </c>
      <c r="K2929" t="n">
        <v>0.1</v>
      </c>
      <c r="L2929" t="n">
        <v>0.9</v>
      </c>
      <c r="M2929" t="n">
        <v>0</v>
      </c>
    </row>
    <row r="2930" spans="1:13">
      <c r="A2930" s="1">
        <f>HYPERLINK("http://www.twitter.com/NathanBLawrence/status/988820855194050561", "988820855194050561")</f>
        <v/>
      </c>
      <c r="B2930" s="2" t="n">
        <v>43214.6971875</v>
      </c>
      <c r="C2930" t="n">
        <v>1</v>
      </c>
      <c r="D2930" t="n">
        <v>0</v>
      </c>
      <c r="E2930" t="s">
        <v>2888</v>
      </c>
      <c r="F2930">
        <f>HYPERLINK("http://pbs.twimg.com/media/Dbj_UpDVMAE9hP1.jpg", "http://pbs.twimg.com/media/Dbj_UpDVMAE9hP1.jpg")</f>
        <v/>
      </c>
      <c r="G2930" t="s"/>
      <c r="H2930" t="s"/>
      <c r="I2930" t="s"/>
      <c r="J2930" t="n">
        <v>0</v>
      </c>
      <c r="K2930" t="n">
        <v>0</v>
      </c>
      <c r="L2930" t="n">
        <v>1</v>
      </c>
      <c r="M2930" t="n">
        <v>0</v>
      </c>
    </row>
    <row r="2931" spans="1:13">
      <c r="A2931" s="1">
        <f>HYPERLINK("http://www.twitter.com/NathanBLawrence/status/988820593444352001", "988820593444352001")</f>
        <v/>
      </c>
      <c r="B2931" s="2" t="n">
        <v>43214.69646990741</v>
      </c>
      <c r="C2931" t="n">
        <v>0</v>
      </c>
      <c r="D2931" t="n">
        <v>24</v>
      </c>
      <c r="E2931" t="s">
        <v>2889</v>
      </c>
      <c r="F2931" t="s"/>
      <c r="G2931" t="s"/>
      <c r="H2931" t="s"/>
      <c r="I2931" t="s"/>
      <c r="J2931" t="n">
        <v>0</v>
      </c>
      <c r="K2931" t="n">
        <v>0</v>
      </c>
      <c r="L2931" t="n">
        <v>1</v>
      </c>
      <c r="M2931" t="n">
        <v>0</v>
      </c>
    </row>
    <row r="2932" spans="1:13">
      <c r="A2932" s="1">
        <f>HYPERLINK("http://www.twitter.com/NathanBLawrence/status/988820506290860032", "988820506290860032")</f>
        <v/>
      </c>
      <c r="B2932" s="2" t="n">
        <v>43214.69622685185</v>
      </c>
      <c r="C2932" t="n">
        <v>0</v>
      </c>
      <c r="D2932" t="n">
        <v>103</v>
      </c>
      <c r="E2932" t="s">
        <v>2890</v>
      </c>
      <c r="F2932" t="s"/>
      <c r="G2932" t="s"/>
      <c r="H2932" t="s"/>
      <c r="I2932" t="s"/>
      <c r="J2932" t="n">
        <v>-0.25</v>
      </c>
      <c r="K2932" t="n">
        <v>0.1</v>
      </c>
      <c r="L2932" t="n">
        <v>0.84</v>
      </c>
      <c r="M2932" t="n">
        <v>0.06</v>
      </c>
    </row>
    <row r="2933" spans="1:13">
      <c r="A2933" s="1">
        <f>HYPERLINK("http://www.twitter.com/NathanBLawrence/status/988820492424503296", "988820492424503296")</f>
        <v/>
      </c>
      <c r="B2933" s="2" t="n">
        <v>43214.69619212963</v>
      </c>
      <c r="C2933" t="n">
        <v>0</v>
      </c>
      <c r="D2933" t="n">
        <v>7</v>
      </c>
      <c r="E2933" t="s">
        <v>2891</v>
      </c>
      <c r="F2933" t="s"/>
      <c r="G2933" t="s"/>
      <c r="H2933" t="s"/>
      <c r="I2933" t="s"/>
      <c r="J2933" t="n">
        <v>-0.3612</v>
      </c>
      <c r="K2933" t="n">
        <v>0.116</v>
      </c>
      <c r="L2933" t="n">
        <v>0.884</v>
      </c>
      <c r="M2933" t="n">
        <v>0</v>
      </c>
    </row>
    <row r="2934" spans="1:13">
      <c r="A2934" s="1">
        <f>HYPERLINK("http://www.twitter.com/NathanBLawrence/status/988820457947303936", "988820457947303936")</f>
        <v/>
      </c>
      <c r="B2934" s="2" t="n">
        <v>43214.69609953704</v>
      </c>
      <c r="C2934" t="n">
        <v>0</v>
      </c>
      <c r="D2934" t="n">
        <v>78</v>
      </c>
      <c r="E2934" t="s">
        <v>2892</v>
      </c>
      <c r="F2934" t="s"/>
      <c r="G2934" t="s"/>
      <c r="H2934" t="s"/>
      <c r="I2934" t="s"/>
      <c r="J2934" t="n">
        <v>0.3612</v>
      </c>
      <c r="K2934" t="n">
        <v>0</v>
      </c>
      <c r="L2934" t="n">
        <v>0.898</v>
      </c>
      <c r="M2934" t="n">
        <v>0.102</v>
      </c>
    </row>
    <row r="2935" spans="1:13">
      <c r="A2935" s="1">
        <f>HYPERLINK("http://www.twitter.com/NathanBLawrence/status/988820439744090112", "988820439744090112")</f>
        <v/>
      </c>
      <c r="B2935" s="2" t="n">
        <v>43214.69604166667</v>
      </c>
      <c r="C2935" t="n">
        <v>0</v>
      </c>
      <c r="D2935" t="n">
        <v>14</v>
      </c>
      <c r="E2935" t="s">
        <v>2893</v>
      </c>
      <c r="F2935">
        <f>HYPERLINK("http://pbs.twimg.com/media/DbjSvMRVQAEvz_u.jpg", "http://pbs.twimg.com/media/DbjSvMRVQAEvz_u.jpg")</f>
        <v/>
      </c>
      <c r="G2935" t="s"/>
      <c r="H2935" t="s"/>
      <c r="I2935" t="s"/>
      <c r="J2935" t="n">
        <v>0.6369</v>
      </c>
      <c r="K2935" t="n">
        <v>0.089</v>
      </c>
      <c r="L2935" t="n">
        <v>0.674</v>
      </c>
      <c r="M2935" t="n">
        <v>0.238</v>
      </c>
    </row>
    <row r="2936" spans="1:13">
      <c r="A2936" s="1">
        <f>HYPERLINK("http://www.twitter.com/NathanBLawrence/status/988820189675442179", "988820189675442179")</f>
        <v/>
      </c>
      <c r="B2936" s="2" t="n">
        <v>43214.6953587963</v>
      </c>
      <c r="C2936" t="n">
        <v>3</v>
      </c>
      <c r="D2936" t="n">
        <v>2</v>
      </c>
      <c r="E2936" t="s">
        <v>2894</v>
      </c>
      <c r="F2936">
        <f>HYPERLINK("https://video.twimg.com/ext_tw_video/988820130447544320/pu/vid/1280x720/hUbR1rQ2I3HpaZnc.mp4?tag=3", "https://video.twimg.com/ext_tw_video/988820130447544320/pu/vid/1280x720/hUbR1rQ2I3HpaZnc.mp4?tag=3")</f>
        <v/>
      </c>
      <c r="G2936" t="s"/>
      <c r="H2936" t="s"/>
      <c r="I2936" t="s"/>
      <c r="J2936" t="n">
        <v>0.2244</v>
      </c>
      <c r="K2936" t="n">
        <v>0.079</v>
      </c>
      <c r="L2936" t="n">
        <v>0.819</v>
      </c>
      <c r="M2936" t="n">
        <v>0.102</v>
      </c>
    </row>
    <row r="2937" spans="1:13">
      <c r="A2937" s="1">
        <f>HYPERLINK("http://www.twitter.com/NathanBLawrence/status/988819852826726401", "988819852826726401")</f>
        <v/>
      </c>
      <c r="B2937" s="2" t="n">
        <v>43214.6944212963</v>
      </c>
      <c r="C2937" t="n">
        <v>8</v>
      </c>
      <c r="D2937" t="n">
        <v>2</v>
      </c>
      <c r="E2937" t="s">
        <v>2895</v>
      </c>
      <c r="F2937">
        <f>HYPERLINK("https://video.twimg.com/ext_tw_video/988819795322716160/pu/vid/1280x720/JAXaVNB2tHpFii9g.mp4?tag=3", "https://video.twimg.com/ext_tw_video/988819795322716160/pu/vid/1280x720/JAXaVNB2tHpFii9g.mp4?tag=3")</f>
        <v/>
      </c>
      <c r="G2937" t="s"/>
      <c r="H2937" t="s"/>
      <c r="I2937" t="s"/>
      <c r="J2937" t="n">
        <v>0</v>
      </c>
      <c r="K2937" t="n">
        <v>0</v>
      </c>
      <c r="L2937" t="n">
        <v>1</v>
      </c>
      <c r="M2937" t="n">
        <v>0</v>
      </c>
    </row>
    <row r="2938" spans="1:13">
      <c r="A2938" s="1">
        <f>HYPERLINK("http://www.twitter.com/NathanBLawrence/status/988819830433288192", "988819830433288192")</f>
        <v/>
      </c>
      <c r="B2938" s="2" t="n">
        <v>43214.69436342592</v>
      </c>
      <c r="C2938" t="n">
        <v>0</v>
      </c>
      <c r="D2938" t="n">
        <v>21</v>
      </c>
      <c r="E2938" t="s">
        <v>2896</v>
      </c>
      <c r="F2938" t="s"/>
      <c r="G2938" t="s"/>
      <c r="H2938" t="s"/>
      <c r="I2938" t="s"/>
      <c r="J2938" t="n">
        <v>0</v>
      </c>
      <c r="K2938" t="n">
        <v>0</v>
      </c>
      <c r="L2938" t="n">
        <v>1</v>
      </c>
      <c r="M2938" t="n">
        <v>0</v>
      </c>
    </row>
    <row r="2939" spans="1:13">
      <c r="A2939" s="1">
        <f>HYPERLINK("http://www.twitter.com/NathanBLawrence/status/988819634521628672", "988819634521628672")</f>
        <v/>
      </c>
      <c r="B2939" s="2" t="n">
        <v>43214.69381944444</v>
      </c>
      <c r="C2939" t="n">
        <v>0</v>
      </c>
      <c r="D2939" t="n">
        <v>30</v>
      </c>
      <c r="E2939" t="s">
        <v>2897</v>
      </c>
      <c r="F2939" t="s"/>
      <c r="G2939" t="s"/>
      <c r="H2939" t="s"/>
      <c r="I2939" t="s"/>
      <c r="J2939" t="n">
        <v>0</v>
      </c>
      <c r="K2939" t="n">
        <v>0</v>
      </c>
      <c r="L2939" t="n">
        <v>1</v>
      </c>
      <c r="M2939" t="n">
        <v>0</v>
      </c>
    </row>
    <row r="2940" spans="1:13">
      <c r="A2940" s="1">
        <f>HYPERLINK("http://www.twitter.com/NathanBLawrence/status/988819600904245251", "988819600904245251")</f>
        <v/>
      </c>
      <c r="B2940" s="2" t="n">
        <v>43214.69372685185</v>
      </c>
      <c r="C2940" t="n">
        <v>0</v>
      </c>
      <c r="D2940" t="n">
        <v>124</v>
      </c>
      <c r="E2940" t="s">
        <v>2898</v>
      </c>
      <c r="F2940" t="s"/>
      <c r="G2940" t="s"/>
      <c r="H2940" t="s"/>
      <c r="I2940" t="s"/>
      <c r="J2940" t="n">
        <v>-0.5266999999999999</v>
      </c>
      <c r="K2940" t="n">
        <v>0.173</v>
      </c>
      <c r="L2940" t="n">
        <v>0.827</v>
      </c>
      <c r="M2940" t="n">
        <v>0</v>
      </c>
    </row>
    <row r="2941" spans="1:13">
      <c r="A2941" s="1">
        <f>HYPERLINK("http://www.twitter.com/NathanBLawrence/status/988819576677912576", "988819576677912576")</f>
        <v/>
      </c>
      <c r="B2941" s="2" t="n">
        <v>43214.69366898148</v>
      </c>
      <c r="C2941" t="n">
        <v>0</v>
      </c>
      <c r="D2941" t="n">
        <v>3</v>
      </c>
      <c r="E2941" t="s">
        <v>2899</v>
      </c>
      <c r="F2941" t="s"/>
      <c r="G2941" t="s"/>
      <c r="H2941" t="s"/>
      <c r="I2941" t="s"/>
      <c r="J2941" t="n">
        <v>0</v>
      </c>
      <c r="K2941" t="n">
        <v>0</v>
      </c>
      <c r="L2941" t="n">
        <v>1</v>
      </c>
      <c r="M2941" t="n">
        <v>0</v>
      </c>
    </row>
    <row r="2942" spans="1:13">
      <c r="A2942" s="1">
        <f>HYPERLINK("http://www.twitter.com/NathanBLawrence/status/988819543656226816", "988819543656226816")</f>
        <v/>
      </c>
      <c r="B2942" s="2" t="n">
        <v>43214.69357638889</v>
      </c>
      <c r="C2942" t="n">
        <v>0</v>
      </c>
      <c r="D2942" t="n">
        <v>2</v>
      </c>
      <c r="E2942" t="s">
        <v>2900</v>
      </c>
      <c r="F2942" t="s"/>
      <c r="G2942" t="s"/>
      <c r="H2942" t="s"/>
      <c r="I2942" t="s"/>
      <c r="J2942" t="n">
        <v>-0.6289</v>
      </c>
      <c r="K2942" t="n">
        <v>0.391</v>
      </c>
      <c r="L2942" t="n">
        <v>0.609</v>
      </c>
      <c r="M2942" t="n">
        <v>0</v>
      </c>
    </row>
    <row r="2943" spans="1:13">
      <c r="A2943" s="1">
        <f>HYPERLINK("http://www.twitter.com/NathanBLawrence/status/988819519757004800", "988819519757004800")</f>
        <v/>
      </c>
      <c r="B2943" s="2" t="n">
        <v>43214.69350694444</v>
      </c>
      <c r="C2943" t="n">
        <v>0</v>
      </c>
      <c r="D2943" t="n">
        <v>59</v>
      </c>
      <c r="E2943" t="s">
        <v>2901</v>
      </c>
      <c r="F2943" t="s"/>
      <c r="G2943" t="s"/>
      <c r="H2943" t="s"/>
      <c r="I2943" t="s"/>
      <c r="J2943" t="n">
        <v>0.3612</v>
      </c>
      <c r="K2943" t="n">
        <v>0</v>
      </c>
      <c r="L2943" t="n">
        <v>0.872</v>
      </c>
      <c r="M2943" t="n">
        <v>0.128</v>
      </c>
    </row>
    <row r="2944" spans="1:13">
      <c r="A2944" s="1">
        <f>HYPERLINK("http://www.twitter.com/NathanBLawrence/status/988819492313681920", "988819492313681920")</f>
        <v/>
      </c>
      <c r="B2944" s="2" t="n">
        <v>43214.6934375</v>
      </c>
      <c r="C2944" t="n">
        <v>0</v>
      </c>
      <c r="D2944" t="n">
        <v>3</v>
      </c>
      <c r="E2944" t="s">
        <v>2902</v>
      </c>
      <c r="F2944" t="s"/>
      <c r="G2944" t="s"/>
      <c r="H2944" t="s"/>
      <c r="I2944" t="s"/>
      <c r="J2944" t="n">
        <v>-0.5266999999999999</v>
      </c>
      <c r="K2944" t="n">
        <v>0.18</v>
      </c>
      <c r="L2944" t="n">
        <v>0.82</v>
      </c>
      <c r="M2944" t="n">
        <v>0</v>
      </c>
    </row>
    <row r="2945" spans="1:13">
      <c r="A2945" s="1">
        <f>HYPERLINK("http://www.twitter.com/NathanBLawrence/status/988819403490897921", "988819403490897921")</f>
        <v/>
      </c>
      <c r="B2945" s="2" t="n">
        <v>43214.69318287037</v>
      </c>
      <c r="C2945" t="n">
        <v>0</v>
      </c>
      <c r="D2945" t="n">
        <v>13</v>
      </c>
      <c r="E2945" t="s">
        <v>2903</v>
      </c>
      <c r="F2945">
        <f>HYPERLINK("http://pbs.twimg.com/media/Dbj87ZRU8AAVxEY.jpg", "http://pbs.twimg.com/media/Dbj87ZRU8AAVxEY.jpg")</f>
        <v/>
      </c>
      <c r="G2945" t="s"/>
      <c r="H2945" t="s"/>
      <c r="I2945" t="s"/>
      <c r="J2945" t="n">
        <v>0.0772</v>
      </c>
      <c r="K2945" t="n">
        <v>0.117</v>
      </c>
      <c r="L2945" t="n">
        <v>0.751</v>
      </c>
      <c r="M2945" t="n">
        <v>0.131</v>
      </c>
    </row>
    <row r="2946" spans="1:13">
      <c r="A2946" s="1">
        <f>HYPERLINK("http://www.twitter.com/NathanBLawrence/status/988819151383908352", "988819151383908352")</f>
        <v/>
      </c>
      <c r="B2946" s="2" t="n">
        <v>43214.69248842593</v>
      </c>
      <c r="C2946" t="n">
        <v>0</v>
      </c>
      <c r="D2946" t="n">
        <v>13</v>
      </c>
      <c r="E2946" t="s">
        <v>2904</v>
      </c>
      <c r="F2946">
        <f>HYPERLINK("http://pbs.twimg.com/media/DbjxxkyV0AEzlJa.jpg", "http://pbs.twimg.com/media/DbjxxkyV0AEzlJa.jpg")</f>
        <v/>
      </c>
      <c r="G2946" t="s"/>
      <c r="H2946" t="s"/>
      <c r="I2946" t="s"/>
      <c r="J2946" t="n">
        <v>0</v>
      </c>
      <c r="K2946" t="n">
        <v>0</v>
      </c>
      <c r="L2946" t="n">
        <v>1</v>
      </c>
      <c r="M2946" t="n">
        <v>0</v>
      </c>
    </row>
    <row r="2947" spans="1:13">
      <c r="A2947" s="1">
        <f>HYPERLINK("http://www.twitter.com/NathanBLawrence/status/988818024948994048", "988818024948994048")</f>
        <v/>
      </c>
      <c r="B2947" s="2" t="n">
        <v>43214.68938657407</v>
      </c>
      <c r="C2947" t="n">
        <v>0</v>
      </c>
      <c r="D2947" t="n">
        <v>12</v>
      </c>
      <c r="E2947" t="s">
        <v>2810</v>
      </c>
      <c r="F2947" t="s"/>
      <c r="G2947" t="s"/>
      <c r="H2947" t="s"/>
      <c r="I2947" t="s"/>
      <c r="J2947" t="n">
        <v>0</v>
      </c>
      <c r="K2947" t="n">
        <v>0</v>
      </c>
      <c r="L2947" t="n">
        <v>1</v>
      </c>
      <c r="M2947" t="n">
        <v>0</v>
      </c>
    </row>
    <row r="2948" spans="1:13">
      <c r="A2948" s="1">
        <f>HYPERLINK("http://www.twitter.com/NathanBLawrence/status/988817900231450624", "988817900231450624")</f>
        <v/>
      </c>
      <c r="B2948" s="2" t="n">
        <v>43214.68903935186</v>
      </c>
      <c r="C2948" t="n">
        <v>15</v>
      </c>
      <c r="D2948" t="n">
        <v>12</v>
      </c>
      <c r="E2948" t="s">
        <v>2812</v>
      </c>
      <c r="F2948" t="s"/>
      <c r="G2948" t="s"/>
      <c r="H2948" t="s"/>
      <c r="I2948" t="s"/>
      <c r="J2948" t="n">
        <v>-0.6249</v>
      </c>
      <c r="K2948" t="n">
        <v>0.137</v>
      </c>
      <c r="L2948" t="n">
        <v>0.863</v>
      </c>
      <c r="M2948" t="n">
        <v>0</v>
      </c>
    </row>
    <row r="2949" spans="1:13">
      <c r="A2949" s="1">
        <f>HYPERLINK("http://www.twitter.com/NathanBLawrence/status/988811369960148993", "988811369960148993")</f>
        <v/>
      </c>
      <c r="B2949" s="2" t="n">
        <v>43214.67101851852</v>
      </c>
      <c r="C2949" t="n">
        <v>2</v>
      </c>
      <c r="D2949" t="n">
        <v>1</v>
      </c>
      <c r="E2949" t="s">
        <v>2905</v>
      </c>
      <c r="F2949">
        <f>HYPERLINK("http://pbs.twimg.com/media/Dbj2smQW4AAsZqj.jpg", "http://pbs.twimg.com/media/Dbj2smQW4AAsZqj.jpg")</f>
        <v/>
      </c>
      <c r="G2949" t="s"/>
      <c r="H2949" t="s"/>
      <c r="I2949" t="s"/>
      <c r="J2949" t="n">
        <v>0</v>
      </c>
      <c r="K2949" t="n">
        <v>0</v>
      </c>
      <c r="L2949" t="n">
        <v>1</v>
      </c>
      <c r="M2949" t="n">
        <v>0</v>
      </c>
    </row>
    <row r="2950" spans="1:13">
      <c r="A2950" s="1">
        <f>HYPERLINK("http://www.twitter.com/NathanBLawrence/status/988811048970084353", "988811048970084353")</f>
        <v/>
      </c>
      <c r="B2950" s="2" t="n">
        <v>43214.67012731481</v>
      </c>
      <c r="C2950" t="n">
        <v>0</v>
      </c>
      <c r="D2950" t="n">
        <v>8</v>
      </c>
      <c r="E2950" t="s">
        <v>2906</v>
      </c>
      <c r="F2950" t="s"/>
      <c r="G2950" t="s"/>
      <c r="H2950" t="s"/>
      <c r="I2950" t="s"/>
      <c r="J2950" t="n">
        <v>0.3182</v>
      </c>
      <c r="K2950" t="n">
        <v>0</v>
      </c>
      <c r="L2950" t="n">
        <v>0.905</v>
      </c>
      <c r="M2950" t="n">
        <v>0.095</v>
      </c>
    </row>
    <row r="2951" spans="1:13">
      <c r="A2951" s="1">
        <f>HYPERLINK("http://www.twitter.com/NathanBLawrence/status/988811015042355202", "988811015042355202")</f>
        <v/>
      </c>
      <c r="B2951" s="2" t="n">
        <v>43214.67003472222</v>
      </c>
      <c r="C2951" t="n">
        <v>0</v>
      </c>
      <c r="D2951" t="n">
        <v>3</v>
      </c>
      <c r="E2951" t="s">
        <v>2907</v>
      </c>
      <c r="F2951" t="s"/>
      <c r="G2951" t="s"/>
      <c r="H2951" t="s"/>
      <c r="I2951" t="s"/>
      <c r="J2951" t="n">
        <v>-0.6597</v>
      </c>
      <c r="K2951" t="n">
        <v>0.285</v>
      </c>
      <c r="L2951" t="n">
        <v>0.65</v>
      </c>
      <c r="M2951" t="n">
        <v>0.065</v>
      </c>
    </row>
    <row r="2952" spans="1:13">
      <c r="A2952" s="1">
        <f>HYPERLINK("http://www.twitter.com/NathanBLawrence/status/988810872939274240", "988810872939274240")</f>
        <v/>
      </c>
      <c r="B2952" s="2" t="n">
        <v>43214.66964120371</v>
      </c>
      <c r="C2952" t="n">
        <v>0</v>
      </c>
      <c r="D2952" t="n">
        <v>7</v>
      </c>
      <c r="E2952" t="s">
        <v>2908</v>
      </c>
      <c r="F2952" t="s"/>
      <c r="G2952" t="s"/>
      <c r="H2952" t="s"/>
      <c r="I2952" t="s"/>
      <c r="J2952" t="n">
        <v>0</v>
      </c>
      <c r="K2952" t="n">
        <v>0</v>
      </c>
      <c r="L2952" t="n">
        <v>1</v>
      </c>
      <c r="M2952" t="n">
        <v>0</v>
      </c>
    </row>
    <row r="2953" spans="1:13">
      <c r="A2953" s="1">
        <f>HYPERLINK("http://www.twitter.com/NathanBLawrence/status/988810803808800768", "988810803808800768")</f>
        <v/>
      </c>
      <c r="B2953" s="2" t="n">
        <v>43214.66945601852</v>
      </c>
      <c r="C2953" t="n">
        <v>0</v>
      </c>
      <c r="D2953" t="n">
        <v>16</v>
      </c>
      <c r="E2953" t="s">
        <v>2909</v>
      </c>
      <c r="F2953" t="s"/>
      <c r="G2953" t="s"/>
      <c r="H2953" t="s"/>
      <c r="I2953" t="s"/>
      <c r="J2953" t="n">
        <v>-0.3182</v>
      </c>
      <c r="K2953" t="n">
        <v>0.113</v>
      </c>
      <c r="L2953" t="n">
        <v>0.887</v>
      </c>
      <c r="M2953" t="n">
        <v>0</v>
      </c>
    </row>
    <row r="2954" spans="1:13">
      <c r="A2954" s="1">
        <f>HYPERLINK("http://www.twitter.com/NathanBLawrence/status/988810777623781378", "988810777623781378")</f>
        <v/>
      </c>
      <c r="B2954" s="2" t="n">
        <v>43214.66938657407</v>
      </c>
      <c r="C2954" t="n">
        <v>0</v>
      </c>
      <c r="D2954" t="n">
        <v>7</v>
      </c>
      <c r="E2954" t="s">
        <v>2910</v>
      </c>
      <c r="F2954" t="s"/>
      <c r="G2954" t="s"/>
      <c r="H2954" t="s"/>
      <c r="I2954" t="s"/>
      <c r="J2954" t="n">
        <v>0</v>
      </c>
      <c r="K2954" t="n">
        <v>0</v>
      </c>
      <c r="L2954" t="n">
        <v>1</v>
      </c>
      <c r="M2954" t="n">
        <v>0</v>
      </c>
    </row>
    <row r="2955" spans="1:13">
      <c r="A2955" s="1">
        <f>HYPERLINK("http://www.twitter.com/NathanBLawrence/status/988805963229683713", "988805963229683713")</f>
        <v/>
      </c>
      <c r="B2955" s="2" t="n">
        <v>43214.65609953704</v>
      </c>
      <c r="C2955" t="n">
        <v>17</v>
      </c>
      <c r="D2955" t="n">
        <v>13</v>
      </c>
      <c r="E2955" t="s">
        <v>2911</v>
      </c>
      <c r="F2955">
        <f>HYPERLINK("http://pbs.twimg.com/media/DbjxxkyV0AEzlJa.jpg", "http://pbs.twimg.com/media/DbjxxkyV0AEzlJa.jpg")</f>
        <v/>
      </c>
      <c r="G2955" t="s"/>
      <c r="H2955" t="s"/>
      <c r="I2955" t="s"/>
      <c r="J2955" t="n">
        <v>0</v>
      </c>
      <c r="K2955" t="n">
        <v>0</v>
      </c>
      <c r="L2955" t="n">
        <v>1</v>
      </c>
      <c r="M2955" t="n">
        <v>0</v>
      </c>
    </row>
    <row r="2956" spans="1:13">
      <c r="A2956" s="1">
        <f>HYPERLINK("http://www.twitter.com/NathanBLawrence/status/988797782822674433", "988797782822674433")</f>
        <v/>
      </c>
      <c r="B2956" s="2" t="n">
        <v>43214.63353009259</v>
      </c>
      <c r="C2956" t="n">
        <v>0</v>
      </c>
      <c r="D2956" t="n">
        <v>7</v>
      </c>
      <c r="E2956" t="s">
        <v>2912</v>
      </c>
      <c r="F2956" t="s"/>
      <c r="G2956" t="s"/>
      <c r="H2956" t="s"/>
      <c r="I2956" t="s"/>
      <c r="J2956" t="n">
        <v>-0.1027</v>
      </c>
      <c r="K2956" t="n">
        <v>0.107</v>
      </c>
      <c r="L2956" t="n">
        <v>0.802</v>
      </c>
      <c r="M2956" t="n">
        <v>0.092</v>
      </c>
    </row>
    <row r="2957" spans="1:13">
      <c r="A2957" s="1">
        <f>HYPERLINK("http://www.twitter.com/NathanBLawrence/status/988797750681767936", "988797750681767936")</f>
        <v/>
      </c>
      <c r="B2957" s="2" t="n">
        <v>43214.6334375</v>
      </c>
      <c r="C2957" t="n">
        <v>0</v>
      </c>
      <c r="D2957" t="n">
        <v>5</v>
      </c>
      <c r="E2957" t="s">
        <v>2913</v>
      </c>
      <c r="F2957" t="s"/>
      <c r="G2957" t="s"/>
      <c r="H2957" t="s"/>
      <c r="I2957" t="s"/>
      <c r="J2957" t="n">
        <v>0.5859</v>
      </c>
      <c r="K2957" t="n">
        <v>0</v>
      </c>
      <c r="L2957" t="n">
        <v>0.847</v>
      </c>
      <c r="M2957" t="n">
        <v>0.153</v>
      </c>
    </row>
    <row r="2958" spans="1:13">
      <c r="A2958" s="1">
        <f>HYPERLINK("http://www.twitter.com/NathanBLawrence/status/988797495768764416", "988797495768764416")</f>
        <v/>
      </c>
      <c r="B2958" s="2" t="n">
        <v>43214.63273148148</v>
      </c>
      <c r="C2958" t="n">
        <v>0</v>
      </c>
      <c r="D2958" t="n">
        <v>13</v>
      </c>
      <c r="E2958" t="s">
        <v>2914</v>
      </c>
      <c r="F2958" t="s"/>
      <c r="G2958" t="s"/>
      <c r="H2958" t="s"/>
      <c r="I2958" t="s"/>
      <c r="J2958" t="n">
        <v>0.5859</v>
      </c>
      <c r="K2958" t="n">
        <v>0</v>
      </c>
      <c r="L2958" t="n">
        <v>0.833</v>
      </c>
      <c r="M2958" t="n">
        <v>0.167</v>
      </c>
    </row>
    <row r="2959" spans="1:13">
      <c r="A2959" s="1">
        <f>HYPERLINK("http://www.twitter.com/NathanBLawrence/status/988796719767937025", "988796719767937025")</f>
        <v/>
      </c>
      <c r="B2959" s="2" t="n">
        <v>43214.63059027777</v>
      </c>
      <c r="C2959" t="n">
        <v>0</v>
      </c>
      <c r="D2959" t="n">
        <v>2284</v>
      </c>
      <c r="E2959" t="s">
        <v>2915</v>
      </c>
      <c r="F2959" t="s"/>
      <c r="G2959" t="s"/>
      <c r="H2959" t="s"/>
      <c r="I2959" t="s"/>
      <c r="J2959" t="n">
        <v>-0.787</v>
      </c>
      <c r="K2959" t="n">
        <v>0.258</v>
      </c>
      <c r="L2959" t="n">
        <v>0.742</v>
      </c>
      <c r="M2959" t="n">
        <v>0</v>
      </c>
    </row>
    <row r="2960" spans="1:13">
      <c r="A2960" s="1">
        <f>HYPERLINK("http://www.twitter.com/NathanBLawrence/status/988796663904002048", "988796663904002048")</f>
        <v/>
      </c>
      <c r="B2960" s="2" t="n">
        <v>43214.63043981481</v>
      </c>
      <c r="C2960" t="n">
        <v>0</v>
      </c>
      <c r="D2960" t="n">
        <v>76</v>
      </c>
      <c r="E2960" t="s">
        <v>2916</v>
      </c>
      <c r="F2960" t="s"/>
      <c r="G2960" t="s"/>
      <c r="H2960" t="s"/>
      <c r="I2960" t="s"/>
      <c r="J2960" t="n">
        <v>-0.5719</v>
      </c>
      <c r="K2960" t="n">
        <v>0.236</v>
      </c>
      <c r="L2960" t="n">
        <v>0.764</v>
      </c>
      <c r="M2960" t="n">
        <v>0</v>
      </c>
    </row>
    <row r="2961" spans="1:13">
      <c r="A2961" s="1">
        <f>HYPERLINK("http://www.twitter.com/NathanBLawrence/status/988796626037768192", "988796626037768192")</f>
        <v/>
      </c>
      <c r="B2961" s="2" t="n">
        <v>43214.63033564815</v>
      </c>
      <c r="C2961" t="n">
        <v>0</v>
      </c>
      <c r="D2961" t="n">
        <v>1784</v>
      </c>
      <c r="E2961" t="s">
        <v>2917</v>
      </c>
      <c r="F2961" t="s"/>
      <c r="G2961" t="s"/>
      <c r="H2961" t="s"/>
      <c r="I2961" t="s"/>
      <c r="J2961" t="n">
        <v>0.0772</v>
      </c>
      <c r="K2961" t="n">
        <v>0</v>
      </c>
      <c r="L2961" t="n">
        <v>0.951</v>
      </c>
      <c r="M2961" t="n">
        <v>0.049</v>
      </c>
    </row>
    <row r="2962" spans="1:13">
      <c r="A2962" s="1">
        <f>HYPERLINK("http://www.twitter.com/NathanBLawrence/status/988796612267925505", "988796612267925505")</f>
        <v/>
      </c>
      <c r="B2962" s="2" t="n">
        <v>43214.63028935185</v>
      </c>
      <c r="C2962" t="n">
        <v>0</v>
      </c>
      <c r="D2962" t="n">
        <v>1126</v>
      </c>
      <c r="E2962" t="s">
        <v>2918</v>
      </c>
      <c r="F2962">
        <f>HYPERLINK("http://pbs.twimg.com/media/DbhAUdNVQAAYb6P.jpg", "http://pbs.twimg.com/media/DbhAUdNVQAAYb6P.jpg")</f>
        <v/>
      </c>
      <c r="G2962" t="s"/>
      <c r="H2962" t="s"/>
      <c r="I2962" t="s"/>
      <c r="J2962" t="n">
        <v>-0.4912</v>
      </c>
      <c r="K2962" t="n">
        <v>0.126</v>
      </c>
      <c r="L2962" t="n">
        <v>0.874</v>
      </c>
      <c r="M2962" t="n">
        <v>0</v>
      </c>
    </row>
    <row r="2963" spans="1:13">
      <c r="A2963" s="1">
        <f>HYPERLINK("http://www.twitter.com/NathanBLawrence/status/988796489303515136", "988796489303515136")</f>
        <v/>
      </c>
      <c r="B2963" s="2" t="n">
        <v>43214.6299537037</v>
      </c>
      <c r="C2963" t="n">
        <v>0</v>
      </c>
      <c r="D2963" t="n">
        <v>2807</v>
      </c>
      <c r="E2963" t="s">
        <v>2919</v>
      </c>
      <c r="F2963" t="s"/>
      <c r="G2963" t="s"/>
      <c r="H2963" t="s"/>
      <c r="I2963" t="s"/>
      <c r="J2963" t="n">
        <v>0</v>
      </c>
      <c r="K2963" t="n">
        <v>0</v>
      </c>
      <c r="L2963" t="n">
        <v>1</v>
      </c>
      <c r="M2963" t="n">
        <v>0</v>
      </c>
    </row>
    <row r="2964" spans="1:13">
      <c r="A2964" s="1">
        <f>HYPERLINK("http://www.twitter.com/NathanBLawrence/status/988796442465665026", "988796442465665026")</f>
        <v/>
      </c>
      <c r="B2964" s="2" t="n">
        <v>43214.62982638889</v>
      </c>
      <c r="C2964" t="n">
        <v>0</v>
      </c>
      <c r="D2964" t="n">
        <v>11</v>
      </c>
      <c r="E2964" t="s">
        <v>2920</v>
      </c>
      <c r="F2964">
        <f>HYPERLINK("http://pbs.twimg.com/media/DbjTbPEUQAExp25.jpg", "http://pbs.twimg.com/media/DbjTbPEUQAExp25.jpg")</f>
        <v/>
      </c>
      <c r="G2964">
        <f>HYPERLINK("http://pbs.twimg.com/media/DbjTbO8U8AEQhWv.jpg", "http://pbs.twimg.com/media/DbjTbO8U8AEQhWv.jpg")</f>
        <v/>
      </c>
      <c r="H2964" t="s"/>
      <c r="I2964" t="s"/>
      <c r="J2964" t="n">
        <v>0.5709</v>
      </c>
      <c r="K2964" t="n">
        <v>0</v>
      </c>
      <c r="L2964" t="n">
        <v>0.831</v>
      </c>
      <c r="M2964" t="n">
        <v>0.169</v>
      </c>
    </row>
    <row r="2965" spans="1:13">
      <c r="A2965" s="1">
        <f>HYPERLINK("http://www.twitter.com/NathanBLawrence/status/988796378427076609", "988796378427076609")</f>
        <v/>
      </c>
      <c r="B2965" s="2" t="n">
        <v>43214.62965277778</v>
      </c>
      <c r="C2965" t="n">
        <v>0</v>
      </c>
      <c r="D2965" t="n">
        <v>6024</v>
      </c>
      <c r="E2965" t="s">
        <v>2921</v>
      </c>
      <c r="F2965">
        <f>HYPERLINK("https://video.twimg.com/ext_tw_video/988515548492267520/pu/vid/720x1280/tB1a50sQetInrSNs.mp4?tag=3", "https://video.twimg.com/ext_tw_video/988515548492267520/pu/vid/720x1280/tB1a50sQetInrSNs.mp4?tag=3")</f>
        <v/>
      </c>
      <c r="G2965" t="s"/>
      <c r="H2965" t="s"/>
      <c r="I2965" t="s"/>
      <c r="J2965" t="n">
        <v>-0.4588</v>
      </c>
      <c r="K2965" t="n">
        <v>0.136</v>
      </c>
      <c r="L2965" t="n">
        <v>0.864</v>
      </c>
      <c r="M2965" t="n">
        <v>0</v>
      </c>
    </row>
    <row r="2966" spans="1:13">
      <c r="A2966" s="1">
        <f>HYPERLINK("http://www.twitter.com/NathanBLawrence/status/988795990189789186", "988795990189789186")</f>
        <v/>
      </c>
      <c r="B2966" s="2" t="n">
        <v>43214.62857638889</v>
      </c>
      <c r="C2966" t="n">
        <v>0</v>
      </c>
      <c r="D2966" t="n">
        <v>11</v>
      </c>
      <c r="E2966" t="s">
        <v>2814</v>
      </c>
      <c r="F2966">
        <f>HYPERLINK("http://pbs.twimg.com/media/DbjorioX4AAGSEg.jpg", "http://pbs.twimg.com/media/DbjorioX4AAGSEg.jpg")</f>
        <v/>
      </c>
      <c r="G2966" t="s"/>
      <c r="H2966" t="s"/>
      <c r="I2966" t="s"/>
      <c r="J2966" t="n">
        <v>0.4404</v>
      </c>
      <c r="K2966" t="n">
        <v>0</v>
      </c>
      <c r="L2966" t="n">
        <v>0.8179999999999999</v>
      </c>
      <c r="M2966" t="n">
        <v>0.182</v>
      </c>
    </row>
    <row r="2967" spans="1:13">
      <c r="A2967" s="1">
        <f>HYPERLINK("http://www.twitter.com/NathanBLawrence/status/988795960456302598", "988795960456302598")</f>
        <v/>
      </c>
      <c r="B2967" s="2" t="n">
        <v>43214.62849537037</v>
      </c>
      <c r="C2967" t="n">
        <v>12</v>
      </c>
      <c r="D2967" t="n">
        <v>11</v>
      </c>
      <c r="E2967" t="s">
        <v>2922</v>
      </c>
      <c r="F2967">
        <f>HYPERLINK("http://pbs.twimg.com/media/DbjorioX4AAGSEg.jpg", "http://pbs.twimg.com/media/DbjorioX4AAGSEg.jpg")</f>
        <v/>
      </c>
      <c r="G2967" t="s"/>
      <c r="H2967" t="s"/>
      <c r="I2967" t="s"/>
      <c r="J2967" t="n">
        <v>0.5513</v>
      </c>
      <c r="K2967" t="n">
        <v>0.079</v>
      </c>
      <c r="L2967" t="n">
        <v>0.756</v>
      </c>
      <c r="M2967" t="n">
        <v>0.166</v>
      </c>
    </row>
    <row r="2968" spans="1:13">
      <c r="A2968" s="1">
        <f>HYPERLINK("http://www.twitter.com/NathanBLawrence/status/988792603771629568", "988792603771629568")</f>
        <v/>
      </c>
      <c r="B2968" s="2" t="n">
        <v>43214.61923611111</v>
      </c>
      <c r="C2968" t="n">
        <v>0</v>
      </c>
      <c r="D2968" t="n">
        <v>6</v>
      </c>
      <c r="E2968" t="s">
        <v>2923</v>
      </c>
      <c r="F2968">
        <f>HYPERLINK("http://pbs.twimg.com/media/DbjcaB0U8AAAUlX.jpg", "http://pbs.twimg.com/media/DbjcaB0U8AAAUlX.jpg")</f>
        <v/>
      </c>
      <c r="G2968" t="s"/>
      <c r="H2968" t="s"/>
      <c r="I2968" t="s"/>
      <c r="J2968" t="n">
        <v>0</v>
      </c>
      <c r="K2968" t="n">
        <v>0</v>
      </c>
      <c r="L2968" t="n">
        <v>1</v>
      </c>
      <c r="M2968" t="n">
        <v>0</v>
      </c>
    </row>
    <row r="2969" spans="1:13">
      <c r="A2969" s="1">
        <f>HYPERLINK("http://www.twitter.com/NathanBLawrence/status/988786830236667905", "988786830236667905")</f>
        <v/>
      </c>
      <c r="B2969" s="2" t="n">
        <v>43214.60329861111</v>
      </c>
      <c r="C2969" t="n">
        <v>0</v>
      </c>
      <c r="D2969" t="n">
        <v>36</v>
      </c>
      <c r="E2969" t="s">
        <v>2924</v>
      </c>
      <c r="F2969" t="s"/>
      <c r="G2969" t="s"/>
      <c r="H2969" t="s"/>
      <c r="I2969" t="s"/>
      <c r="J2969" t="n">
        <v>-0.1531</v>
      </c>
      <c r="K2969" t="n">
        <v>0.138</v>
      </c>
      <c r="L2969" t="n">
        <v>0.862</v>
      </c>
      <c r="M2969" t="n">
        <v>0</v>
      </c>
    </row>
    <row r="2970" spans="1:13">
      <c r="A2970" s="1">
        <f>HYPERLINK("http://www.twitter.com/NathanBLawrence/status/988786671352205313", "988786671352205313")</f>
        <v/>
      </c>
      <c r="B2970" s="2" t="n">
        <v>43214.60285879629</v>
      </c>
      <c r="C2970" t="n">
        <v>0</v>
      </c>
      <c r="D2970" t="n">
        <v>10</v>
      </c>
      <c r="E2970" t="s">
        <v>2925</v>
      </c>
      <c r="F2970" t="s"/>
      <c r="G2970" t="s"/>
      <c r="H2970" t="s"/>
      <c r="I2970" t="s"/>
      <c r="J2970" t="n">
        <v>0.2732</v>
      </c>
      <c r="K2970" t="n">
        <v>0</v>
      </c>
      <c r="L2970" t="n">
        <v>0.866</v>
      </c>
      <c r="M2970" t="n">
        <v>0.134</v>
      </c>
    </row>
    <row r="2971" spans="1:13">
      <c r="A2971" s="1">
        <f>HYPERLINK("http://www.twitter.com/NathanBLawrence/status/988786516901203968", "988786516901203968")</f>
        <v/>
      </c>
      <c r="B2971" s="2" t="n">
        <v>43214.60244212963</v>
      </c>
      <c r="C2971" t="n">
        <v>0</v>
      </c>
      <c r="D2971" t="n">
        <v>4</v>
      </c>
      <c r="E2971" t="s">
        <v>2926</v>
      </c>
      <c r="F2971" t="s"/>
      <c r="G2971" t="s"/>
      <c r="H2971" t="s"/>
      <c r="I2971" t="s"/>
      <c r="J2971" t="n">
        <v>0.4019</v>
      </c>
      <c r="K2971" t="n">
        <v>0</v>
      </c>
      <c r="L2971" t="n">
        <v>0.87</v>
      </c>
      <c r="M2971" t="n">
        <v>0.13</v>
      </c>
    </row>
    <row r="2972" spans="1:13">
      <c r="A2972" s="1">
        <f>HYPERLINK("http://www.twitter.com/NathanBLawrence/status/988786311984185344", "988786311984185344")</f>
        <v/>
      </c>
      <c r="B2972" s="2" t="n">
        <v>43214.601875</v>
      </c>
      <c r="C2972" t="n">
        <v>0</v>
      </c>
      <c r="D2972" t="n">
        <v>7</v>
      </c>
      <c r="E2972" t="s">
        <v>2927</v>
      </c>
      <c r="F2972" t="s"/>
      <c r="G2972" t="s"/>
      <c r="H2972" t="s"/>
      <c r="I2972" t="s"/>
      <c r="J2972" t="n">
        <v>0</v>
      </c>
      <c r="K2972" t="n">
        <v>0</v>
      </c>
      <c r="L2972" t="n">
        <v>1</v>
      </c>
      <c r="M2972" t="n">
        <v>0</v>
      </c>
    </row>
    <row r="2973" spans="1:13">
      <c r="A2973" s="1">
        <f>HYPERLINK("http://www.twitter.com/NathanBLawrence/status/988786209722916864", "988786209722916864")</f>
        <v/>
      </c>
      <c r="B2973" s="2" t="n">
        <v>43214.60158564815</v>
      </c>
      <c r="C2973" t="n">
        <v>0</v>
      </c>
      <c r="D2973" t="n">
        <v>10</v>
      </c>
      <c r="E2973" t="s">
        <v>2928</v>
      </c>
      <c r="F2973" t="s"/>
      <c r="G2973" t="s"/>
      <c r="H2973" t="s"/>
      <c r="I2973" t="s"/>
      <c r="J2973" t="n">
        <v>0</v>
      </c>
      <c r="K2973" t="n">
        <v>0</v>
      </c>
      <c r="L2973" t="n">
        <v>1</v>
      </c>
      <c r="M2973" t="n">
        <v>0</v>
      </c>
    </row>
    <row r="2974" spans="1:13">
      <c r="A2974" s="1">
        <f>HYPERLINK("http://www.twitter.com/NathanBLawrence/status/988768738739736576", "988768738739736576")</f>
        <v/>
      </c>
      <c r="B2974" s="2" t="n">
        <v>43214.55337962963</v>
      </c>
      <c r="C2974" t="n">
        <v>0</v>
      </c>
      <c r="D2974" t="n">
        <v>0</v>
      </c>
      <c r="E2974" t="s">
        <v>2929</v>
      </c>
      <c r="F2974" t="s"/>
      <c r="G2974" t="s"/>
      <c r="H2974" t="s"/>
      <c r="I2974" t="s"/>
      <c r="J2974" t="n">
        <v>0.4215</v>
      </c>
      <c r="K2974" t="n">
        <v>0</v>
      </c>
      <c r="L2974" t="n">
        <v>0.896</v>
      </c>
      <c r="M2974" t="n">
        <v>0.104</v>
      </c>
    </row>
    <row r="2975" spans="1:13">
      <c r="A2975" s="1">
        <f>HYPERLINK("http://www.twitter.com/NathanBLawrence/status/988768475823902720", "988768475823902720")</f>
        <v/>
      </c>
      <c r="B2975" s="2" t="n">
        <v>43214.55265046296</v>
      </c>
      <c r="C2975" t="n">
        <v>1</v>
      </c>
      <c r="D2975" t="n">
        <v>0</v>
      </c>
      <c r="E2975" t="s">
        <v>2930</v>
      </c>
      <c r="F2975" t="s"/>
      <c r="G2975" t="s"/>
      <c r="H2975" t="s"/>
      <c r="I2975" t="s"/>
      <c r="J2975" t="n">
        <v>0</v>
      </c>
      <c r="K2975" t="n">
        <v>0</v>
      </c>
      <c r="L2975" t="n">
        <v>1</v>
      </c>
      <c r="M2975" t="n">
        <v>0</v>
      </c>
    </row>
    <row r="2976" spans="1:13">
      <c r="A2976" s="1">
        <f>HYPERLINK("http://www.twitter.com/NathanBLawrence/status/988768021954158593", "988768021954158593")</f>
        <v/>
      </c>
      <c r="B2976" s="2" t="n">
        <v>43214.55140046297</v>
      </c>
      <c r="C2976" t="n">
        <v>2</v>
      </c>
      <c r="D2976" t="n">
        <v>0</v>
      </c>
      <c r="E2976" t="s">
        <v>2931</v>
      </c>
      <c r="F2976" t="s"/>
      <c r="G2976" t="s"/>
      <c r="H2976" t="s"/>
      <c r="I2976" t="s"/>
      <c r="J2976" t="n">
        <v>0.4753</v>
      </c>
      <c r="K2976" t="n">
        <v>0</v>
      </c>
      <c r="L2976" t="n">
        <v>0.8080000000000001</v>
      </c>
      <c r="M2976" t="n">
        <v>0.192</v>
      </c>
    </row>
    <row r="2977" spans="1:13">
      <c r="A2977" s="1">
        <f>HYPERLINK("http://www.twitter.com/NathanBLawrence/status/988646928073281536", "988646928073281536")</f>
        <v/>
      </c>
      <c r="B2977" s="2" t="n">
        <v>43214.21724537037</v>
      </c>
      <c r="C2977" t="n">
        <v>0</v>
      </c>
      <c r="D2977" t="n">
        <v>0</v>
      </c>
      <c r="E2977" t="s">
        <v>2932</v>
      </c>
      <c r="F2977" t="s"/>
      <c r="G2977" t="s"/>
      <c r="H2977" t="s"/>
      <c r="I2977" t="s"/>
      <c r="J2977" t="n">
        <v>0</v>
      </c>
      <c r="K2977" t="n">
        <v>0</v>
      </c>
      <c r="L2977" t="n">
        <v>1</v>
      </c>
      <c r="M2977" t="n">
        <v>0</v>
      </c>
    </row>
    <row r="2978" spans="1:13">
      <c r="A2978" s="1">
        <f>HYPERLINK("http://www.twitter.com/NathanBLawrence/status/988646314165637120", "988646314165637120")</f>
        <v/>
      </c>
      <c r="B2978" s="2" t="n">
        <v>43214.21555555556</v>
      </c>
      <c r="C2978" t="n">
        <v>1</v>
      </c>
      <c r="D2978" t="n">
        <v>0</v>
      </c>
      <c r="E2978" t="s">
        <v>2933</v>
      </c>
      <c r="F2978" t="s"/>
      <c r="G2978" t="s"/>
      <c r="H2978" t="s"/>
      <c r="I2978" t="s"/>
      <c r="J2978" t="n">
        <v>0</v>
      </c>
      <c r="K2978" t="n">
        <v>0</v>
      </c>
      <c r="L2978" t="n">
        <v>1</v>
      </c>
      <c r="M2978" t="n">
        <v>0</v>
      </c>
    </row>
    <row r="2979" spans="1:13">
      <c r="A2979" s="1">
        <f>HYPERLINK("http://www.twitter.com/NathanBLawrence/status/988646103544410112", "988646103544410112")</f>
        <v/>
      </c>
      <c r="B2979" s="2" t="n">
        <v>43214.21496527778</v>
      </c>
      <c r="C2979" t="n">
        <v>2</v>
      </c>
      <c r="D2979" t="n">
        <v>0</v>
      </c>
      <c r="E2979" t="s">
        <v>2934</v>
      </c>
      <c r="F2979">
        <f>HYPERLINK("http://pbs.twimg.com/media/DbhgY1hV0AAtNgh.jpg", "http://pbs.twimg.com/media/DbhgY1hV0AAtNgh.jpg")</f>
        <v/>
      </c>
      <c r="G2979" t="s"/>
      <c r="H2979" t="s"/>
      <c r="I2979" t="s"/>
      <c r="J2979" t="n">
        <v>0</v>
      </c>
      <c r="K2979" t="n">
        <v>0</v>
      </c>
      <c r="L2979" t="n">
        <v>1</v>
      </c>
      <c r="M2979" t="n">
        <v>0</v>
      </c>
    </row>
    <row r="2980" spans="1:13">
      <c r="A2980" s="1">
        <f>HYPERLINK("http://www.twitter.com/NathanBLawrence/status/988645750056869888", "988645750056869888")</f>
        <v/>
      </c>
      <c r="B2980" s="2" t="n">
        <v>43214.21399305556</v>
      </c>
      <c r="C2980" t="n">
        <v>0</v>
      </c>
      <c r="D2980" t="n">
        <v>3</v>
      </c>
      <c r="E2980" t="s">
        <v>2935</v>
      </c>
      <c r="F2980" t="s"/>
      <c r="G2980" t="s"/>
      <c r="H2980" t="s"/>
      <c r="I2980" t="s"/>
      <c r="J2980" t="n">
        <v>0</v>
      </c>
      <c r="K2980" t="n">
        <v>0</v>
      </c>
      <c r="L2980" t="n">
        <v>1</v>
      </c>
      <c r="M2980" t="n">
        <v>0</v>
      </c>
    </row>
    <row r="2981" spans="1:13">
      <c r="A2981" s="1">
        <f>HYPERLINK("http://www.twitter.com/NathanBLawrence/status/988645710500331520", "988645710500331520")</f>
        <v/>
      </c>
      <c r="B2981" s="2" t="n">
        <v>43214.21388888889</v>
      </c>
      <c r="C2981" t="n">
        <v>0</v>
      </c>
      <c r="D2981" t="n">
        <v>4</v>
      </c>
      <c r="E2981" t="s">
        <v>2936</v>
      </c>
      <c r="F2981" t="s"/>
      <c r="G2981" t="s"/>
      <c r="H2981" t="s"/>
      <c r="I2981" t="s"/>
      <c r="J2981" t="n">
        <v>0.5106000000000001</v>
      </c>
      <c r="K2981" t="n">
        <v>0</v>
      </c>
      <c r="L2981" t="n">
        <v>0.602</v>
      </c>
      <c r="M2981" t="n">
        <v>0.398</v>
      </c>
    </row>
    <row r="2982" spans="1:13">
      <c r="A2982" s="1">
        <f>HYPERLINK("http://www.twitter.com/NathanBLawrence/status/988645673947095041", "988645673947095041")</f>
        <v/>
      </c>
      <c r="B2982" s="2" t="n">
        <v>43214.21378472223</v>
      </c>
      <c r="C2982" t="n">
        <v>0</v>
      </c>
      <c r="D2982" t="n">
        <v>35</v>
      </c>
      <c r="E2982" t="s">
        <v>2937</v>
      </c>
      <c r="F2982">
        <f>HYPERLINK("http://pbs.twimg.com/media/DbfTwIMV4AAMGgC.jpg", "http://pbs.twimg.com/media/DbfTwIMV4AAMGgC.jpg")</f>
        <v/>
      </c>
      <c r="G2982">
        <f>HYPERLINK("http://pbs.twimg.com/media/DbfTwIKV0AAGhFI.jpg", "http://pbs.twimg.com/media/DbfTwIKV0AAGhFI.jpg")</f>
        <v/>
      </c>
      <c r="H2982">
        <f>HYPERLINK("http://pbs.twimg.com/media/DbfTwILU8AAl-w_.jpg", "http://pbs.twimg.com/media/DbfTwILU8AAl-w_.jpg")</f>
        <v/>
      </c>
      <c r="I2982">
        <f>HYPERLINK("http://pbs.twimg.com/media/DbfTwIKV4AAA63q.jpg", "http://pbs.twimg.com/media/DbfTwIKV4AAA63q.jpg")</f>
        <v/>
      </c>
      <c r="J2982" t="n">
        <v>0.3182</v>
      </c>
      <c r="K2982" t="n">
        <v>0.096</v>
      </c>
      <c r="L2982" t="n">
        <v>0.753</v>
      </c>
      <c r="M2982" t="n">
        <v>0.151</v>
      </c>
    </row>
    <row r="2983" spans="1:13">
      <c r="A2983" s="1">
        <f>HYPERLINK("http://www.twitter.com/NathanBLawrence/status/988644093659099136", "988644093659099136")</f>
        <v/>
      </c>
      <c r="B2983" s="2" t="n">
        <v>43214.2094212963</v>
      </c>
      <c r="C2983" t="n">
        <v>1</v>
      </c>
      <c r="D2983" t="n">
        <v>0</v>
      </c>
      <c r="E2983" t="s">
        <v>2938</v>
      </c>
      <c r="F2983">
        <f>HYPERLINK("http://pbs.twimg.com/media/Dbhej5hUwAAacOe.jpg", "http://pbs.twimg.com/media/Dbhej5hUwAAacOe.jpg")</f>
        <v/>
      </c>
      <c r="G2983" t="s"/>
      <c r="H2983" t="s"/>
      <c r="I2983" t="s"/>
      <c r="J2983" t="n">
        <v>0</v>
      </c>
      <c r="K2983" t="n">
        <v>0</v>
      </c>
      <c r="L2983" t="n">
        <v>1</v>
      </c>
      <c r="M2983" t="n">
        <v>0</v>
      </c>
    </row>
    <row r="2984" spans="1:13">
      <c r="A2984" s="1">
        <f>HYPERLINK("http://www.twitter.com/NathanBLawrence/status/988643926348324865", "988643926348324865")</f>
        <v/>
      </c>
      <c r="B2984" s="2" t="n">
        <v>43214.20895833334</v>
      </c>
      <c r="C2984" t="n">
        <v>3</v>
      </c>
      <c r="D2984" t="n">
        <v>0</v>
      </c>
      <c r="E2984" t="s">
        <v>2939</v>
      </c>
      <c r="F2984">
        <f>HYPERLINK("https://video.twimg.com/ext_tw_video/988643900448428037/pu/vid/1280x720/osWC-EmWCYiBR_56.mp4?tag=3", "https://video.twimg.com/ext_tw_video/988643900448428037/pu/vid/1280x720/osWC-EmWCYiBR_56.mp4?tag=3")</f>
        <v/>
      </c>
      <c r="G2984" t="s"/>
      <c r="H2984" t="s"/>
      <c r="I2984" t="s"/>
      <c r="J2984" t="n">
        <v>0</v>
      </c>
      <c r="K2984" t="n">
        <v>0</v>
      </c>
      <c r="L2984" t="n">
        <v>1</v>
      </c>
      <c r="M2984" t="n">
        <v>0</v>
      </c>
    </row>
    <row r="2985" spans="1:13">
      <c r="A2985" s="1">
        <f>HYPERLINK("http://www.twitter.com/NathanBLawrence/status/988629365830365184", "988629365830365184")</f>
        <v/>
      </c>
      <c r="B2985" s="2" t="n">
        <v>43214.16878472222</v>
      </c>
      <c r="C2985" t="n">
        <v>0</v>
      </c>
      <c r="D2985" t="n">
        <v>8</v>
      </c>
      <c r="E2985" t="s">
        <v>2940</v>
      </c>
      <c r="F2985" t="s"/>
      <c r="G2985" t="s"/>
      <c r="H2985" t="s"/>
      <c r="I2985" t="s"/>
      <c r="J2985" t="n">
        <v>-0.2263</v>
      </c>
      <c r="K2985" t="n">
        <v>0.08699999999999999</v>
      </c>
      <c r="L2985" t="n">
        <v>0.913</v>
      </c>
      <c r="M2985" t="n">
        <v>0</v>
      </c>
    </row>
    <row r="2986" spans="1:13">
      <c r="A2986" s="1">
        <f>HYPERLINK("http://www.twitter.com/NathanBLawrence/status/988628782146826240", "988628782146826240")</f>
        <v/>
      </c>
      <c r="B2986" s="2" t="n">
        <v>43214.16717592593</v>
      </c>
      <c r="C2986" t="n">
        <v>0</v>
      </c>
      <c r="D2986" t="n">
        <v>4</v>
      </c>
      <c r="E2986" t="s">
        <v>2941</v>
      </c>
      <c r="F2986">
        <f>HYPERLINK("http://pbs.twimg.com/media/DbhCvl9WAAAd93E.jpg", "http://pbs.twimg.com/media/DbhCvl9WAAAd93E.jpg")</f>
        <v/>
      </c>
      <c r="G2986" t="s"/>
      <c r="H2986" t="s"/>
      <c r="I2986" t="s"/>
      <c r="J2986" t="n">
        <v>0</v>
      </c>
      <c r="K2986" t="n">
        <v>0</v>
      </c>
      <c r="L2986" t="n">
        <v>1</v>
      </c>
      <c r="M2986" t="n">
        <v>0</v>
      </c>
    </row>
    <row r="2987" spans="1:13">
      <c r="A2987" s="1">
        <f>HYPERLINK("http://www.twitter.com/NathanBLawrence/status/988628730913443840", "988628730913443840")</f>
        <v/>
      </c>
      <c r="B2987" s="2" t="n">
        <v>43214.16702546296</v>
      </c>
      <c r="C2987" t="n">
        <v>5</v>
      </c>
      <c r="D2987" t="n">
        <v>1</v>
      </c>
      <c r="E2987" t="s">
        <v>2942</v>
      </c>
      <c r="F2987">
        <f>HYPERLINK("http://pbs.twimg.com/media/DbhQlVVW4AAM2uK.jpg", "http://pbs.twimg.com/media/DbhQlVVW4AAM2uK.jpg")</f>
        <v/>
      </c>
      <c r="G2987" t="s"/>
      <c r="H2987" t="s"/>
      <c r="I2987" t="s"/>
      <c r="J2987" t="n">
        <v>0</v>
      </c>
      <c r="K2987" t="n">
        <v>0</v>
      </c>
      <c r="L2987" t="n">
        <v>1</v>
      </c>
      <c r="M2987" t="n">
        <v>0</v>
      </c>
    </row>
    <row r="2988" spans="1:13">
      <c r="A2988" s="1">
        <f>HYPERLINK("http://www.twitter.com/NathanBLawrence/status/988625933119770624", "988625933119770624")</f>
        <v/>
      </c>
      <c r="B2988" s="2" t="n">
        <v>43214.15930555556</v>
      </c>
      <c r="C2988" t="n">
        <v>2</v>
      </c>
      <c r="D2988" t="n">
        <v>1</v>
      </c>
      <c r="E2988" t="s">
        <v>2943</v>
      </c>
      <c r="F2988">
        <f>HYPERLINK("https://video.twimg.com/ext_tw_video/988625341295026176/pu/vid/480x640/OLQIJrdZuDKvkNRB.mp4?tag=3", "https://video.twimg.com/ext_tw_video/988625341295026176/pu/vid/480x640/OLQIJrdZuDKvkNRB.mp4?tag=3")</f>
        <v/>
      </c>
      <c r="G2988" t="s"/>
      <c r="H2988" t="s"/>
      <c r="I2988" t="s"/>
      <c r="J2988" t="n">
        <v>0</v>
      </c>
      <c r="K2988" t="n">
        <v>0</v>
      </c>
      <c r="L2988" t="n">
        <v>1</v>
      </c>
      <c r="M2988" t="n">
        <v>0</v>
      </c>
    </row>
    <row r="2989" spans="1:13">
      <c r="A2989" s="1">
        <f>HYPERLINK("http://www.twitter.com/NathanBLawrence/status/988625023442276352", "988625023442276352")</f>
        <v/>
      </c>
      <c r="B2989" s="2" t="n">
        <v>43214.15680555555</v>
      </c>
      <c r="C2989" t="n">
        <v>0</v>
      </c>
      <c r="D2989" t="n">
        <v>14</v>
      </c>
      <c r="E2989" t="s">
        <v>2944</v>
      </c>
      <c r="F2989" t="s"/>
      <c r="G2989" t="s"/>
      <c r="H2989" t="s"/>
      <c r="I2989" t="s"/>
      <c r="J2989" t="n">
        <v>0</v>
      </c>
      <c r="K2989" t="n">
        <v>0</v>
      </c>
      <c r="L2989" t="n">
        <v>1</v>
      </c>
      <c r="M2989" t="n">
        <v>0</v>
      </c>
    </row>
    <row r="2990" spans="1:13">
      <c r="A2990" s="1">
        <f>HYPERLINK("http://www.twitter.com/NathanBLawrence/status/988624988482822144", "988624988482822144")</f>
        <v/>
      </c>
      <c r="B2990" s="2" t="n">
        <v>43214.15670138889</v>
      </c>
      <c r="C2990" t="n">
        <v>0</v>
      </c>
      <c r="D2990" t="n">
        <v>4</v>
      </c>
      <c r="E2990" t="s">
        <v>2945</v>
      </c>
      <c r="F2990" t="s"/>
      <c r="G2990" t="s"/>
      <c r="H2990" t="s"/>
      <c r="I2990" t="s"/>
      <c r="J2990" t="n">
        <v>0</v>
      </c>
      <c r="K2990" t="n">
        <v>0</v>
      </c>
      <c r="L2990" t="n">
        <v>1</v>
      </c>
      <c r="M2990" t="n">
        <v>0</v>
      </c>
    </row>
    <row r="2991" spans="1:13">
      <c r="A2991" s="1">
        <f>HYPERLINK("http://www.twitter.com/NathanBLawrence/status/988624958887792640", "988624958887792640")</f>
        <v/>
      </c>
      <c r="B2991" s="2" t="n">
        <v>43214.15662037037</v>
      </c>
      <c r="C2991" t="n">
        <v>0</v>
      </c>
      <c r="D2991" t="n">
        <v>3</v>
      </c>
      <c r="E2991" t="s">
        <v>2946</v>
      </c>
      <c r="F2991" t="s"/>
      <c r="G2991" t="s"/>
      <c r="H2991" t="s"/>
      <c r="I2991" t="s"/>
      <c r="J2991" t="n">
        <v>-0.1027</v>
      </c>
      <c r="K2991" t="n">
        <v>0.111</v>
      </c>
      <c r="L2991" t="n">
        <v>0.794</v>
      </c>
      <c r="M2991" t="n">
        <v>0.095</v>
      </c>
    </row>
    <row r="2992" spans="1:13">
      <c r="A2992" s="1">
        <f>HYPERLINK("http://www.twitter.com/NathanBLawrence/status/988624927979986944", "988624927979986944")</f>
        <v/>
      </c>
      <c r="B2992" s="2" t="n">
        <v>43214.15653935185</v>
      </c>
      <c r="C2992" t="n">
        <v>0</v>
      </c>
      <c r="D2992" t="n">
        <v>1</v>
      </c>
      <c r="E2992" t="s">
        <v>2947</v>
      </c>
      <c r="F2992" t="s"/>
      <c r="G2992" t="s"/>
      <c r="H2992" t="s"/>
      <c r="I2992" t="s"/>
      <c r="J2992" t="n">
        <v>0.6588000000000001</v>
      </c>
      <c r="K2992" t="n">
        <v>0</v>
      </c>
      <c r="L2992" t="n">
        <v>0.761</v>
      </c>
      <c r="M2992" t="n">
        <v>0.239</v>
      </c>
    </row>
    <row r="2993" spans="1:13">
      <c r="A2993" s="1">
        <f>HYPERLINK("http://www.twitter.com/NathanBLawrence/status/988624802431856640", "988624802431856640")</f>
        <v/>
      </c>
      <c r="B2993" s="2" t="n">
        <v>43214.15619212963</v>
      </c>
      <c r="C2993" t="n">
        <v>0</v>
      </c>
      <c r="D2993" t="n">
        <v>3</v>
      </c>
      <c r="E2993" t="s">
        <v>2948</v>
      </c>
      <c r="F2993" t="s"/>
      <c r="G2993" t="s"/>
      <c r="H2993" t="s"/>
      <c r="I2993" t="s"/>
      <c r="J2993" t="n">
        <v>0</v>
      </c>
      <c r="K2993" t="n">
        <v>0</v>
      </c>
      <c r="L2993" t="n">
        <v>1</v>
      </c>
      <c r="M2993" t="n">
        <v>0</v>
      </c>
    </row>
    <row r="2994" spans="1:13">
      <c r="A2994" s="1">
        <f>HYPERLINK("http://www.twitter.com/NathanBLawrence/status/988624509522661377", "988624509522661377")</f>
        <v/>
      </c>
      <c r="B2994" s="2" t="n">
        <v>43214.15538194445</v>
      </c>
      <c r="C2994" t="n">
        <v>0</v>
      </c>
      <c r="D2994" t="n">
        <v>7</v>
      </c>
      <c r="E2994" t="s">
        <v>2949</v>
      </c>
      <c r="F2994" t="s"/>
      <c r="G2994" t="s"/>
      <c r="H2994" t="s"/>
      <c r="I2994" t="s"/>
      <c r="J2994" t="n">
        <v>0</v>
      </c>
      <c r="K2994" t="n">
        <v>0</v>
      </c>
      <c r="L2994" t="n">
        <v>1</v>
      </c>
      <c r="M2994" t="n">
        <v>0</v>
      </c>
    </row>
    <row r="2995" spans="1:13">
      <c r="A2995" s="1">
        <f>HYPERLINK("http://www.twitter.com/NathanBLawrence/status/988624251090587649", "988624251090587649")</f>
        <v/>
      </c>
      <c r="B2995" s="2" t="n">
        <v>43214.15466435185</v>
      </c>
      <c r="C2995" t="n">
        <v>0</v>
      </c>
      <c r="D2995" t="n">
        <v>4</v>
      </c>
      <c r="E2995" t="s">
        <v>2950</v>
      </c>
      <c r="F2995" t="s"/>
      <c r="G2995" t="s"/>
      <c r="H2995" t="s"/>
      <c r="I2995" t="s"/>
      <c r="J2995" t="n">
        <v>0.2481</v>
      </c>
      <c r="K2995" t="n">
        <v>0.122</v>
      </c>
      <c r="L2995" t="n">
        <v>0.718</v>
      </c>
      <c r="M2995" t="n">
        <v>0.16</v>
      </c>
    </row>
    <row r="2996" spans="1:13">
      <c r="A2996" s="1">
        <f>HYPERLINK("http://www.twitter.com/NathanBLawrence/status/988624090939514881", "988624090939514881")</f>
        <v/>
      </c>
      <c r="B2996" s="2" t="n">
        <v>43214.15422453704</v>
      </c>
      <c r="C2996" t="n">
        <v>0</v>
      </c>
      <c r="D2996" t="n">
        <v>4</v>
      </c>
      <c r="E2996" t="s">
        <v>2951</v>
      </c>
      <c r="F2996">
        <f>HYPERLINK("http://pbs.twimg.com/media/Dbf0oyfU8AA4Tbe.jpg", "http://pbs.twimg.com/media/Dbf0oyfU8AA4Tbe.jpg")</f>
        <v/>
      </c>
      <c r="G2996" t="s"/>
      <c r="H2996" t="s"/>
      <c r="I2996" t="s"/>
      <c r="J2996" t="n">
        <v>0</v>
      </c>
      <c r="K2996" t="n">
        <v>0</v>
      </c>
      <c r="L2996" t="n">
        <v>1</v>
      </c>
      <c r="M2996" t="n">
        <v>0</v>
      </c>
    </row>
    <row r="2997" spans="1:13">
      <c r="A2997" s="1">
        <f>HYPERLINK("http://www.twitter.com/NathanBLawrence/status/988624055216590848", "988624055216590848")</f>
        <v/>
      </c>
      <c r="B2997" s="2" t="n">
        <v>43214.15413194444</v>
      </c>
      <c r="C2997" t="n">
        <v>0</v>
      </c>
      <c r="D2997" t="n">
        <v>3</v>
      </c>
      <c r="E2997" t="s">
        <v>2952</v>
      </c>
      <c r="F2997" t="s"/>
      <c r="G2997" t="s"/>
      <c r="H2997" t="s"/>
      <c r="I2997" t="s"/>
      <c r="J2997" t="n">
        <v>0</v>
      </c>
      <c r="K2997" t="n">
        <v>0</v>
      </c>
      <c r="L2997" t="n">
        <v>1</v>
      </c>
      <c r="M2997" t="n">
        <v>0</v>
      </c>
    </row>
    <row r="2998" spans="1:13">
      <c r="A2998" s="1">
        <f>HYPERLINK("http://www.twitter.com/NathanBLawrence/status/988623979631071232", "988623979631071232")</f>
        <v/>
      </c>
      <c r="B2998" s="2" t="n">
        <v>43214.15392361111</v>
      </c>
      <c r="C2998" t="n">
        <v>0</v>
      </c>
      <c r="D2998" t="n">
        <v>8</v>
      </c>
      <c r="E2998" t="s">
        <v>2953</v>
      </c>
      <c r="F2998">
        <f>HYPERLINK("http://pbs.twimg.com/media/DbGU1IBVwAA-xoz.jpg", "http://pbs.twimg.com/media/DbGU1IBVwAA-xoz.jpg")</f>
        <v/>
      </c>
      <c r="G2998" t="s"/>
      <c r="H2998" t="s"/>
      <c r="I2998" t="s"/>
      <c r="J2998" t="n">
        <v>0.8201000000000001</v>
      </c>
      <c r="K2998" t="n">
        <v>0</v>
      </c>
      <c r="L2998" t="n">
        <v>0.643</v>
      </c>
      <c r="M2998" t="n">
        <v>0.357</v>
      </c>
    </row>
    <row r="2999" spans="1:13">
      <c r="A2999" s="1">
        <f>HYPERLINK("http://www.twitter.com/NathanBLawrence/status/988623956843421696", "988623956843421696")</f>
        <v/>
      </c>
      <c r="B2999" s="2" t="n">
        <v>43214.15385416667</v>
      </c>
      <c r="C2999" t="n">
        <v>0</v>
      </c>
      <c r="D2999" t="n">
        <v>2</v>
      </c>
      <c r="E2999" t="s">
        <v>2954</v>
      </c>
      <c r="F2999" t="s"/>
      <c r="G2999" t="s"/>
      <c r="H2999" t="s"/>
      <c r="I2999" t="s"/>
      <c r="J2999" t="n">
        <v>0.3612</v>
      </c>
      <c r="K2999" t="n">
        <v>0</v>
      </c>
      <c r="L2999" t="n">
        <v>0.8149999999999999</v>
      </c>
      <c r="M2999" t="n">
        <v>0.185</v>
      </c>
    </row>
    <row r="3000" spans="1:13">
      <c r="A3000" s="1">
        <f>HYPERLINK("http://www.twitter.com/NathanBLawrence/status/988623946475065345", "988623946475065345")</f>
        <v/>
      </c>
      <c r="B3000" s="2" t="n">
        <v>43214.15383101852</v>
      </c>
      <c r="C3000" t="n">
        <v>0</v>
      </c>
      <c r="D3000" t="n">
        <v>6</v>
      </c>
      <c r="E3000" t="s">
        <v>2955</v>
      </c>
      <c r="F3000" t="s"/>
      <c r="G3000" t="s"/>
      <c r="H3000" t="s"/>
      <c r="I3000" t="s"/>
      <c r="J3000" t="n">
        <v>0</v>
      </c>
      <c r="K3000" t="n">
        <v>0</v>
      </c>
      <c r="L3000" t="n">
        <v>1</v>
      </c>
      <c r="M3000" t="n">
        <v>0</v>
      </c>
    </row>
    <row r="3001" spans="1:13">
      <c r="A3001" s="1">
        <f>HYPERLINK("http://www.twitter.com/NathanBLawrence/status/988623842238255105", "988623842238255105")</f>
        <v/>
      </c>
      <c r="B3001" s="2" t="n">
        <v>43214.15354166667</v>
      </c>
      <c r="C3001" t="n">
        <v>0</v>
      </c>
      <c r="D3001" t="n">
        <v>6</v>
      </c>
      <c r="E3001" t="s">
        <v>2956</v>
      </c>
      <c r="F3001">
        <f>HYPERLINK("http://pbs.twimg.com/media/DbgsO7bX0AQWXJh.jpg", "http://pbs.twimg.com/media/DbgsO7bX0AQWXJh.jpg")</f>
        <v/>
      </c>
      <c r="G3001" t="s"/>
      <c r="H3001" t="s"/>
      <c r="I3001" t="s"/>
      <c r="J3001" t="n">
        <v>0.7717000000000001</v>
      </c>
      <c r="K3001" t="n">
        <v>0</v>
      </c>
      <c r="L3001" t="n">
        <v>0.705</v>
      </c>
      <c r="M3001" t="n">
        <v>0.295</v>
      </c>
    </row>
    <row r="3002" spans="1:13">
      <c r="A3002" s="1">
        <f>HYPERLINK("http://www.twitter.com/NathanBLawrence/status/988623825976922112", "988623825976922112")</f>
        <v/>
      </c>
      <c r="B3002" s="2" t="n">
        <v>43214.15349537037</v>
      </c>
      <c r="C3002" t="n">
        <v>0</v>
      </c>
      <c r="D3002" t="n">
        <v>5</v>
      </c>
      <c r="E3002" t="s">
        <v>2957</v>
      </c>
      <c r="F3002" t="s"/>
      <c r="G3002" t="s"/>
      <c r="H3002" t="s"/>
      <c r="I3002" t="s"/>
      <c r="J3002" t="n">
        <v>0.4184</v>
      </c>
      <c r="K3002" t="n">
        <v>0</v>
      </c>
      <c r="L3002" t="n">
        <v>0.872</v>
      </c>
      <c r="M3002" t="n">
        <v>0.128</v>
      </c>
    </row>
    <row r="3003" spans="1:13">
      <c r="A3003" s="1">
        <f>HYPERLINK("http://www.twitter.com/NathanBLawrence/status/988623611652132865", "988623611652132865")</f>
        <v/>
      </c>
      <c r="B3003" s="2" t="n">
        <v>43214.15290509259</v>
      </c>
      <c r="C3003" t="n">
        <v>1</v>
      </c>
      <c r="D3003" t="n">
        <v>0</v>
      </c>
      <c r="E3003" t="s">
        <v>2958</v>
      </c>
      <c r="F3003" t="s"/>
      <c r="G3003" t="s"/>
      <c r="H3003" t="s"/>
      <c r="I3003" t="s"/>
      <c r="J3003" t="n">
        <v>-0.296</v>
      </c>
      <c r="K3003" t="n">
        <v>0.162</v>
      </c>
      <c r="L3003" t="n">
        <v>0.735</v>
      </c>
      <c r="M3003" t="n">
        <v>0.103</v>
      </c>
    </row>
    <row r="3004" spans="1:13">
      <c r="A3004" s="1">
        <f>HYPERLINK("http://www.twitter.com/NathanBLawrence/status/988623458916593667", "988623458916593667")</f>
        <v/>
      </c>
      <c r="B3004" s="2" t="n">
        <v>43214.15247685185</v>
      </c>
      <c r="C3004" t="n">
        <v>0</v>
      </c>
      <c r="D3004" t="n">
        <v>287</v>
      </c>
      <c r="E3004" t="s">
        <v>2959</v>
      </c>
      <c r="F3004" t="s"/>
      <c r="G3004" t="s"/>
      <c r="H3004" t="s"/>
      <c r="I3004" t="s"/>
      <c r="J3004" t="n">
        <v>0</v>
      </c>
      <c r="K3004" t="n">
        <v>0</v>
      </c>
      <c r="L3004" t="n">
        <v>1</v>
      </c>
      <c r="M3004" t="n">
        <v>0</v>
      </c>
    </row>
    <row r="3005" spans="1:13">
      <c r="A3005" s="1">
        <f>HYPERLINK("http://www.twitter.com/NathanBLawrence/status/988623332881895424", "988623332881895424")</f>
        <v/>
      </c>
      <c r="B3005" s="2" t="n">
        <v>43214.15212962963</v>
      </c>
      <c r="C3005" t="n">
        <v>0</v>
      </c>
      <c r="D3005" t="n">
        <v>268</v>
      </c>
      <c r="E3005" t="s">
        <v>2960</v>
      </c>
      <c r="F3005">
        <f>HYPERLINK("http://pbs.twimg.com/media/Dbg25BEU8AIeHNg.jpg", "http://pbs.twimg.com/media/Dbg25BEU8AIeHNg.jpg")</f>
        <v/>
      </c>
      <c r="G3005" t="s"/>
      <c r="H3005" t="s"/>
      <c r="I3005" t="s"/>
      <c r="J3005" t="n">
        <v>-0.4019</v>
      </c>
      <c r="K3005" t="n">
        <v>0.197</v>
      </c>
      <c r="L3005" t="n">
        <v>0.803</v>
      </c>
      <c r="M3005" t="n">
        <v>0</v>
      </c>
    </row>
    <row r="3006" spans="1:13">
      <c r="A3006" s="1">
        <f>HYPERLINK("http://www.twitter.com/NathanBLawrence/status/988623270504288256", "988623270504288256")</f>
        <v/>
      </c>
      <c r="B3006" s="2" t="n">
        <v>43214.1519675926</v>
      </c>
      <c r="C3006" t="n">
        <v>0</v>
      </c>
      <c r="D3006" t="n">
        <v>9</v>
      </c>
      <c r="E3006" t="s">
        <v>2961</v>
      </c>
      <c r="F3006">
        <f>HYPERLINK("https://video.twimg.com/ext_tw_video/988622566553194496/pu/vid/480x640/dclQihj4aBtgCJ2J.mp4?tag=3", "https://video.twimg.com/ext_tw_video/988622566553194496/pu/vid/480x640/dclQihj4aBtgCJ2J.mp4?tag=3")</f>
        <v/>
      </c>
      <c r="G3006" t="s"/>
      <c r="H3006" t="s"/>
      <c r="I3006" t="s"/>
      <c r="J3006" t="n">
        <v>-0.2481</v>
      </c>
      <c r="K3006" t="n">
        <v>0.1</v>
      </c>
      <c r="L3006" t="n">
        <v>0.9</v>
      </c>
      <c r="M3006" t="n">
        <v>0</v>
      </c>
    </row>
    <row r="3007" spans="1:13">
      <c r="A3007" s="1">
        <f>HYPERLINK("http://www.twitter.com/NathanBLawrence/status/988622795541221376", "988622795541221376")</f>
        <v/>
      </c>
      <c r="B3007" s="2" t="n">
        <v>43214.15064814815</v>
      </c>
      <c r="C3007" t="n">
        <v>21</v>
      </c>
      <c r="D3007" t="n">
        <v>9</v>
      </c>
      <c r="E3007" t="s">
        <v>2962</v>
      </c>
      <c r="F3007">
        <f>HYPERLINK("https://video.twimg.com/ext_tw_video/988622566553194496/pu/vid/480x640/dclQihj4aBtgCJ2J.mp4?tag=3", "https://video.twimg.com/ext_tw_video/988622566553194496/pu/vid/480x640/dclQihj4aBtgCJ2J.mp4?tag=3")</f>
        <v/>
      </c>
      <c r="G3007" t="s"/>
      <c r="H3007" t="s"/>
      <c r="I3007" t="s"/>
      <c r="J3007" t="n">
        <v>-0.5764</v>
      </c>
      <c r="K3007" t="n">
        <v>0.111</v>
      </c>
      <c r="L3007" t="n">
        <v>0.889</v>
      </c>
      <c r="M3007" t="n">
        <v>0</v>
      </c>
    </row>
    <row r="3008" spans="1:13">
      <c r="A3008" s="1">
        <f>HYPERLINK("http://www.twitter.com/NathanBLawrence/status/988622731720708096", "988622731720708096")</f>
        <v/>
      </c>
      <c r="B3008" s="2" t="n">
        <v>43214.15047453704</v>
      </c>
      <c r="C3008" t="n">
        <v>0</v>
      </c>
      <c r="D3008" t="n">
        <v>193</v>
      </c>
      <c r="E3008" t="s">
        <v>2963</v>
      </c>
      <c r="F3008" t="s"/>
      <c r="G3008" t="s"/>
      <c r="H3008" t="s"/>
      <c r="I3008" t="s"/>
      <c r="J3008" t="n">
        <v>0.0772</v>
      </c>
      <c r="K3008" t="n">
        <v>0</v>
      </c>
      <c r="L3008" t="n">
        <v>0.947</v>
      </c>
      <c r="M3008" t="n">
        <v>0.053</v>
      </c>
    </row>
    <row r="3009" spans="1:13">
      <c r="A3009" s="1">
        <f>HYPERLINK("http://www.twitter.com/NathanBLawrence/status/988620076000710657", "988620076000710657")</f>
        <v/>
      </c>
      <c r="B3009" s="2" t="n">
        <v>43214.14314814815</v>
      </c>
      <c r="C3009" t="n">
        <v>0</v>
      </c>
      <c r="D3009" t="n">
        <v>0</v>
      </c>
      <c r="E3009" t="s">
        <v>2964</v>
      </c>
      <c r="F3009" t="s"/>
      <c r="G3009" t="s"/>
      <c r="H3009" t="s"/>
      <c r="I3009" t="s"/>
      <c r="J3009" t="n">
        <v>0</v>
      </c>
      <c r="K3009" t="n">
        <v>0</v>
      </c>
      <c r="L3009" t="n">
        <v>1</v>
      </c>
      <c r="M3009" t="n">
        <v>0</v>
      </c>
    </row>
    <row r="3010" spans="1:13">
      <c r="A3010" s="1">
        <f>HYPERLINK("http://www.twitter.com/NathanBLawrence/status/988619970241232896", "988619970241232896")</f>
        <v/>
      </c>
      <c r="B3010" s="2" t="n">
        <v>43214.14285879629</v>
      </c>
      <c r="C3010" t="n">
        <v>0</v>
      </c>
      <c r="D3010" t="n">
        <v>16</v>
      </c>
      <c r="E3010" t="s">
        <v>2965</v>
      </c>
      <c r="F3010" t="s"/>
      <c r="G3010" t="s"/>
      <c r="H3010" t="s"/>
      <c r="I3010" t="s"/>
      <c r="J3010" t="n">
        <v>0</v>
      </c>
      <c r="K3010" t="n">
        <v>0</v>
      </c>
      <c r="L3010" t="n">
        <v>1</v>
      </c>
      <c r="M3010" t="n">
        <v>0</v>
      </c>
    </row>
    <row r="3011" spans="1:13">
      <c r="A3011" s="1">
        <f>HYPERLINK("http://www.twitter.com/NathanBLawrence/status/988613955751956480", "988613955751956480")</f>
        <v/>
      </c>
      <c r="B3011" s="2" t="n">
        <v>43214.12626157407</v>
      </c>
      <c r="C3011" t="n">
        <v>1</v>
      </c>
      <c r="D3011" t="n">
        <v>0</v>
      </c>
      <c r="E3011" t="s">
        <v>2966</v>
      </c>
      <c r="F3011" t="s"/>
      <c r="G3011" t="s"/>
      <c r="H3011" t="s"/>
      <c r="I3011" t="s"/>
      <c r="J3011" t="n">
        <v>0</v>
      </c>
      <c r="K3011" t="n">
        <v>0</v>
      </c>
      <c r="L3011" t="n">
        <v>1</v>
      </c>
      <c r="M3011" t="n">
        <v>0</v>
      </c>
    </row>
    <row r="3012" spans="1:13">
      <c r="A3012" s="1">
        <f>HYPERLINK("http://www.twitter.com/NathanBLawrence/status/988613520651628545", "988613520651628545")</f>
        <v/>
      </c>
      <c r="B3012" s="2" t="n">
        <v>43214.12505787037</v>
      </c>
      <c r="C3012" t="n">
        <v>7</v>
      </c>
      <c r="D3012" t="n">
        <v>4</v>
      </c>
      <c r="E3012" t="s">
        <v>2967</v>
      </c>
      <c r="F3012">
        <f>HYPERLINK("http://pbs.twimg.com/media/DbhCvl9WAAAd93E.jpg", "http://pbs.twimg.com/media/DbhCvl9WAAAd93E.jpg")</f>
        <v/>
      </c>
      <c r="G3012" t="s"/>
      <c r="H3012" t="s"/>
      <c r="I3012" t="s"/>
      <c r="J3012" t="n">
        <v>0</v>
      </c>
      <c r="K3012" t="n">
        <v>0</v>
      </c>
      <c r="L3012" t="n">
        <v>1</v>
      </c>
      <c r="M3012" t="n">
        <v>0</v>
      </c>
    </row>
    <row r="3013" spans="1:13">
      <c r="A3013" s="1">
        <f>HYPERLINK("http://www.twitter.com/NathanBLawrence/status/988611103268724736", "988611103268724736")</f>
        <v/>
      </c>
      <c r="B3013" s="2" t="n">
        <v>43214.1183912037</v>
      </c>
      <c r="C3013" t="n">
        <v>0</v>
      </c>
      <c r="D3013" t="n">
        <v>0</v>
      </c>
      <c r="E3013" t="s">
        <v>2968</v>
      </c>
      <c r="F3013" t="s"/>
      <c r="G3013" t="s"/>
      <c r="H3013" t="s"/>
      <c r="I3013" t="s"/>
      <c r="J3013" t="n">
        <v>0.2263</v>
      </c>
      <c r="K3013" t="n">
        <v>0.101</v>
      </c>
      <c r="L3013" t="n">
        <v>0.759</v>
      </c>
      <c r="M3013" t="n">
        <v>0.139</v>
      </c>
    </row>
    <row r="3014" spans="1:13">
      <c r="A3014" s="1">
        <f>HYPERLINK("http://www.twitter.com/NathanBLawrence/status/988610709721370624", "988610709721370624")</f>
        <v/>
      </c>
      <c r="B3014" s="2" t="n">
        <v>43214.11730324074</v>
      </c>
      <c r="C3014" t="n">
        <v>0</v>
      </c>
      <c r="D3014" t="n">
        <v>0</v>
      </c>
      <c r="E3014" t="s">
        <v>2969</v>
      </c>
      <c r="F3014" t="s"/>
      <c r="G3014" t="s"/>
      <c r="H3014" t="s"/>
      <c r="I3014" t="s"/>
      <c r="J3014" t="n">
        <v>-0.7184</v>
      </c>
      <c r="K3014" t="n">
        <v>0.176</v>
      </c>
      <c r="L3014" t="n">
        <v>0.824</v>
      </c>
      <c r="M3014" t="n">
        <v>0</v>
      </c>
    </row>
    <row r="3015" spans="1:13">
      <c r="A3015" s="1">
        <f>HYPERLINK("http://www.twitter.com/NathanBLawrence/status/988608193885503488", "988608193885503488")</f>
        <v/>
      </c>
      <c r="B3015" s="2" t="n">
        <v>43214.11035879629</v>
      </c>
      <c r="C3015" t="n">
        <v>0</v>
      </c>
      <c r="D3015" t="n">
        <v>0</v>
      </c>
      <c r="E3015" t="s">
        <v>2970</v>
      </c>
      <c r="F3015" t="s"/>
      <c r="G3015" t="s"/>
      <c r="H3015" t="s"/>
      <c r="I3015" t="s"/>
      <c r="J3015" t="n">
        <v>-0.7543</v>
      </c>
      <c r="K3015" t="n">
        <v>0.185</v>
      </c>
      <c r="L3015" t="n">
        <v>0.777</v>
      </c>
      <c r="M3015" t="n">
        <v>0.038</v>
      </c>
    </row>
    <row r="3016" spans="1:13">
      <c r="A3016" s="1">
        <f>HYPERLINK("http://www.twitter.com/NathanBLawrence/status/988607543596470273", "988607543596470273")</f>
        <v/>
      </c>
      <c r="B3016" s="2" t="n">
        <v>43214.10856481481</v>
      </c>
      <c r="C3016" t="n">
        <v>0</v>
      </c>
      <c r="D3016" t="n">
        <v>3855</v>
      </c>
      <c r="E3016" t="s">
        <v>2971</v>
      </c>
      <c r="F3016" t="s"/>
      <c r="G3016" t="s"/>
      <c r="H3016" t="s"/>
      <c r="I3016" t="s"/>
      <c r="J3016" t="n">
        <v>-0.3246</v>
      </c>
      <c r="K3016" t="n">
        <v>0.112</v>
      </c>
      <c r="L3016" t="n">
        <v>0.825</v>
      </c>
      <c r="M3016" t="n">
        <v>0.062</v>
      </c>
    </row>
    <row r="3017" spans="1:13">
      <c r="A3017" s="1">
        <f>HYPERLINK("http://www.twitter.com/NathanBLawrence/status/988607501888303105", "988607501888303105")</f>
        <v/>
      </c>
      <c r="B3017" s="2" t="n">
        <v>43214.10844907408</v>
      </c>
      <c r="C3017" t="n">
        <v>0</v>
      </c>
      <c r="D3017" t="n">
        <v>128</v>
      </c>
      <c r="E3017" t="s">
        <v>2972</v>
      </c>
      <c r="F3017" t="s"/>
      <c r="G3017" t="s"/>
      <c r="H3017" t="s"/>
      <c r="I3017" t="s"/>
      <c r="J3017" t="n">
        <v>0.4995</v>
      </c>
      <c r="K3017" t="n">
        <v>0</v>
      </c>
      <c r="L3017" t="n">
        <v>0.712</v>
      </c>
      <c r="M3017" t="n">
        <v>0.288</v>
      </c>
    </row>
    <row r="3018" spans="1:13">
      <c r="A3018" s="1">
        <f>HYPERLINK("http://www.twitter.com/NathanBLawrence/status/988607496418942976", "988607496418942976")</f>
        <v/>
      </c>
      <c r="B3018" s="2" t="n">
        <v>43214.1084375</v>
      </c>
      <c r="C3018" t="n">
        <v>0</v>
      </c>
      <c r="D3018" t="n">
        <v>4689</v>
      </c>
      <c r="E3018" t="s">
        <v>2973</v>
      </c>
      <c r="F3018" t="s"/>
      <c r="G3018" t="s"/>
      <c r="H3018" t="s"/>
      <c r="I3018" t="s"/>
      <c r="J3018" t="n">
        <v>-0.5994</v>
      </c>
      <c r="K3018" t="n">
        <v>0.178</v>
      </c>
      <c r="L3018" t="n">
        <v>0.822</v>
      </c>
      <c r="M3018" t="n">
        <v>0</v>
      </c>
    </row>
    <row r="3019" spans="1:13">
      <c r="A3019" s="1">
        <f>HYPERLINK("http://www.twitter.com/NathanBLawrence/status/988607451326009344", "988607451326009344")</f>
        <v/>
      </c>
      <c r="B3019" s="2" t="n">
        <v>43214.10831018518</v>
      </c>
      <c r="C3019" t="n">
        <v>0</v>
      </c>
      <c r="D3019" t="n">
        <v>20202</v>
      </c>
      <c r="E3019" t="s">
        <v>2974</v>
      </c>
      <c r="F3019" t="s"/>
      <c r="G3019" t="s"/>
      <c r="H3019" t="s"/>
      <c r="I3019" t="s"/>
      <c r="J3019" t="n">
        <v>0</v>
      </c>
      <c r="K3019" t="n">
        <v>0</v>
      </c>
      <c r="L3019" t="n">
        <v>1</v>
      </c>
      <c r="M3019" t="n">
        <v>0</v>
      </c>
    </row>
    <row r="3020" spans="1:13">
      <c r="A3020" s="1">
        <f>HYPERLINK("http://www.twitter.com/NathanBLawrence/status/988607451296681986", "988607451296681986")</f>
        <v/>
      </c>
      <c r="B3020" s="2" t="n">
        <v>43214.10831018518</v>
      </c>
      <c r="C3020" t="n">
        <v>0</v>
      </c>
      <c r="D3020" t="n">
        <v>79483</v>
      </c>
      <c r="E3020" t="s">
        <v>2975</v>
      </c>
      <c r="F3020">
        <f>HYPERLINK("https://video.twimg.com/ext_tw_video/988087005392273408/pu/vid/640x360/PPA0vkkn-OFERVVF.mp4?tag=3", "https://video.twimg.com/ext_tw_video/988087005392273408/pu/vid/640x360/PPA0vkkn-OFERVVF.mp4?tag=3")</f>
        <v/>
      </c>
      <c r="G3020" t="s"/>
      <c r="H3020" t="s"/>
      <c r="I3020" t="s"/>
      <c r="J3020" t="n">
        <v>-0.296</v>
      </c>
      <c r="K3020" t="n">
        <v>0.145</v>
      </c>
      <c r="L3020" t="n">
        <v>0.855</v>
      </c>
      <c r="M3020" t="n">
        <v>0</v>
      </c>
    </row>
    <row r="3021" spans="1:13">
      <c r="A3021" s="1">
        <f>HYPERLINK("http://www.twitter.com/NathanBLawrence/status/988606981010350080", "988606981010350080")</f>
        <v/>
      </c>
      <c r="B3021" s="2" t="n">
        <v>43214.10701388889</v>
      </c>
      <c r="C3021" t="n">
        <v>0</v>
      </c>
      <c r="D3021" t="n">
        <v>5</v>
      </c>
      <c r="E3021" t="s">
        <v>2976</v>
      </c>
      <c r="F3021" t="s"/>
      <c r="G3021" t="s"/>
      <c r="H3021" t="s"/>
      <c r="I3021" t="s"/>
      <c r="J3021" t="n">
        <v>-0.3818</v>
      </c>
      <c r="K3021" t="n">
        <v>0.126</v>
      </c>
      <c r="L3021" t="n">
        <v>0.874</v>
      </c>
      <c r="M3021" t="n">
        <v>0</v>
      </c>
    </row>
    <row r="3022" spans="1:13">
      <c r="A3022" s="1">
        <f>HYPERLINK("http://www.twitter.com/NathanBLawrence/status/988606906792136709", "988606906792136709")</f>
        <v/>
      </c>
      <c r="B3022" s="2" t="n">
        <v>43214.10680555556</v>
      </c>
      <c r="C3022" t="n">
        <v>0</v>
      </c>
      <c r="D3022" t="n">
        <v>0</v>
      </c>
      <c r="E3022" t="s">
        <v>2977</v>
      </c>
      <c r="F3022" t="s"/>
      <c r="G3022" t="s"/>
      <c r="H3022" t="s"/>
      <c r="I3022" t="s"/>
      <c r="J3022" t="n">
        <v>0.4404</v>
      </c>
      <c r="K3022" t="n">
        <v>0</v>
      </c>
      <c r="L3022" t="n">
        <v>0.756</v>
      </c>
      <c r="M3022" t="n">
        <v>0.244</v>
      </c>
    </row>
    <row r="3023" spans="1:13">
      <c r="A3023" s="1">
        <f>HYPERLINK("http://www.twitter.com/NathanBLawrence/status/988606732564918272", "988606732564918272")</f>
        <v/>
      </c>
      <c r="B3023" s="2" t="n">
        <v>43214.10633101852</v>
      </c>
      <c r="C3023" t="n">
        <v>0</v>
      </c>
      <c r="D3023" t="n">
        <v>0</v>
      </c>
      <c r="E3023" t="s">
        <v>2978</v>
      </c>
      <c r="F3023" t="s"/>
      <c r="G3023" t="s"/>
      <c r="H3023" t="s"/>
      <c r="I3023" t="s"/>
      <c r="J3023" t="n">
        <v>-0.6194</v>
      </c>
      <c r="K3023" t="n">
        <v>0.161</v>
      </c>
      <c r="L3023" t="n">
        <v>0.728</v>
      </c>
      <c r="M3023" t="n">
        <v>0.111</v>
      </c>
    </row>
    <row r="3024" spans="1:13">
      <c r="A3024" s="1">
        <f>HYPERLINK("http://www.twitter.com/NathanBLawrence/status/988606056891846656", "988606056891846656")</f>
        <v/>
      </c>
      <c r="B3024" s="2" t="n">
        <v>43214.1044675926</v>
      </c>
      <c r="C3024" t="n">
        <v>0</v>
      </c>
      <c r="D3024" t="n">
        <v>0</v>
      </c>
      <c r="E3024" t="s">
        <v>2979</v>
      </c>
      <c r="F3024" t="s"/>
      <c r="G3024" t="s"/>
      <c r="H3024" t="s"/>
      <c r="I3024" t="s"/>
      <c r="J3024" t="n">
        <v>0.2263</v>
      </c>
      <c r="K3024" t="n">
        <v>0</v>
      </c>
      <c r="L3024" t="n">
        <v>0.927</v>
      </c>
      <c r="M3024" t="n">
        <v>0.073</v>
      </c>
    </row>
    <row r="3025" spans="1:13">
      <c r="A3025" s="1">
        <f>HYPERLINK("http://www.twitter.com/NathanBLawrence/status/988605789156855809", "988605789156855809")</f>
        <v/>
      </c>
      <c r="B3025" s="2" t="n">
        <v>43214.10372685185</v>
      </c>
      <c r="C3025" t="n">
        <v>0</v>
      </c>
      <c r="D3025" t="n">
        <v>0</v>
      </c>
      <c r="E3025" t="s">
        <v>2980</v>
      </c>
      <c r="F3025" t="s"/>
      <c r="G3025" t="s"/>
      <c r="H3025" t="s"/>
      <c r="I3025" t="s"/>
      <c r="J3025" t="n">
        <v>-0.1563</v>
      </c>
      <c r="K3025" t="n">
        <v>0.078</v>
      </c>
      <c r="L3025" t="n">
        <v>0.879</v>
      </c>
      <c r="M3025" t="n">
        <v>0.044</v>
      </c>
    </row>
    <row r="3026" spans="1:13">
      <c r="A3026" s="1">
        <f>HYPERLINK("http://www.twitter.com/NathanBLawrence/status/988605088649437185", "988605088649437185")</f>
        <v/>
      </c>
      <c r="B3026" s="2" t="n">
        <v>43214.10179398148</v>
      </c>
      <c r="C3026" t="n">
        <v>1</v>
      </c>
      <c r="D3026" t="n">
        <v>0</v>
      </c>
      <c r="E3026" t="s">
        <v>2981</v>
      </c>
      <c r="F3026" t="s"/>
      <c r="G3026" t="s"/>
      <c r="H3026" t="s"/>
      <c r="I3026" t="s"/>
      <c r="J3026" t="n">
        <v>-0.34</v>
      </c>
      <c r="K3026" t="n">
        <v>0.064</v>
      </c>
      <c r="L3026" t="n">
        <v>0.897</v>
      </c>
      <c r="M3026" t="n">
        <v>0.038</v>
      </c>
    </row>
    <row r="3027" spans="1:13">
      <c r="A3027" s="1">
        <f>HYPERLINK("http://www.twitter.com/NathanBLawrence/status/988595869770502144", "988595869770502144")</f>
        <v/>
      </c>
      <c r="B3027" s="2" t="n">
        <v>43214.07635416667</v>
      </c>
      <c r="C3027" t="n">
        <v>0</v>
      </c>
      <c r="D3027" t="n">
        <v>1547</v>
      </c>
      <c r="E3027" t="s">
        <v>2982</v>
      </c>
      <c r="F3027" t="s"/>
      <c r="G3027" t="s"/>
      <c r="H3027" t="s"/>
      <c r="I3027" t="s"/>
      <c r="J3027" t="n">
        <v>0.2247</v>
      </c>
      <c r="K3027" t="n">
        <v>0.113</v>
      </c>
      <c r="L3027" t="n">
        <v>0.707</v>
      </c>
      <c r="M3027" t="n">
        <v>0.18</v>
      </c>
    </row>
    <row r="3028" spans="1:13">
      <c r="A3028" s="1">
        <f>HYPERLINK("http://www.twitter.com/NathanBLawrence/status/988595797926301702", "988595797926301702")</f>
        <v/>
      </c>
      <c r="B3028" s="2" t="n">
        <v>43214.07615740741</v>
      </c>
      <c r="C3028" t="n">
        <v>0</v>
      </c>
      <c r="D3028" t="n">
        <v>3675</v>
      </c>
      <c r="E3028" t="s">
        <v>2983</v>
      </c>
      <c r="F3028" t="s"/>
      <c r="G3028" t="s"/>
      <c r="H3028" t="s"/>
      <c r="I3028" t="s"/>
      <c r="J3028" t="n">
        <v>-0.296</v>
      </c>
      <c r="K3028" t="n">
        <v>0.091</v>
      </c>
      <c r="L3028" t="n">
        <v>0.909</v>
      </c>
      <c r="M3028" t="n">
        <v>0</v>
      </c>
    </row>
    <row r="3029" spans="1:13">
      <c r="A3029" s="1">
        <f>HYPERLINK("http://www.twitter.com/NathanBLawrence/status/988595676496973825", "988595676496973825")</f>
        <v/>
      </c>
      <c r="B3029" s="2" t="n">
        <v>43214.07582175926</v>
      </c>
      <c r="C3029" t="n">
        <v>0</v>
      </c>
      <c r="D3029" t="n">
        <v>7</v>
      </c>
      <c r="E3029" t="s">
        <v>2984</v>
      </c>
      <c r="F3029" t="s"/>
      <c r="G3029" t="s"/>
      <c r="H3029" t="s"/>
      <c r="I3029" t="s"/>
      <c r="J3029" t="n">
        <v>0</v>
      </c>
      <c r="K3029" t="n">
        <v>0</v>
      </c>
      <c r="L3029" t="n">
        <v>1</v>
      </c>
      <c r="M3029" t="n">
        <v>0</v>
      </c>
    </row>
    <row r="3030" spans="1:13">
      <c r="A3030" s="1">
        <f>HYPERLINK("http://www.twitter.com/NathanBLawrence/status/988588766884519939", "988588766884519939")</f>
        <v/>
      </c>
      <c r="B3030" s="2" t="n">
        <v>43214.05674768519</v>
      </c>
      <c r="C3030" t="n">
        <v>10</v>
      </c>
      <c r="D3030" t="n">
        <v>6</v>
      </c>
      <c r="E3030" t="s">
        <v>2985</v>
      </c>
      <c r="F3030">
        <f>HYPERLINK("http://pbs.twimg.com/media/DbgsO7bX0AQWXJh.jpg", "http://pbs.twimg.com/media/DbgsO7bX0AQWXJh.jpg")</f>
        <v/>
      </c>
      <c r="G3030" t="s"/>
      <c r="H3030" t="s"/>
      <c r="I3030" t="s"/>
      <c r="J3030" t="n">
        <v>0.7717000000000001</v>
      </c>
      <c r="K3030" t="n">
        <v>0</v>
      </c>
      <c r="L3030" t="n">
        <v>0.676</v>
      </c>
      <c r="M3030" t="n">
        <v>0.324</v>
      </c>
    </row>
    <row r="3031" spans="1:13">
      <c r="A3031" s="1">
        <f>HYPERLINK("http://www.twitter.com/NathanBLawrence/status/988584490476949504", "988584490476949504")</f>
        <v/>
      </c>
      <c r="B3031" s="2" t="n">
        <v>43214.04495370371</v>
      </c>
      <c r="C3031" t="n">
        <v>4</v>
      </c>
      <c r="D3031" t="n">
        <v>0</v>
      </c>
      <c r="E3031" t="s">
        <v>2986</v>
      </c>
      <c r="F3031">
        <f>HYPERLINK("http://pbs.twimg.com/media/DbgoWTxXcAE0J9a.jpg", "http://pbs.twimg.com/media/DbgoWTxXcAE0J9a.jpg")</f>
        <v/>
      </c>
      <c r="G3031" t="s"/>
      <c r="H3031" t="s"/>
      <c r="I3031" t="s"/>
      <c r="J3031" t="n">
        <v>0</v>
      </c>
      <c r="K3031" t="n">
        <v>0</v>
      </c>
      <c r="L3031" t="n">
        <v>1</v>
      </c>
      <c r="M3031" t="n">
        <v>0</v>
      </c>
    </row>
    <row r="3032" spans="1:13">
      <c r="A3032" s="1">
        <f>HYPERLINK("http://www.twitter.com/NathanBLawrence/status/988582382939893761", "988582382939893761")</f>
        <v/>
      </c>
      <c r="B3032" s="2" t="n">
        <v>43214.03913194445</v>
      </c>
      <c r="C3032" t="n">
        <v>0</v>
      </c>
      <c r="D3032" t="n">
        <v>15</v>
      </c>
      <c r="E3032" t="s">
        <v>2987</v>
      </c>
      <c r="F3032">
        <f>HYPERLINK("http://pbs.twimg.com/media/Dbfju-IV0AAaPPY.jpg", "http://pbs.twimg.com/media/Dbfju-IV0AAaPPY.jpg")</f>
        <v/>
      </c>
      <c r="G3032" t="s"/>
      <c r="H3032" t="s"/>
      <c r="I3032" t="s"/>
      <c r="J3032" t="n">
        <v>0.3595</v>
      </c>
      <c r="K3032" t="n">
        <v>0</v>
      </c>
      <c r="L3032" t="n">
        <v>0.898</v>
      </c>
      <c r="M3032" t="n">
        <v>0.102</v>
      </c>
    </row>
    <row r="3033" spans="1:13">
      <c r="A3033" s="1">
        <f>HYPERLINK("http://www.twitter.com/NathanBLawrence/status/988582359133016064", "988582359133016064")</f>
        <v/>
      </c>
      <c r="B3033" s="2" t="n">
        <v>43214.03907407408</v>
      </c>
      <c r="C3033" t="n">
        <v>0</v>
      </c>
      <c r="D3033" t="n">
        <v>49</v>
      </c>
      <c r="E3033" t="s">
        <v>2988</v>
      </c>
      <c r="F3033" t="s"/>
      <c r="G3033" t="s"/>
      <c r="H3033" t="s"/>
      <c r="I3033" t="s"/>
      <c r="J3033" t="n">
        <v>0</v>
      </c>
      <c r="K3033" t="n">
        <v>0</v>
      </c>
      <c r="L3033" t="n">
        <v>1</v>
      </c>
      <c r="M3033" t="n">
        <v>0</v>
      </c>
    </row>
    <row r="3034" spans="1:13">
      <c r="A3034" s="1">
        <f>HYPERLINK("http://www.twitter.com/NathanBLawrence/status/988581650043895808", "988581650043895808")</f>
        <v/>
      </c>
      <c r="B3034" s="2" t="n">
        <v>43214.03710648148</v>
      </c>
      <c r="C3034" t="n">
        <v>3</v>
      </c>
      <c r="D3034" t="n">
        <v>3</v>
      </c>
      <c r="E3034" t="s">
        <v>2989</v>
      </c>
      <c r="F3034" t="s"/>
      <c r="G3034" t="s"/>
      <c r="H3034" t="s"/>
      <c r="I3034" t="s"/>
      <c r="J3034" t="n">
        <v>0.4926</v>
      </c>
      <c r="K3034" t="n">
        <v>0</v>
      </c>
      <c r="L3034" t="n">
        <v>0.715</v>
      </c>
      <c r="M3034" t="n">
        <v>0.285</v>
      </c>
    </row>
    <row r="3035" spans="1:13">
      <c r="A3035" s="1">
        <f>HYPERLINK("http://www.twitter.com/NathanBLawrence/status/988581484490645505", "988581484490645505")</f>
        <v/>
      </c>
      <c r="B3035" s="2" t="n">
        <v>43214.03665509259</v>
      </c>
      <c r="C3035" t="n">
        <v>2</v>
      </c>
      <c r="D3035" t="n">
        <v>2</v>
      </c>
      <c r="E3035" t="s">
        <v>2990</v>
      </c>
      <c r="F3035" t="s"/>
      <c r="G3035" t="s"/>
      <c r="H3035" t="s"/>
      <c r="I3035" t="s"/>
      <c r="J3035" t="n">
        <v>-0.5423</v>
      </c>
      <c r="K3035" t="n">
        <v>0.127</v>
      </c>
      <c r="L3035" t="n">
        <v>0.873</v>
      </c>
      <c r="M3035" t="n">
        <v>0</v>
      </c>
    </row>
    <row r="3036" spans="1:13">
      <c r="A3036" s="1">
        <f>HYPERLINK("http://www.twitter.com/NathanBLawrence/status/988581251622817793", "988581251622817793")</f>
        <v/>
      </c>
      <c r="B3036" s="2" t="n">
        <v>43214.03600694444</v>
      </c>
      <c r="C3036" t="n">
        <v>0</v>
      </c>
      <c r="D3036" t="n">
        <v>38</v>
      </c>
      <c r="E3036" t="s">
        <v>2991</v>
      </c>
      <c r="F3036" t="s"/>
      <c r="G3036" t="s"/>
      <c r="H3036" t="s"/>
      <c r="I3036" t="s"/>
      <c r="J3036" t="n">
        <v>-0.3612</v>
      </c>
      <c r="K3036" t="n">
        <v>0.111</v>
      </c>
      <c r="L3036" t="n">
        <v>0.889</v>
      </c>
      <c r="M3036" t="n">
        <v>0</v>
      </c>
    </row>
    <row r="3037" spans="1:13">
      <c r="A3037" s="1">
        <f>HYPERLINK("http://www.twitter.com/NathanBLawrence/status/988581203811893248", "988581203811893248")</f>
        <v/>
      </c>
      <c r="B3037" s="2" t="n">
        <v>43214.03587962963</v>
      </c>
      <c r="C3037" t="n">
        <v>0</v>
      </c>
      <c r="D3037" t="n">
        <v>2</v>
      </c>
      <c r="E3037" t="s">
        <v>2992</v>
      </c>
      <c r="F3037" t="s"/>
      <c r="G3037" t="s"/>
      <c r="H3037" t="s"/>
      <c r="I3037" t="s"/>
      <c r="J3037" t="n">
        <v>0</v>
      </c>
      <c r="K3037" t="n">
        <v>0</v>
      </c>
      <c r="L3037" t="n">
        <v>1</v>
      </c>
      <c r="M3037" t="n">
        <v>0</v>
      </c>
    </row>
    <row r="3038" spans="1:13">
      <c r="A3038" s="1">
        <f>HYPERLINK("http://www.twitter.com/NathanBLawrence/status/988581028364279808", "988581028364279808")</f>
        <v/>
      </c>
      <c r="B3038" s="2" t="n">
        <v>43214.03539351852</v>
      </c>
      <c r="C3038" t="n">
        <v>0</v>
      </c>
      <c r="D3038" t="n">
        <v>7</v>
      </c>
      <c r="E3038" t="s">
        <v>2993</v>
      </c>
      <c r="F3038" t="s"/>
      <c r="G3038" t="s"/>
      <c r="H3038" t="s"/>
      <c r="I3038" t="s"/>
      <c r="J3038" t="n">
        <v>-0.224</v>
      </c>
      <c r="K3038" t="n">
        <v>0.193</v>
      </c>
      <c r="L3038" t="n">
        <v>0.645</v>
      </c>
      <c r="M3038" t="n">
        <v>0.162</v>
      </c>
    </row>
    <row r="3039" spans="1:13">
      <c r="A3039" s="1">
        <f>HYPERLINK("http://www.twitter.com/NathanBLawrence/status/988579921751674880", "988579921751674880")</f>
        <v/>
      </c>
      <c r="B3039" s="2" t="n">
        <v>43214.03233796296</v>
      </c>
      <c r="C3039" t="n">
        <v>10</v>
      </c>
      <c r="D3039" t="n">
        <v>7</v>
      </c>
      <c r="E3039" t="s">
        <v>2994</v>
      </c>
      <c r="F3039" t="s"/>
      <c r="G3039" t="s"/>
      <c r="H3039" t="s"/>
      <c r="I3039" t="s"/>
      <c r="J3039" t="n">
        <v>-0.224</v>
      </c>
      <c r="K3039" t="n">
        <v>0.132</v>
      </c>
      <c r="L3039" t="n">
        <v>0.758</v>
      </c>
      <c r="M3039" t="n">
        <v>0.11</v>
      </c>
    </row>
    <row r="3040" spans="1:13">
      <c r="A3040" s="1">
        <f>HYPERLINK("http://www.twitter.com/NathanBLawrence/status/988574387031937027", "988574387031937027")</f>
        <v/>
      </c>
      <c r="B3040" s="2" t="n">
        <v>43214.01707175926</v>
      </c>
      <c r="C3040" t="n">
        <v>0</v>
      </c>
      <c r="D3040" t="n">
        <v>18</v>
      </c>
      <c r="E3040" t="s">
        <v>2995</v>
      </c>
      <c r="F3040" t="s"/>
      <c r="G3040" t="s"/>
      <c r="H3040" t="s"/>
      <c r="I3040" t="s"/>
      <c r="J3040" t="n">
        <v>-0.296</v>
      </c>
      <c r="K3040" t="n">
        <v>0.128</v>
      </c>
      <c r="L3040" t="n">
        <v>0.872</v>
      </c>
      <c r="M3040" t="n">
        <v>0</v>
      </c>
    </row>
    <row r="3041" spans="1:13">
      <c r="A3041" s="1">
        <f>HYPERLINK("http://www.twitter.com/NathanBLawrence/status/988571391149727744", "988571391149727744")</f>
        <v/>
      </c>
      <c r="B3041" s="2" t="n">
        <v>43214.00880787037</v>
      </c>
      <c r="C3041" t="n">
        <v>0</v>
      </c>
      <c r="D3041" t="n">
        <v>14</v>
      </c>
      <c r="E3041" t="s">
        <v>2996</v>
      </c>
      <c r="F3041" t="s"/>
      <c r="G3041" t="s"/>
      <c r="H3041" t="s"/>
      <c r="I3041" t="s"/>
      <c r="J3041" t="n">
        <v>0.296</v>
      </c>
      <c r="K3041" t="n">
        <v>0</v>
      </c>
      <c r="L3041" t="n">
        <v>0.901</v>
      </c>
      <c r="M3041" t="n">
        <v>0.099</v>
      </c>
    </row>
    <row r="3042" spans="1:13">
      <c r="A3042" s="1">
        <f>HYPERLINK("http://www.twitter.com/NathanBLawrence/status/988571321939439617", "988571321939439617")</f>
        <v/>
      </c>
      <c r="B3042" s="2" t="n">
        <v>43214.00861111111</v>
      </c>
      <c r="C3042" t="n">
        <v>0</v>
      </c>
      <c r="D3042" t="n">
        <v>4</v>
      </c>
      <c r="E3042" t="s">
        <v>2997</v>
      </c>
      <c r="F3042">
        <f>HYPERLINK("http://pbs.twimg.com/media/Dbf4ofgU8AA9Or_.jpg", "http://pbs.twimg.com/media/Dbf4ofgU8AA9Or_.jpg")</f>
        <v/>
      </c>
      <c r="G3042" t="s"/>
      <c r="H3042" t="s"/>
      <c r="I3042" t="s"/>
      <c r="J3042" t="n">
        <v>0</v>
      </c>
      <c r="K3042" t="n">
        <v>0</v>
      </c>
      <c r="L3042" t="n">
        <v>1</v>
      </c>
      <c r="M3042" t="n">
        <v>0</v>
      </c>
    </row>
    <row r="3043" spans="1:13">
      <c r="A3043" s="1">
        <f>HYPERLINK("http://www.twitter.com/NathanBLawrence/status/988571306131148800", "988571306131148800")</f>
        <v/>
      </c>
      <c r="B3043" s="2" t="n">
        <v>43214.00856481482</v>
      </c>
      <c r="C3043" t="n">
        <v>0</v>
      </c>
      <c r="D3043" t="n">
        <v>4</v>
      </c>
      <c r="E3043" t="s">
        <v>2998</v>
      </c>
      <c r="F3043" t="s"/>
      <c r="G3043" t="s"/>
      <c r="H3043" t="s"/>
      <c r="I3043" t="s"/>
      <c r="J3043" t="n">
        <v>-0.5719</v>
      </c>
      <c r="K3043" t="n">
        <v>0.198</v>
      </c>
      <c r="L3043" t="n">
        <v>0.802</v>
      </c>
      <c r="M3043" t="n">
        <v>0</v>
      </c>
    </row>
    <row r="3044" spans="1:13">
      <c r="A3044" s="1">
        <f>HYPERLINK("http://www.twitter.com/NathanBLawrence/status/988571233196412928", "988571233196412928")</f>
        <v/>
      </c>
      <c r="B3044" s="2" t="n">
        <v>43214.00836805555</v>
      </c>
      <c r="C3044" t="n">
        <v>0</v>
      </c>
      <c r="D3044" t="n">
        <v>7</v>
      </c>
      <c r="E3044" t="s">
        <v>2999</v>
      </c>
      <c r="F3044">
        <f>HYPERLINK("http://pbs.twimg.com/media/DbgJe6mV0AAW05A.jpg", "http://pbs.twimg.com/media/DbgJe6mV0AAW05A.jpg")</f>
        <v/>
      </c>
      <c r="G3044" t="s"/>
      <c r="H3044" t="s"/>
      <c r="I3044" t="s"/>
      <c r="J3044" t="n">
        <v>0</v>
      </c>
      <c r="K3044" t="n">
        <v>0</v>
      </c>
      <c r="L3044" t="n">
        <v>1</v>
      </c>
      <c r="M3044" t="n">
        <v>0</v>
      </c>
    </row>
    <row r="3045" spans="1:13">
      <c r="A3045" s="1">
        <f>HYPERLINK("http://www.twitter.com/NathanBLawrence/status/988568571159760896", "988568571159760896")</f>
        <v/>
      </c>
      <c r="B3045" s="2" t="n">
        <v>43214.00101851852</v>
      </c>
      <c r="C3045" t="n">
        <v>0</v>
      </c>
      <c r="D3045" t="n">
        <v>12</v>
      </c>
      <c r="E3045" t="s">
        <v>3000</v>
      </c>
      <c r="F3045">
        <f>HYPERLINK("http://pbs.twimg.com/media/DbgSkAiU0AA-c-f.jpg", "http://pbs.twimg.com/media/DbgSkAiU0AA-c-f.jpg")</f>
        <v/>
      </c>
      <c r="G3045" t="s"/>
      <c r="H3045" t="s"/>
      <c r="I3045" t="s"/>
      <c r="J3045" t="n">
        <v>0.4019</v>
      </c>
      <c r="K3045" t="n">
        <v>0</v>
      </c>
      <c r="L3045" t="n">
        <v>0.856</v>
      </c>
      <c r="M3045" t="n">
        <v>0.144</v>
      </c>
    </row>
    <row r="3046" spans="1:13">
      <c r="A3046" s="1">
        <f>HYPERLINK("http://www.twitter.com/NathanBLawrence/status/988568550754455553", "988568550754455553")</f>
        <v/>
      </c>
      <c r="B3046" s="2" t="n">
        <v>43214.00096064815</v>
      </c>
      <c r="C3046" t="n">
        <v>0</v>
      </c>
      <c r="D3046" t="n">
        <v>3</v>
      </c>
      <c r="E3046" t="s">
        <v>3001</v>
      </c>
      <c r="F3046">
        <f>HYPERLINK("http://pbs.twimg.com/media/DbgUclXWAAE3ICe.jpg", "http://pbs.twimg.com/media/DbgUclXWAAE3ICe.jpg")</f>
        <v/>
      </c>
      <c r="G3046" t="s"/>
      <c r="H3046" t="s"/>
      <c r="I3046" t="s"/>
      <c r="J3046" t="n">
        <v>0</v>
      </c>
      <c r="K3046" t="n">
        <v>0</v>
      </c>
      <c r="L3046" t="n">
        <v>1</v>
      </c>
      <c r="M3046" t="n">
        <v>0</v>
      </c>
    </row>
    <row r="3047" spans="1:13">
      <c r="A3047" s="1">
        <f>HYPERLINK("http://www.twitter.com/NathanBLawrence/status/988568537634672641", "988568537634672641")</f>
        <v/>
      </c>
      <c r="B3047" s="2" t="n">
        <v>43214.00092592592</v>
      </c>
      <c r="C3047" t="n">
        <v>0</v>
      </c>
      <c r="D3047" t="n">
        <v>9</v>
      </c>
      <c r="E3047" t="s">
        <v>3002</v>
      </c>
      <c r="F3047" t="s"/>
      <c r="G3047" t="s"/>
      <c r="H3047" t="s"/>
      <c r="I3047" t="s"/>
      <c r="J3047" t="n">
        <v>0</v>
      </c>
      <c r="K3047" t="n">
        <v>0</v>
      </c>
      <c r="L3047" t="n">
        <v>1</v>
      </c>
      <c r="M3047" t="n">
        <v>0</v>
      </c>
    </row>
    <row r="3048" spans="1:13">
      <c r="A3048" s="1">
        <f>HYPERLINK("http://www.twitter.com/NathanBLawrence/status/988568503379783682", "988568503379783682")</f>
        <v/>
      </c>
      <c r="B3048" s="2" t="n">
        <v>43214.00083333333</v>
      </c>
      <c r="C3048" t="n">
        <v>0</v>
      </c>
      <c r="D3048" t="n">
        <v>16</v>
      </c>
      <c r="E3048" t="s">
        <v>3003</v>
      </c>
      <c r="F3048" t="s"/>
      <c r="G3048" t="s"/>
      <c r="H3048" t="s"/>
      <c r="I3048" t="s"/>
      <c r="J3048" t="n">
        <v>-0.296</v>
      </c>
      <c r="K3048" t="n">
        <v>0.104</v>
      </c>
      <c r="L3048" t="n">
        <v>0.896</v>
      </c>
      <c r="M3048" t="n">
        <v>0</v>
      </c>
    </row>
    <row r="3049" spans="1:13">
      <c r="A3049" s="1">
        <f>HYPERLINK("http://www.twitter.com/NathanBLawrence/status/988568485608460288", "988568485608460288")</f>
        <v/>
      </c>
      <c r="B3049" s="2" t="n">
        <v>43214.00078703704</v>
      </c>
      <c r="C3049" t="n">
        <v>0</v>
      </c>
      <c r="D3049" t="n">
        <v>10</v>
      </c>
      <c r="E3049" t="s">
        <v>3004</v>
      </c>
      <c r="F3049" t="s"/>
      <c r="G3049" t="s"/>
      <c r="H3049" t="s"/>
      <c r="I3049" t="s"/>
      <c r="J3049" t="n">
        <v>0</v>
      </c>
      <c r="K3049" t="n">
        <v>0</v>
      </c>
      <c r="L3049" t="n">
        <v>1</v>
      </c>
      <c r="M3049" t="n">
        <v>0</v>
      </c>
    </row>
    <row r="3050" spans="1:13">
      <c r="A3050" s="1">
        <f>HYPERLINK("http://www.twitter.com/NathanBLawrence/status/988568472228630530", "988568472228630530")</f>
        <v/>
      </c>
      <c r="B3050" s="2" t="n">
        <v>43214.00075231482</v>
      </c>
      <c r="C3050" t="n">
        <v>0</v>
      </c>
      <c r="D3050" t="n">
        <v>7</v>
      </c>
      <c r="E3050" t="s">
        <v>3005</v>
      </c>
      <c r="F3050" t="s"/>
      <c r="G3050" t="s"/>
      <c r="H3050" t="s"/>
      <c r="I3050" t="s"/>
      <c r="J3050" t="n">
        <v>0</v>
      </c>
      <c r="K3050" t="n">
        <v>0</v>
      </c>
      <c r="L3050" t="n">
        <v>1</v>
      </c>
      <c r="M3050" t="n">
        <v>0</v>
      </c>
    </row>
    <row r="3051" spans="1:13">
      <c r="A3051" s="1">
        <f>HYPERLINK("http://www.twitter.com/NathanBLawrence/status/988567976621346816", "988567976621346816")</f>
        <v/>
      </c>
      <c r="B3051" s="2" t="n">
        <v>43213.999375</v>
      </c>
      <c r="C3051" t="n">
        <v>3</v>
      </c>
      <c r="D3051" t="n">
        <v>1</v>
      </c>
      <c r="E3051" t="s">
        <v>3006</v>
      </c>
      <c r="F3051">
        <f>HYPERLINK("http://pbs.twimg.com/media/DbgZVSMW0AEQH9m.jpg", "http://pbs.twimg.com/media/DbgZVSMW0AEQH9m.jpg")</f>
        <v/>
      </c>
      <c r="G3051" t="s"/>
      <c r="H3051" t="s"/>
      <c r="I3051" t="s"/>
      <c r="J3051" t="n">
        <v>0</v>
      </c>
      <c r="K3051" t="n">
        <v>0</v>
      </c>
      <c r="L3051" t="n">
        <v>1</v>
      </c>
      <c r="M3051" t="n">
        <v>0</v>
      </c>
    </row>
    <row r="3052" spans="1:13">
      <c r="A3052" s="1">
        <f>HYPERLINK("http://www.twitter.com/NathanBLawrence/status/988562604636467202", "988562604636467202")</f>
        <v/>
      </c>
      <c r="B3052" s="2" t="n">
        <v>43213.98456018518</v>
      </c>
      <c r="C3052" t="n">
        <v>9</v>
      </c>
      <c r="D3052" t="n">
        <v>3</v>
      </c>
      <c r="E3052" t="s">
        <v>3007</v>
      </c>
      <c r="F3052">
        <f>HYPERLINK("http://pbs.twimg.com/media/DbgUclXWAAE3ICe.jpg", "http://pbs.twimg.com/media/DbgUclXWAAE3ICe.jpg")</f>
        <v/>
      </c>
      <c r="G3052" t="s"/>
      <c r="H3052" t="s"/>
      <c r="I3052" t="s"/>
      <c r="J3052" t="n">
        <v>0</v>
      </c>
      <c r="K3052" t="n">
        <v>0</v>
      </c>
      <c r="L3052" t="n">
        <v>1</v>
      </c>
      <c r="M3052" t="n">
        <v>0</v>
      </c>
    </row>
    <row r="3053" spans="1:13">
      <c r="A3053" s="1">
        <f>HYPERLINK("http://www.twitter.com/NathanBLawrence/status/988558726624960512", "988558726624960512")</f>
        <v/>
      </c>
      <c r="B3053" s="2" t="n">
        <v>43213.97385416667</v>
      </c>
      <c r="C3053" t="n">
        <v>0</v>
      </c>
      <c r="D3053" t="n">
        <v>3</v>
      </c>
      <c r="E3053" t="s">
        <v>3008</v>
      </c>
      <c r="F3053">
        <f>HYPERLINK("http://pbs.twimg.com/media/DbgGToNWkAMINkd.jpg", "http://pbs.twimg.com/media/DbgGToNWkAMINkd.jpg")</f>
        <v/>
      </c>
      <c r="G3053" t="s"/>
      <c r="H3053" t="s"/>
      <c r="I3053" t="s"/>
      <c r="J3053" t="n">
        <v>0</v>
      </c>
      <c r="K3053" t="n">
        <v>0</v>
      </c>
      <c r="L3053" t="n">
        <v>1</v>
      </c>
      <c r="M3053" t="n">
        <v>0</v>
      </c>
    </row>
    <row r="3054" spans="1:13">
      <c r="A3054" s="1">
        <f>HYPERLINK("http://www.twitter.com/NathanBLawrence/status/988558595372519424", "988558595372519424")</f>
        <v/>
      </c>
      <c r="B3054" s="2" t="n">
        <v>43213.97349537037</v>
      </c>
      <c r="C3054" t="n">
        <v>0</v>
      </c>
      <c r="D3054" t="n">
        <v>3</v>
      </c>
      <c r="E3054" t="s">
        <v>3009</v>
      </c>
      <c r="F3054" t="s"/>
      <c r="G3054" t="s"/>
      <c r="H3054" t="s"/>
      <c r="I3054" t="s"/>
      <c r="J3054" t="n">
        <v>0</v>
      </c>
      <c r="K3054" t="n">
        <v>0</v>
      </c>
      <c r="L3054" t="n">
        <v>1</v>
      </c>
      <c r="M3054" t="n">
        <v>0</v>
      </c>
    </row>
    <row r="3055" spans="1:13">
      <c r="A3055" s="1">
        <f>HYPERLINK("http://www.twitter.com/NathanBLawrence/status/988558542012669952", "988558542012669952")</f>
        <v/>
      </c>
      <c r="B3055" s="2" t="n">
        <v>43213.9733449074</v>
      </c>
      <c r="C3055" t="n">
        <v>0</v>
      </c>
      <c r="D3055" t="n">
        <v>12</v>
      </c>
      <c r="E3055" t="s">
        <v>3010</v>
      </c>
      <c r="F3055">
        <f>HYPERLINK("http://pbs.twimg.com/media/DbgQrEiUwAAt8Bc.jpg", "http://pbs.twimg.com/media/DbgQrEiUwAAt8Bc.jpg")</f>
        <v/>
      </c>
      <c r="G3055" t="s"/>
      <c r="H3055" t="s"/>
      <c r="I3055" t="s"/>
      <c r="J3055" t="n">
        <v>0.4404</v>
      </c>
      <c r="K3055" t="n">
        <v>0</v>
      </c>
      <c r="L3055" t="n">
        <v>0.854</v>
      </c>
      <c r="M3055" t="n">
        <v>0.146</v>
      </c>
    </row>
    <row r="3056" spans="1:13">
      <c r="A3056" s="1">
        <f>HYPERLINK("http://www.twitter.com/NathanBLawrence/status/988558457585446912", "988558457585446912")</f>
        <v/>
      </c>
      <c r="B3056" s="2" t="n">
        <v>43213.97311342593</v>
      </c>
      <c r="C3056" t="n">
        <v>16</v>
      </c>
      <c r="D3056" t="n">
        <v>12</v>
      </c>
      <c r="E3056" t="s">
        <v>3011</v>
      </c>
      <c r="F3056">
        <f>HYPERLINK("http://pbs.twimg.com/media/DbgQrEiUwAAt8Bc.jpg", "http://pbs.twimg.com/media/DbgQrEiUwAAt8Bc.jpg")</f>
        <v/>
      </c>
      <c r="G3056" t="s"/>
      <c r="H3056" t="s"/>
      <c r="I3056" t="s"/>
      <c r="J3056" t="n">
        <v>0.5399</v>
      </c>
      <c r="K3056" t="n">
        <v>0</v>
      </c>
      <c r="L3056" t="n">
        <v>0.907</v>
      </c>
      <c r="M3056" t="n">
        <v>0.093</v>
      </c>
    </row>
    <row r="3057" spans="1:13">
      <c r="A3057" s="1">
        <f>HYPERLINK("http://www.twitter.com/NathanBLawrence/status/988558201468661762", "988558201468661762")</f>
        <v/>
      </c>
      <c r="B3057" s="2" t="n">
        <v>43213.9724074074</v>
      </c>
      <c r="C3057" t="n">
        <v>0</v>
      </c>
      <c r="D3057" t="n">
        <v>4</v>
      </c>
      <c r="E3057" t="s">
        <v>3012</v>
      </c>
      <c r="F3057">
        <f>HYPERLINK("http://pbs.twimg.com/media/DbgOEqtWsAAQcuh.jpg", "http://pbs.twimg.com/media/DbgOEqtWsAAQcuh.jpg")</f>
        <v/>
      </c>
      <c r="G3057" t="s"/>
      <c r="H3057" t="s"/>
      <c r="I3057" t="s"/>
      <c r="J3057" t="n">
        <v>0</v>
      </c>
      <c r="K3057" t="n">
        <v>0</v>
      </c>
      <c r="L3057" t="n">
        <v>1</v>
      </c>
      <c r="M3057" t="n">
        <v>0</v>
      </c>
    </row>
    <row r="3058" spans="1:13">
      <c r="A3058" s="1">
        <f>HYPERLINK("http://www.twitter.com/NathanBLawrence/status/988555598282280960", "988555598282280960")</f>
        <v/>
      </c>
      <c r="B3058" s="2" t="n">
        <v>43213.9652199074</v>
      </c>
      <c r="C3058" t="n">
        <v>7</v>
      </c>
      <c r="D3058" t="n">
        <v>4</v>
      </c>
      <c r="E3058" t="s">
        <v>3013</v>
      </c>
      <c r="F3058">
        <f>HYPERLINK("http://pbs.twimg.com/media/DbgOEqtWsAAQcuh.jpg", "http://pbs.twimg.com/media/DbgOEqtWsAAQcuh.jpg")</f>
        <v/>
      </c>
      <c r="G3058" t="s"/>
      <c r="H3058" t="s"/>
      <c r="I3058" t="s"/>
      <c r="J3058" t="n">
        <v>0</v>
      </c>
      <c r="K3058" t="n">
        <v>0</v>
      </c>
      <c r="L3058" t="n">
        <v>1</v>
      </c>
      <c r="M3058" t="n">
        <v>0</v>
      </c>
    </row>
    <row r="3059" spans="1:13">
      <c r="A3059" s="1">
        <f>HYPERLINK("http://www.twitter.com/NathanBLawrence/status/988550552345772033", "988550552345772033")</f>
        <v/>
      </c>
      <c r="B3059" s="2" t="n">
        <v>43213.9512962963</v>
      </c>
      <c r="C3059" t="n">
        <v>10</v>
      </c>
      <c r="D3059" t="n">
        <v>7</v>
      </c>
      <c r="E3059" t="s">
        <v>3014</v>
      </c>
      <c r="F3059">
        <f>HYPERLINK("http://pbs.twimg.com/media/DbgJe6mV0AAW05A.jpg", "http://pbs.twimg.com/media/DbgJe6mV0AAW05A.jpg")</f>
        <v/>
      </c>
      <c r="G3059" t="s"/>
      <c r="H3059" t="s"/>
      <c r="I3059" t="s"/>
      <c r="J3059" t="n">
        <v>0</v>
      </c>
      <c r="K3059" t="n">
        <v>0</v>
      </c>
      <c r="L3059" t="n">
        <v>1</v>
      </c>
      <c r="M3059" t="n">
        <v>0</v>
      </c>
    </row>
    <row r="3060" spans="1:13">
      <c r="A3060" s="1">
        <f>HYPERLINK("http://www.twitter.com/NathanBLawrence/status/988547061145579522", "988547061145579522")</f>
        <v/>
      </c>
      <c r="B3060" s="2" t="n">
        <v>43213.94166666667</v>
      </c>
      <c r="C3060" t="n">
        <v>4</v>
      </c>
      <c r="D3060" t="n">
        <v>3</v>
      </c>
      <c r="E3060" t="s">
        <v>3015</v>
      </c>
      <c r="F3060">
        <f>HYPERLINK("http://pbs.twimg.com/media/DbgGToNWkAMINkd.jpg", "http://pbs.twimg.com/media/DbgGToNWkAMINkd.jpg")</f>
        <v/>
      </c>
      <c r="G3060" t="s"/>
      <c r="H3060" t="s"/>
      <c r="I3060" t="s"/>
      <c r="J3060" t="n">
        <v>0</v>
      </c>
      <c r="K3060" t="n">
        <v>0</v>
      </c>
      <c r="L3060" t="n">
        <v>1</v>
      </c>
      <c r="M3060" t="n">
        <v>0</v>
      </c>
    </row>
    <row r="3061" spans="1:13">
      <c r="A3061" s="1">
        <f>HYPERLINK("http://www.twitter.com/NathanBLawrence/status/988542718107365376", "988542718107365376")</f>
        <v/>
      </c>
      <c r="B3061" s="2" t="n">
        <v>43213.92967592592</v>
      </c>
      <c r="C3061" t="n">
        <v>0</v>
      </c>
      <c r="D3061" t="n">
        <v>26</v>
      </c>
      <c r="E3061" t="s">
        <v>3016</v>
      </c>
      <c r="F3061" t="s"/>
      <c r="G3061" t="s"/>
      <c r="H3061" t="s"/>
      <c r="I3061" t="s"/>
      <c r="J3061" t="n">
        <v>0.4019</v>
      </c>
      <c r="K3061" t="n">
        <v>0</v>
      </c>
      <c r="L3061" t="n">
        <v>0.828</v>
      </c>
      <c r="M3061" t="n">
        <v>0.172</v>
      </c>
    </row>
    <row r="3062" spans="1:13">
      <c r="A3062" s="1">
        <f>HYPERLINK("http://www.twitter.com/NathanBLawrence/status/988542574054068233", "988542574054068233")</f>
        <v/>
      </c>
      <c r="B3062" s="2" t="n">
        <v>43213.92928240741</v>
      </c>
      <c r="C3062" t="n">
        <v>0</v>
      </c>
      <c r="D3062" t="n">
        <v>15</v>
      </c>
      <c r="E3062" t="s">
        <v>3017</v>
      </c>
      <c r="F3062">
        <f>HYPERLINK("http://pbs.twimg.com/media/DbgCG1eX0AExvgY.jpg", "http://pbs.twimg.com/media/DbgCG1eX0AExvgY.jpg")</f>
        <v/>
      </c>
      <c r="G3062" t="s"/>
      <c r="H3062" t="s"/>
      <c r="I3062" t="s"/>
      <c r="J3062" t="n">
        <v>0.4926</v>
      </c>
      <c r="K3062" t="n">
        <v>0</v>
      </c>
      <c r="L3062" t="n">
        <v>0.849</v>
      </c>
      <c r="M3062" t="n">
        <v>0.151</v>
      </c>
    </row>
    <row r="3063" spans="1:13">
      <c r="A3063" s="1">
        <f>HYPERLINK("http://www.twitter.com/NathanBLawrence/status/988542456449982464", "988542456449982464")</f>
        <v/>
      </c>
      <c r="B3063" s="2" t="n">
        <v>43213.92895833333</v>
      </c>
      <c r="C3063" t="n">
        <v>0</v>
      </c>
      <c r="D3063" t="n">
        <v>4</v>
      </c>
      <c r="E3063" t="s">
        <v>3018</v>
      </c>
      <c r="F3063" t="s"/>
      <c r="G3063" t="s"/>
      <c r="H3063" t="s"/>
      <c r="I3063" t="s"/>
      <c r="J3063" t="n">
        <v>0.7964</v>
      </c>
      <c r="K3063" t="n">
        <v>0</v>
      </c>
      <c r="L3063" t="n">
        <v>0.712</v>
      </c>
      <c r="M3063" t="n">
        <v>0.288</v>
      </c>
    </row>
    <row r="3064" spans="1:13">
      <c r="A3064" s="1">
        <f>HYPERLINK("http://www.twitter.com/NathanBLawrence/status/988542442390597632", "988542442390597632")</f>
        <v/>
      </c>
      <c r="B3064" s="2" t="n">
        <v>43213.92892361111</v>
      </c>
      <c r="C3064" t="n">
        <v>19</v>
      </c>
      <c r="D3064" t="n">
        <v>15</v>
      </c>
      <c r="E3064" t="s">
        <v>3019</v>
      </c>
      <c r="F3064">
        <f>HYPERLINK("http://pbs.twimg.com/media/DbgCG1eX0AExvgY.jpg", "http://pbs.twimg.com/media/DbgCG1eX0AExvgY.jpg")</f>
        <v/>
      </c>
      <c r="G3064" t="s"/>
      <c r="H3064" t="s"/>
      <c r="I3064" t="s"/>
      <c r="J3064" t="n">
        <v>-0.3788</v>
      </c>
      <c r="K3064" t="n">
        <v>0.095</v>
      </c>
      <c r="L3064" t="n">
        <v>0.844</v>
      </c>
      <c r="M3064" t="n">
        <v>0.061</v>
      </c>
    </row>
    <row r="3065" spans="1:13">
      <c r="A3065" s="1">
        <f>HYPERLINK("http://www.twitter.com/NathanBLawrence/status/988540827017375746", "988540827017375746")</f>
        <v/>
      </c>
      <c r="B3065" s="2" t="n">
        <v>43213.92446759259</v>
      </c>
      <c r="C3065" t="n">
        <v>0</v>
      </c>
      <c r="D3065" t="n">
        <v>14</v>
      </c>
      <c r="E3065" t="s">
        <v>3020</v>
      </c>
      <c r="F3065" t="s"/>
      <c r="G3065" t="s"/>
      <c r="H3065" t="s"/>
      <c r="I3065" t="s"/>
      <c r="J3065" t="n">
        <v>0</v>
      </c>
      <c r="K3065" t="n">
        <v>0</v>
      </c>
      <c r="L3065" t="n">
        <v>1</v>
      </c>
      <c r="M3065" t="n">
        <v>0</v>
      </c>
    </row>
    <row r="3066" spans="1:13">
      <c r="A3066" s="1">
        <f>HYPERLINK("http://www.twitter.com/NathanBLawrence/status/988532146284449793", "988532146284449793")</f>
        <v/>
      </c>
      <c r="B3066" s="2" t="n">
        <v>43213.90050925926</v>
      </c>
      <c r="C3066" t="n">
        <v>0</v>
      </c>
      <c r="D3066" t="n">
        <v>13</v>
      </c>
      <c r="E3066" t="s">
        <v>3021</v>
      </c>
      <c r="F3066">
        <f>HYPERLINK("http://pbs.twimg.com/media/Dbf3eRYV4AA_9vt.jpg", "http://pbs.twimg.com/media/Dbf3eRYV4AA_9vt.jpg")</f>
        <v/>
      </c>
      <c r="G3066" t="s"/>
      <c r="H3066" t="s"/>
      <c r="I3066" t="s"/>
      <c r="J3066" t="n">
        <v>-0.5719</v>
      </c>
      <c r="K3066" t="n">
        <v>0.144</v>
      </c>
      <c r="L3066" t="n">
        <v>0.856</v>
      </c>
      <c r="M3066" t="n">
        <v>0</v>
      </c>
    </row>
    <row r="3067" spans="1:13">
      <c r="A3067" s="1">
        <f>HYPERLINK("http://www.twitter.com/NathanBLawrence/status/988532124729921543", "988532124729921543")</f>
        <v/>
      </c>
      <c r="B3067" s="2" t="n">
        <v>43213.90045138889</v>
      </c>
      <c r="C3067" t="n">
        <v>0</v>
      </c>
      <c r="D3067" t="n">
        <v>13</v>
      </c>
      <c r="E3067" t="s">
        <v>3022</v>
      </c>
      <c r="F3067" t="s"/>
      <c r="G3067" t="s"/>
      <c r="H3067" t="s"/>
      <c r="I3067" t="s"/>
      <c r="J3067" t="n">
        <v>0</v>
      </c>
      <c r="K3067" t="n">
        <v>0</v>
      </c>
      <c r="L3067" t="n">
        <v>1</v>
      </c>
      <c r="M3067" t="n">
        <v>0</v>
      </c>
    </row>
    <row r="3068" spans="1:13">
      <c r="A3068" s="1">
        <f>HYPERLINK("http://www.twitter.com/NathanBLawrence/status/988532102923776000", "988532102923776000")</f>
        <v/>
      </c>
      <c r="B3068" s="2" t="n">
        <v>43213.90039351852</v>
      </c>
      <c r="C3068" t="n">
        <v>0</v>
      </c>
      <c r="D3068" t="n">
        <v>3</v>
      </c>
      <c r="E3068" t="s">
        <v>3023</v>
      </c>
      <c r="F3068" t="s"/>
      <c r="G3068" t="s"/>
      <c r="H3068" t="s"/>
      <c r="I3068" t="s"/>
      <c r="J3068" t="n">
        <v>0</v>
      </c>
      <c r="K3068" t="n">
        <v>0</v>
      </c>
      <c r="L3068" t="n">
        <v>1</v>
      </c>
      <c r="M3068" t="n">
        <v>0</v>
      </c>
    </row>
    <row r="3069" spans="1:13">
      <c r="A3069" s="1">
        <f>HYPERLINK("http://www.twitter.com/NathanBLawrence/status/988532022770589697", "988532022770589697")</f>
        <v/>
      </c>
      <c r="B3069" s="2" t="n">
        <v>43213.90016203704</v>
      </c>
      <c r="C3069" t="n">
        <v>5</v>
      </c>
      <c r="D3069" t="n">
        <v>4</v>
      </c>
      <c r="E3069" t="s">
        <v>3024</v>
      </c>
      <c r="F3069">
        <f>HYPERLINK("http://pbs.twimg.com/media/Dbf4ofgU8AA9Or_.jpg", "http://pbs.twimg.com/media/Dbf4ofgU8AA9Or_.jpg")</f>
        <v/>
      </c>
      <c r="G3069" t="s"/>
      <c r="H3069" t="s"/>
      <c r="I3069" t="s"/>
      <c r="J3069" t="n">
        <v>0</v>
      </c>
      <c r="K3069" t="n">
        <v>0</v>
      </c>
      <c r="L3069" t="n">
        <v>1</v>
      </c>
      <c r="M3069" t="n">
        <v>0</v>
      </c>
    </row>
    <row r="3070" spans="1:13">
      <c r="A3070" s="1">
        <f>HYPERLINK("http://www.twitter.com/NathanBLawrence/status/988530925117026304", "988530925117026304")</f>
        <v/>
      </c>
      <c r="B3070" s="2" t="n">
        <v>43213.89714120371</v>
      </c>
      <c r="C3070" t="n">
        <v>0</v>
      </c>
      <c r="D3070" t="n">
        <v>33</v>
      </c>
      <c r="E3070" t="s">
        <v>3025</v>
      </c>
      <c r="F3070" t="s"/>
      <c r="G3070" t="s"/>
      <c r="H3070" t="s"/>
      <c r="I3070" t="s"/>
      <c r="J3070" t="n">
        <v>0.128</v>
      </c>
      <c r="K3070" t="n">
        <v>0</v>
      </c>
      <c r="L3070" t="n">
        <v>0.9360000000000001</v>
      </c>
      <c r="M3070" t="n">
        <v>0.064</v>
      </c>
    </row>
    <row r="3071" spans="1:13">
      <c r="A3071" s="1">
        <f>HYPERLINK("http://www.twitter.com/NathanBLawrence/status/988530880216993792", "988530880216993792")</f>
        <v/>
      </c>
      <c r="B3071" s="2" t="n">
        <v>43213.89701388889</v>
      </c>
      <c r="C3071" t="n">
        <v>0</v>
      </c>
      <c r="D3071" t="n">
        <v>14</v>
      </c>
      <c r="E3071" t="s">
        <v>3026</v>
      </c>
      <c r="F3071" t="s"/>
      <c r="G3071" t="s"/>
      <c r="H3071" t="s"/>
      <c r="I3071" t="s"/>
      <c r="J3071" t="n">
        <v>0</v>
      </c>
      <c r="K3071" t="n">
        <v>0</v>
      </c>
      <c r="L3071" t="n">
        <v>1</v>
      </c>
      <c r="M3071" t="n">
        <v>0</v>
      </c>
    </row>
    <row r="3072" spans="1:13">
      <c r="A3072" s="1">
        <f>HYPERLINK("http://www.twitter.com/NathanBLawrence/status/988530846553559040", "988530846553559040")</f>
        <v/>
      </c>
      <c r="B3072" s="2" t="n">
        <v>43213.8969212963</v>
      </c>
      <c r="C3072" t="n">
        <v>0</v>
      </c>
      <c r="D3072" t="n">
        <v>18</v>
      </c>
      <c r="E3072" t="s">
        <v>3027</v>
      </c>
      <c r="F3072" t="s"/>
      <c r="G3072" t="s"/>
      <c r="H3072" t="s"/>
      <c r="I3072" t="s"/>
      <c r="J3072" t="n">
        <v>0</v>
      </c>
      <c r="K3072" t="n">
        <v>0</v>
      </c>
      <c r="L3072" t="n">
        <v>1</v>
      </c>
      <c r="M3072" t="n">
        <v>0</v>
      </c>
    </row>
    <row r="3073" spans="1:13">
      <c r="A3073" s="1">
        <f>HYPERLINK("http://www.twitter.com/NathanBLawrence/status/988530813934465025", "988530813934465025")</f>
        <v/>
      </c>
      <c r="B3073" s="2" t="n">
        <v>43213.89682870371</v>
      </c>
      <c r="C3073" t="n">
        <v>0</v>
      </c>
      <c r="D3073" t="n">
        <v>7</v>
      </c>
      <c r="E3073" t="s">
        <v>3028</v>
      </c>
      <c r="F3073" t="s"/>
      <c r="G3073" t="s"/>
      <c r="H3073" t="s"/>
      <c r="I3073" t="s"/>
      <c r="J3073" t="n">
        <v>-0.7717000000000001</v>
      </c>
      <c r="K3073" t="n">
        <v>0.288</v>
      </c>
      <c r="L3073" t="n">
        <v>0.712</v>
      </c>
      <c r="M3073" t="n">
        <v>0</v>
      </c>
    </row>
    <row r="3074" spans="1:13">
      <c r="A3074" s="1">
        <f>HYPERLINK("http://www.twitter.com/NathanBLawrence/status/988530748687872001", "988530748687872001")</f>
        <v/>
      </c>
      <c r="B3074" s="2" t="n">
        <v>43213.89665509259</v>
      </c>
      <c r="C3074" t="n">
        <v>18</v>
      </c>
      <c r="D3074" t="n">
        <v>13</v>
      </c>
      <c r="E3074" t="s">
        <v>3029</v>
      </c>
      <c r="F3074">
        <f>HYPERLINK("http://pbs.twimg.com/media/Dbf3eRYV4AA_9vt.jpg", "http://pbs.twimg.com/media/Dbf3eRYV4AA_9vt.jpg")</f>
        <v/>
      </c>
      <c r="G3074" t="s"/>
      <c r="H3074" t="s"/>
      <c r="I3074" t="s"/>
      <c r="J3074" t="n">
        <v>-0.3291</v>
      </c>
      <c r="K3074" t="n">
        <v>0.052</v>
      </c>
      <c r="L3074" t="n">
        <v>0.948</v>
      </c>
      <c r="M3074" t="n">
        <v>0</v>
      </c>
    </row>
    <row r="3075" spans="1:13">
      <c r="A3075" s="1">
        <f>HYPERLINK("http://www.twitter.com/NathanBLawrence/status/988530027133366274", "988530027133366274")</f>
        <v/>
      </c>
      <c r="B3075" s="2" t="n">
        <v>43213.89466435185</v>
      </c>
      <c r="C3075" t="n">
        <v>0</v>
      </c>
      <c r="D3075" t="n">
        <v>32</v>
      </c>
      <c r="E3075" t="s">
        <v>3030</v>
      </c>
      <c r="F3075" t="s"/>
      <c r="G3075" t="s"/>
      <c r="H3075" t="s"/>
      <c r="I3075" t="s"/>
      <c r="J3075" t="n">
        <v>0</v>
      </c>
      <c r="K3075" t="n">
        <v>0</v>
      </c>
      <c r="L3075" t="n">
        <v>1</v>
      </c>
      <c r="M3075" t="n">
        <v>0</v>
      </c>
    </row>
    <row r="3076" spans="1:13">
      <c r="A3076" s="1">
        <f>HYPERLINK("http://www.twitter.com/NathanBLawrence/status/988529910636531712", "988529910636531712")</f>
        <v/>
      </c>
      <c r="B3076" s="2" t="n">
        <v>43213.89434027778</v>
      </c>
      <c r="C3076" t="n">
        <v>0</v>
      </c>
      <c r="D3076" t="n">
        <v>1</v>
      </c>
      <c r="E3076" t="s">
        <v>3031</v>
      </c>
      <c r="F3076">
        <f>HYPERLINK("http://pbs.twimg.com/media/Dbf2BORUQAA6ThX.jpg", "http://pbs.twimg.com/media/Dbf2BORUQAA6ThX.jpg")</f>
        <v/>
      </c>
      <c r="G3076" t="s"/>
      <c r="H3076" t="s"/>
      <c r="I3076" t="s"/>
      <c r="J3076" t="n">
        <v>0</v>
      </c>
      <c r="K3076" t="n">
        <v>0</v>
      </c>
      <c r="L3076" t="n">
        <v>1</v>
      </c>
      <c r="M3076" t="n">
        <v>0</v>
      </c>
    </row>
    <row r="3077" spans="1:13">
      <c r="A3077" s="1">
        <f>HYPERLINK("http://www.twitter.com/NathanBLawrence/status/988529829225037824", "988529829225037824")</f>
        <v/>
      </c>
      <c r="B3077" s="2" t="n">
        <v>43213.8941087963</v>
      </c>
      <c r="C3077" t="n">
        <v>3</v>
      </c>
      <c r="D3077" t="n">
        <v>1</v>
      </c>
      <c r="E3077" t="s">
        <v>3032</v>
      </c>
      <c r="F3077">
        <f>HYPERLINK("http://pbs.twimg.com/media/Dbf2owpUwAAbdsa.jpg", "http://pbs.twimg.com/media/Dbf2owpUwAAbdsa.jpg")</f>
        <v/>
      </c>
      <c r="G3077" t="s"/>
      <c r="H3077" t="s"/>
      <c r="I3077" t="s"/>
      <c r="J3077" t="n">
        <v>0</v>
      </c>
      <c r="K3077" t="n">
        <v>0</v>
      </c>
      <c r="L3077" t="n">
        <v>1</v>
      </c>
      <c r="M3077" t="n">
        <v>0</v>
      </c>
    </row>
    <row r="3078" spans="1:13">
      <c r="A3078" s="1">
        <f>HYPERLINK("http://www.twitter.com/NathanBLawrence/status/988529572764372994", "988529572764372994")</f>
        <v/>
      </c>
      <c r="B3078" s="2" t="n">
        <v>43213.89340277778</v>
      </c>
      <c r="C3078" t="n">
        <v>0</v>
      </c>
      <c r="D3078" t="n">
        <v>10</v>
      </c>
      <c r="E3078" t="s">
        <v>3033</v>
      </c>
      <c r="F3078" t="s"/>
      <c r="G3078" t="s"/>
      <c r="H3078" t="s"/>
      <c r="I3078" t="s"/>
      <c r="J3078" t="n">
        <v>-0.296</v>
      </c>
      <c r="K3078" t="n">
        <v>0.091</v>
      </c>
      <c r="L3078" t="n">
        <v>0.909</v>
      </c>
      <c r="M3078" t="n">
        <v>0</v>
      </c>
    </row>
    <row r="3079" spans="1:13">
      <c r="A3079" s="1">
        <f>HYPERLINK("http://www.twitter.com/NathanBLawrence/status/988529514111291392", "988529514111291392")</f>
        <v/>
      </c>
      <c r="B3079" s="2" t="n">
        <v>43213.89324074074</v>
      </c>
      <c r="C3079" t="n">
        <v>0</v>
      </c>
      <c r="D3079" t="n">
        <v>3</v>
      </c>
      <c r="E3079" t="s">
        <v>3034</v>
      </c>
      <c r="F3079">
        <f>HYPERLINK("http://pbs.twimg.com/media/DbftomnUwAA-OJN.jpg", "http://pbs.twimg.com/media/DbftomnUwAA-OJN.jpg")</f>
        <v/>
      </c>
      <c r="G3079" t="s"/>
      <c r="H3079" t="s"/>
      <c r="I3079" t="s"/>
      <c r="J3079" t="n">
        <v>0</v>
      </c>
      <c r="K3079" t="n">
        <v>0</v>
      </c>
      <c r="L3079" t="n">
        <v>1</v>
      </c>
      <c r="M3079" t="n">
        <v>0</v>
      </c>
    </row>
    <row r="3080" spans="1:13">
      <c r="A3080" s="1">
        <f>HYPERLINK("http://www.twitter.com/NathanBLawrence/status/988529501591212035", "988529501591212035")</f>
        <v/>
      </c>
      <c r="B3080" s="2" t="n">
        <v>43213.89320601852</v>
      </c>
      <c r="C3080" t="n">
        <v>0</v>
      </c>
      <c r="D3080" t="n">
        <v>28</v>
      </c>
      <c r="E3080" t="s">
        <v>3035</v>
      </c>
      <c r="F3080" t="s"/>
      <c r="G3080" t="s"/>
      <c r="H3080" t="s"/>
      <c r="I3080" t="s"/>
      <c r="J3080" t="n">
        <v>-0.4215</v>
      </c>
      <c r="K3080" t="n">
        <v>0.135</v>
      </c>
      <c r="L3080" t="n">
        <v>0.865</v>
      </c>
      <c r="M3080" t="n">
        <v>0</v>
      </c>
    </row>
    <row r="3081" spans="1:13">
      <c r="A3081" s="1">
        <f>HYPERLINK("http://www.twitter.com/NathanBLawrence/status/988529222879793152", "988529222879793152")</f>
        <v/>
      </c>
      <c r="B3081" s="2" t="n">
        <v>43213.89244212963</v>
      </c>
      <c r="C3081" t="n">
        <v>0</v>
      </c>
      <c r="D3081" t="n">
        <v>37</v>
      </c>
      <c r="E3081" t="s">
        <v>3036</v>
      </c>
      <c r="F3081" t="s"/>
      <c r="G3081" t="s"/>
      <c r="H3081" t="s"/>
      <c r="I3081" t="s"/>
      <c r="J3081" t="n">
        <v>0.8564000000000001</v>
      </c>
      <c r="K3081" t="n">
        <v>0</v>
      </c>
      <c r="L3081" t="n">
        <v>0.68</v>
      </c>
      <c r="M3081" t="n">
        <v>0.32</v>
      </c>
    </row>
    <row r="3082" spans="1:13">
      <c r="A3082" s="1">
        <f>HYPERLINK("http://www.twitter.com/NathanBLawrence/status/988529149903065088", "988529149903065088")</f>
        <v/>
      </c>
      <c r="B3082" s="2" t="n">
        <v>43213.89223379629</v>
      </c>
      <c r="C3082" t="n">
        <v>4</v>
      </c>
      <c r="D3082" t="n">
        <v>1</v>
      </c>
      <c r="E3082" t="s">
        <v>3037</v>
      </c>
      <c r="F3082">
        <f>HYPERLINK("http://pbs.twimg.com/media/Dbf2BORUQAA6ThX.jpg", "http://pbs.twimg.com/media/Dbf2BORUQAA6ThX.jpg")</f>
        <v/>
      </c>
      <c r="G3082" t="s"/>
      <c r="H3082" t="s"/>
      <c r="I3082" t="s"/>
      <c r="J3082" t="n">
        <v>0</v>
      </c>
      <c r="K3082" t="n">
        <v>0</v>
      </c>
      <c r="L3082" t="n">
        <v>1</v>
      </c>
      <c r="M3082" t="n">
        <v>0</v>
      </c>
    </row>
    <row r="3083" spans="1:13">
      <c r="A3083" s="1">
        <f>HYPERLINK("http://www.twitter.com/NathanBLawrence/status/988528757144211458", "988528757144211458")</f>
        <v/>
      </c>
      <c r="B3083" s="2" t="n">
        <v>43213.89115740741</v>
      </c>
      <c r="C3083" t="n">
        <v>0</v>
      </c>
      <c r="D3083" t="n">
        <v>18</v>
      </c>
      <c r="E3083" t="s">
        <v>3038</v>
      </c>
      <c r="F3083" t="s"/>
      <c r="G3083" t="s"/>
      <c r="H3083" t="s"/>
      <c r="I3083" t="s"/>
      <c r="J3083" t="n">
        <v>0</v>
      </c>
      <c r="K3083" t="n">
        <v>0</v>
      </c>
      <c r="L3083" t="n">
        <v>1</v>
      </c>
      <c r="M3083" t="n">
        <v>0</v>
      </c>
    </row>
    <row r="3084" spans="1:13">
      <c r="A3084" s="1">
        <f>HYPERLINK("http://www.twitter.com/NathanBLawrence/status/988528744183877632", "988528744183877632")</f>
        <v/>
      </c>
      <c r="B3084" s="2" t="n">
        <v>43213.89112268519</v>
      </c>
      <c r="C3084" t="n">
        <v>0</v>
      </c>
      <c r="D3084" t="n">
        <v>8</v>
      </c>
      <c r="E3084" t="s">
        <v>3039</v>
      </c>
      <c r="F3084" t="s"/>
      <c r="G3084" t="s"/>
      <c r="H3084" t="s"/>
      <c r="I3084" t="s"/>
      <c r="J3084" t="n">
        <v>0</v>
      </c>
      <c r="K3084" t="n">
        <v>0</v>
      </c>
      <c r="L3084" t="n">
        <v>1</v>
      </c>
      <c r="M3084" t="n">
        <v>0</v>
      </c>
    </row>
    <row r="3085" spans="1:13">
      <c r="A3085" s="1">
        <f>HYPERLINK("http://www.twitter.com/NathanBLawrence/status/988528708813193216", "988528708813193216")</f>
        <v/>
      </c>
      <c r="B3085" s="2" t="n">
        <v>43213.89101851852</v>
      </c>
      <c r="C3085" t="n">
        <v>0</v>
      </c>
      <c r="D3085" t="n">
        <v>20</v>
      </c>
      <c r="E3085" t="s">
        <v>3040</v>
      </c>
      <c r="F3085" t="s"/>
      <c r="G3085" t="s"/>
      <c r="H3085" t="s"/>
      <c r="I3085" t="s"/>
      <c r="J3085" t="n">
        <v>0</v>
      </c>
      <c r="K3085" t="n">
        <v>0</v>
      </c>
      <c r="L3085" t="n">
        <v>1</v>
      </c>
      <c r="M3085" t="n">
        <v>0</v>
      </c>
    </row>
    <row r="3086" spans="1:13">
      <c r="A3086" s="1">
        <f>HYPERLINK("http://www.twitter.com/NathanBLawrence/status/988527771034030082", "988527771034030082")</f>
        <v/>
      </c>
      <c r="B3086" s="2" t="n">
        <v>43213.8884375</v>
      </c>
      <c r="C3086" t="n">
        <v>0</v>
      </c>
      <c r="D3086" t="n">
        <v>12</v>
      </c>
      <c r="E3086" t="s">
        <v>3041</v>
      </c>
      <c r="F3086">
        <f>HYPERLINK("http://pbs.twimg.com/media/Dbf0oyfU8AA4Tbe.jpg", "http://pbs.twimg.com/media/Dbf0oyfU8AA4Tbe.jpg")</f>
        <v/>
      </c>
      <c r="G3086" t="s"/>
      <c r="H3086" t="s"/>
      <c r="I3086" t="s"/>
      <c r="J3086" t="n">
        <v>0</v>
      </c>
      <c r="K3086" t="n">
        <v>0</v>
      </c>
      <c r="L3086" t="n">
        <v>1</v>
      </c>
      <c r="M3086" t="n">
        <v>0</v>
      </c>
    </row>
    <row r="3087" spans="1:13">
      <c r="A3087" s="1">
        <f>HYPERLINK("http://www.twitter.com/NathanBLawrence/status/988527735441121286", "988527735441121286")</f>
        <v/>
      </c>
      <c r="B3087" s="2" t="n">
        <v>43213.88833333334</v>
      </c>
      <c r="C3087" t="n">
        <v>0</v>
      </c>
      <c r="D3087" t="n">
        <v>11</v>
      </c>
      <c r="E3087" t="s">
        <v>3042</v>
      </c>
      <c r="F3087" t="s"/>
      <c r="G3087" t="s"/>
      <c r="H3087" t="s"/>
      <c r="I3087" t="s"/>
      <c r="J3087" t="n">
        <v>0</v>
      </c>
      <c r="K3087" t="n">
        <v>0</v>
      </c>
      <c r="L3087" t="n">
        <v>1</v>
      </c>
      <c r="M3087" t="n">
        <v>0</v>
      </c>
    </row>
    <row r="3088" spans="1:13">
      <c r="A3088" s="1">
        <f>HYPERLINK("http://www.twitter.com/NathanBLawrence/status/988527646840672258", "988527646840672258")</f>
        <v/>
      </c>
      <c r="B3088" s="2" t="n">
        <v>43213.88809027777</v>
      </c>
      <c r="C3088" t="n">
        <v>0</v>
      </c>
      <c r="D3088" t="n">
        <v>12</v>
      </c>
      <c r="E3088" t="s">
        <v>3043</v>
      </c>
      <c r="F3088">
        <f>HYPERLINK("http://pbs.twimg.com/media/Dbf0kviXkAAx0Kd.jpg", "http://pbs.twimg.com/media/Dbf0kviXkAAx0Kd.jpg")</f>
        <v/>
      </c>
      <c r="G3088" t="s"/>
      <c r="H3088" t="s"/>
      <c r="I3088" t="s"/>
      <c r="J3088" t="n">
        <v>0</v>
      </c>
      <c r="K3088" t="n">
        <v>0</v>
      </c>
      <c r="L3088" t="n">
        <v>1</v>
      </c>
      <c r="M3088" t="n">
        <v>0</v>
      </c>
    </row>
    <row r="3089" spans="1:13">
      <c r="A3089" s="1">
        <f>HYPERLINK("http://www.twitter.com/NathanBLawrence/status/988527575382286336", "988527575382286336")</f>
        <v/>
      </c>
      <c r="B3089" s="2" t="n">
        <v>43213.88789351852</v>
      </c>
      <c r="C3089" t="n">
        <v>0</v>
      </c>
      <c r="D3089" t="n">
        <v>57</v>
      </c>
      <c r="E3089" t="s">
        <v>3044</v>
      </c>
      <c r="F3089" t="s"/>
      <c r="G3089" t="s"/>
      <c r="H3089" t="s"/>
      <c r="I3089" t="s"/>
      <c r="J3089" t="n">
        <v>-0.5859</v>
      </c>
      <c r="K3089" t="n">
        <v>0.194</v>
      </c>
      <c r="L3089" t="n">
        <v>0.806</v>
      </c>
      <c r="M3089" t="n">
        <v>0</v>
      </c>
    </row>
    <row r="3090" spans="1:13">
      <c r="A3090" s="1">
        <f>HYPERLINK("http://www.twitter.com/NathanBLawrence/status/988527562501644288", "988527562501644288")</f>
        <v/>
      </c>
      <c r="B3090" s="2" t="n">
        <v>43213.8878587963</v>
      </c>
      <c r="C3090" t="n">
        <v>15</v>
      </c>
      <c r="D3090" t="n">
        <v>12</v>
      </c>
      <c r="E3090" t="s">
        <v>3045</v>
      </c>
      <c r="F3090">
        <f>HYPERLINK("http://pbs.twimg.com/media/Dbf0kviXkAAx0Kd.jpg", "http://pbs.twimg.com/media/Dbf0kviXkAAx0Kd.jpg")</f>
        <v/>
      </c>
      <c r="G3090" t="s"/>
      <c r="H3090" t="s"/>
      <c r="I3090" t="s"/>
      <c r="J3090" t="n">
        <v>0</v>
      </c>
      <c r="K3090" t="n">
        <v>0</v>
      </c>
      <c r="L3090" t="n">
        <v>1</v>
      </c>
      <c r="M3090" t="n">
        <v>0</v>
      </c>
    </row>
    <row r="3091" spans="1:13">
      <c r="A3091" s="1">
        <f>HYPERLINK("http://www.twitter.com/NathanBLawrence/status/988517977023795200", "988517977023795200")</f>
        <v/>
      </c>
      <c r="B3091" s="2" t="n">
        <v>43213.86141203704</v>
      </c>
      <c r="C3091" t="n">
        <v>0</v>
      </c>
      <c r="D3091" t="n">
        <v>0</v>
      </c>
      <c r="E3091" t="s">
        <v>3046</v>
      </c>
      <c r="F3091" t="s"/>
      <c r="G3091" t="s"/>
      <c r="H3091" t="s"/>
      <c r="I3091" t="s"/>
      <c r="J3091" t="n">
        <v>0.6369</v>
      </c>
      <c r="K3091" t="n">
        <v>0</v>
      </c>
      <c r="L3091" t="n">
        <v>0.776</v>
      </c>
      <c r="M3091" t="n">
        <v>0.224</v>
      </c>
    </row>
    <row r="3092" spans="1:13">
      <c r="A3092" s="1">
        <f>HYPERLINK("http://www.twitter.com/NathanBLawrence/status/988517221017313281", "988517221017313281")</f>
        <v/>
      </c>
      <c r="B3092" s="2" t="n">
        <v>43213.85931712963</v>
      </c>
      <c r="C3092" t="n">
        <v>2</v>
      </c>
      <c r="D3092" t="n">
        <v>0</v>
      </c>
      <c r="E3092" t="s">
        <v>3047</v>
      </c>
      <c r="F3092" t="s"/>
      <c r="G3092" t="s"/>
      <c r="H3092" t="s"/>
      <c r="I3092" t="s"/>
      <c r="J3092" t="n">
        <v>-0.7964</v>
      </c>
      <c r="K3092" t="n">
        <v>0.189</v>
      </c>
      <c r="L3092" t="n">
        <v>0.766</v>
      </c>
      <c r="M3092" t="n">
        <v>0.045</v>
      </c>
    </row>
    <row r="3093" spans="1:13">
      <c r="A3093" s="1">
        <f>HYPERLINK("http://www.twitter.com/NathanBLawrence/status/988516454696923136", "988516454696923136")</f>
        <v/>
      </c>
      <c r="B3093" s="2" t="n">
        <v>43213.85721064815</v>
      </c>
      <c r="C3093" t="n">
        <v>0</v>
      </c>
      <c r="D3093" t="n">
        <v>11</v>
      </c>
      <c r="E3093" t="s">
        <v>3048</v>
      </c>
      <c r="F3093" t="s"/>
      <c r="G3093" t="s"/>
      <c r="H3093" t="s"/>
      <c r="I3093" t="s"/>
      <c r="J3093" t="n">
        <v>0</v>
      </c>
      <c r="K3093" t="n">
        <v>0</v>
      </c>
      <c r="L3093" t="n">
        <v>1</v>
      </c>
      <c r="M3093" t="n">
        <v>0</v>
      </c>
    </row>
    <row r="3094" spans="1:13">
      <c r="A3094" s="1">
        <f>HYPERLINK("http://www.twitter.com/NathanBLawrence/status/988516445133918209", "988516445133918209")</f>
        <v/>
      </c>
      <c r="B3094" s="2" t="n">
        <v>43213.85717592593</v>
      </c>
      <c r="C3094" t="n">
        <v>0</v>
      </c>
      <c r="D3094" t="n">
        <v>17</v>
      </c>
      <c r="E3094" t="s">
        <v>3049</v>
      </c>
      <c r="F3094" t="s"/>
      <c r="G3094" t="s"/>
      <c r="H3094" t="s"/>
      <c r="I3094" t="s"/>
      <c r="J3094" t="n">
        <v>0.1779</v>
      </c>
      <c r="K3094" t="n">
        <v>0.095</v>
      </c>
      <c r="L3094" t="n">
        <v>0.782</v>
      </c>
      <c r="M3094" t="n">
        <v>0.123</v>
      </c>
    </row>
    <row r="3095" spans="1:13">
      <c r="A3095" s="1">
        <f>HYPERLINK("http://www.twitter.com/NathanBLawrence/status/988516437248675840", "988516437248675840")</f>
        <v/>
      </c>
      <c r="B3095" s="2" t="n">
        <v>43213.85716435185</v>
      </c>
      <c r="C3095" t="n">
        <v>0</v>
      </c>
      <c r="D3095" t="n">
        <v>60</v>
      </c>
      <c r="E3095" t="s">
        <v>3050</v>
      </c>
      <c r="F3095" t="s"/>
      <c r="G3095" t="s"/>
      <c r="H3095" t="s"/>
      <c r="I3095" t="s"/>
      <c r="J3095" t="n">
        <v>0</v>
      </c>
      <c r="K3095" t="n">
        <v>0</v>
      </c>
      <c r="L3095" t="n">
        <v>1</v>
      </c>
      <c r="M3095" t="n">
        <v>0</v>
      </c>
    </row>
    <row r="3096" spans="1:13">
      <c r="A3096" s="1">
        <f>HYPERLINK("http://www.twitter.com/NathanBLawrence/status/988510937849221120", "988510937849221120")</f>
        <v/>
      </c>
      <c r="B3096" s="2" t="n">
        <v>43213.84197916667</v>
      </c>
      <c r="C3096" t="n">
        <v>0</v>
      </c>
      <c r="D3096" t="n">
        <v>9</v>
      </c>
      <c r="E3096" t="s">
        <v>3051</v>
      </c>
      <c r="F3096" t="s"/>
      <c r="G3096" t="s"/>
      <c r="H3096" t="s"/>
      <c r="I3096" t="s"/>
      <c r="J3096" t="n">
        <v>0.6124000000000001</v>
      </c>
      <c r="K3096" t="n">
        <v>0.077</v>
      </c>
      <c r="L3096" t="n">
        <v>0.669</v>
      </c>
      <c r="M3096" t="n">
        <v>0.254</v>
      </c>
    </row>
    <row r="3097" spans="1:13">
      <c r="A3097" s="1">
        <f>HYPERLINK("http://www.twitter.com/NathanBLawrence/status/988510727349719040", "988510727349719040")</f>
        <v/>
      </c>
      <c r="B3097" s="2" t="n">
        <v>43213.84140046296</v>
      </c>
      <c r="C3097" t="n">
        <v>0</v>
      </c>
      <c r="D3097" t="n">
        <v>7</v>
      </c>
      <c r="E3097" t="s">
        <v>3052</v>
      </c>
      <c r="F3097">
        <f>HYPERLINK("http://pbs.twimg.com/media/DbfktSpVMAALalK.jpg", "http://pbs.twimg.com/media/DbfktSpVMAALalK.jpg")</f>
        <v/>
      </c>
      <c r="G3097" t="s"/>
      <c r="H3097" t="s"/>
      <c r="I3097" t="s"/>
      <c r="J3097" t="n">
        <v>0.296</v>
      </c>
      <c r="K3097" t="n">
        <v>0.081</v>
      </c>
      <c r="L3097" t="n">
        <v>0.791</v>
      </c>
      <c r="M3097" t="n">
        <v>0.128</v>
      </c>
    </row>
    <row r="3098" spans="1:13">
      <c r="A3098" s="1">
        <f>HYPERLINK("http://www.twitter.com/NathanBLawrence/status/988510119863480320", "988510119863480320")</f>
        <v/>
      </c>
      <c r="B3098" s="2" t="n">
        <v>43213.83972222222</v>
      </c>
      <c r="C3098" t="n">
        <v>9</v>
      </c>
      <c r="D3098" t="n">
        <v>7</v>
      </c>
      <c r="E3098" t="s">
        <v>3053</v>
      </c>
      <c r="F3098">
        <f>HYPERLINK("http://pbs.twimg.com/media/DbfktSpVMAALalK.jpg", "http://pbs.twimg.com/media/DbfktSpVMAALalK.jpg")</f>
        <v/>
      </c>
      <c r="G3098" t="s"/>
      <c r="H3098" t="s"/>
      <c r="I3098" t="s"/>
      <c r="J3098" t="n">
        <v>-0.7096</v>
      </c>
      <c r="K3098" t="n">
        <v>0.149</v>
      </c>
      <c r="L3098" t="n">
        <v>0.798</v>
      </c>
      <c r="M3098" t="n">
        <v>0.053</v>
      </c>
    </row>
    <row r="3099" spans="1:13">
      <c r="A3099" s="1">
        <f>HYPERLINK("http://www.twitter.com/NathanBLawrence/status/988508529245020160", "988508529245020160")</f>
        <v/>
      </c>
      <c r="B3099" s="2" t="n">
        <v>43213.83533564815</v>
      </c>
      <c r="C3099" t="n">
        <v>1</v>
      </c>
      <c r="D3099" t="n">
        <v>0</v>
      </c>
      <c r="E3099" t="s">
        <v>3054</v>
      </c>
      <c r="F3099" t="s"/>
      <c r="G3099" t="s"/>
      <c r="H3099" t="s"/>
      <c r="I3099" t="s"/>
      <c r="J3099" t="n">
        <v>0</v>
      </c>
      <c r="K3099" t="n">
        <v>0</v>
      </c>
      <c r="L3099" t="n">
        <v>1</v>
      </c>
      <c r="M3099" t="n">
        <v>0</v>
      </c>
    </row>
    <row r="3100" spans="1:13">
      <c r="A3100" s="1">
        <f>HYPERLINK("http://www.twitter.com/NathanBLawrence/status/988508504808976385", "988508504808976385")</f>
        <v/>
      </c>
      <c r="B3100" s="2" t="n">
        <v>43213.83526620371</v>
      </c>
      <c r="C3100" t="n">
        <v>0</v>
      </c>
      <c r="D3100" t="n">
        <v>13</v>
      </c>
      <c r="E3100" t="s">
        <v>3055</v>
      </c>
      <c r="F3100" t="s"/>
      <c r="G3100" t="s"/>
      <c r="H3100" t="s"/>
      <c r="I3100" t="s"/>
      <c r="J3100" t="n">
        <v>-0.4215</v>
      </c>
      <c r="K3100" t="n">
        <v>0.128</v>
      </c>
      <c r="L3100" t="n">
        <v>0.872</v>
      </c>
      <c r="M3100" t="n">
        <v>0</v>
      </c>
    </row>
    <row r="3101" spans="1:13">
      <c r="A3101" s="1">
        <f>HYPERLINK("http://www.twitter.com/NathanBLawrence/status/988508293273477120", "988508293273477120")</f>
        <v/>
      </c>
      <c r="B3101" s="2" t="n">
        <v>43213.8346875</v>
      </c>
      <c r="C3101" t="n">
        <v>0</v>
      </c>
      <c r="D3101" t="n">
        <v>4</v>
      </c>
      <c r="E3101" t="s">
        <v>3056</v>
      </c>
      <c r="F3101">
        <f>HYPERLINK("http://pbs.twimg.com/media/DbfeouOWkAAfO9h.jpg", "http://pbs.twimg.com/media/DbfeouOWkAAfO9h.jpg")</f>
        <v/>
      </c>
      <c r="G3101" t="s"/>
      <c r="H3101" t="s"/>
      <c r="I3101" t="s"/>
      <c r="J3101" t="n">
        <v>0</v>
      </c>
      <c r="K3101" t="n">
        <v>0</v>
      </c>
      <c r="L3101" t="n">
        <v>1</v>
      </c>
      <c r="M3101" t="n">
        <v>0</v>
      </c>
    </row>
    <row r="3102" spans="1:13">
      <c r="A3102" s="1">
        <f>HYPERLINK("http://www.twitter.com/NathanBLawrence/status/988503452807520257", "988503452807520257")</f>
        <v/>
      </c>
      <c r="B3102" s="2" t="n">
        <v>43213.82133101852</v>
      </c>
      <c r="C3102" t="n">
        <v>9</v>
      </c>
      <c r="D3102" t="n">
        <v>4</v>
      </c>
      <c r="E3102" t="s">
        <v>3057</v>
      </c>
      <c r="F3102">
        <f>HYPERLINK("http://pbs.twimg.com/media/DbfeouOWkAAfO9h.jpg", "http://pbs.twimg.com/media/DbfeouOWkAAfO9h.jpg")</f>
        <v/>
      </c>
      <c r="G3102" t="s"/>
      <c r="H3102" t="s"/>
      <c r="I3102" t="s"/>
      <c r="J3102" t="n">
        <v>0</v>
      </c>
      <c r="K3102" t="n">
        <v>0</v>
      </c>
      <c r="L3102" t="n">
        <v>1</v>
      </c>
      <c r="M3102" t="n">
        <v>0</v>
      </c>
    </row>
    <row r="3103" spans="1:13">
      <c r="A3103" s="1">
        <f>HYPERLINK("http://www.twitter.com/NathanBLawrence/status/988499000553885698", "988499000553885698")</f>
        <v/>
      </c>
      <c r="B3103" s="2" t="n">
        <v>43213.80903935185</v>
      </c>
      <c r="C3103" t="n">
        <v>6</v>
      </c>
      <c r="D3103" t="n">
        <v>3</v>
      </c>
      <c r="E3103" t="s">
        <v>3058</v>
      </c>
      <c r="F3103" t="s"/>
      <c r="G3103" t="s"/>
      <c r="H3103" t="s"/>
      <c r="I3103" t="s"/>
      <c r="J3103" t="n">
        <v>-0.7329</v>
      </c>
      <c r="K3103" t="n">
        <v>0.177</v>
      </c>
      <c r="L3103" t="n">
        <v>0.778</v>
      </c>
      <c r="M3103" t="n">
        <v>0.044</v>
      </c>
    </row>
    <row r="3104" spans="1:13">
      <c r="A3104" s="1">
        <f>HYPERLINK("http://www.twitter.com/NathanBLawrence/status/988487553195151361", "988487553195151361")</f>
        <v/>
      </c>
      <c r="B3104" s="2" t="n">
        <v>43213.7774537037</v>
      </c>
      <c r="C3104" t="n">
        <v>0</v>
      </c>
      <c r="D3104" t="n">
        <v>8</v>
      </c>
      <c r="E3104" t="s">
        <v>3059</v>
      </c>
      <c r="F3104" t="s"/>
      <c r="G3104" t="s"/>
      <c r="H3104" t="s"/>
      <c r="I3104" t="s"/>
      <c r="J3104" t="n">
        <v>0.4404</v>
      </c>
      <c r="K3104" t="n">
        <v>0</v>
      </c>
      <c r="L3104" t="n">
        <v>0.868</v>
      </c>
      <c r="M3104" t="n">
        <v>0.132</v>
      </c>
    </row>
    <row r="3105" spans="1:13">
      <c r="A3105" s="1">
        <f>HYPERLINK("http://www.twitter.com/NathanBLawrence/status/988487488141479936", "988487488141479936")</f>
        <v/>
      </c>
      <c r="B3105" s="2" t="n">
        <v>43213.7772800926</v>
      </c>
      <c r="C3105" t="n">
        <v>0</v>
      </c>
      <c r="D3105" t="n">
        <v>5</v>
      </c>
      <c r="E3105" t="s">
        <v>3060</v>
      </c>
      <c r="F3105">
        <f>HYPERLINK("http://pbs.twimg.com/media/Dbe1c7oWAAA7gm_.jpg", "http://pbs.twimg.com/media/Dbe1c7oWAAA7gm_.jpg")</f>
        <v/>
      </c>
      <c r="G3105" t="s"/>
      <c r="H3105" t="s"/>
      <c r="I3105" t="s"/>
      <c r="J3105" t="n">
        <v>-0.3412</v>
      </c>
      <c r="K3105" t="n">
        <v>0.124</v>
      </c>
      <c r="L3105" t="n">
        <v>0.876</v>
      </c>
      <c r="M3105" t="n">
        <v>0</v>
      </c>
    </row>
    <row r="3106" spans="1:13">
      <c r="A3106" s="1">
        <f>HYPERLINK("http://www.twitter.com/NathanBLawrence/status/988487314790928384", "988487314790928384")</f>
        <v/>
      </c>
      <c r="B3106" s="2" t="n">
        <v>43213.77679398148</v>
      </c>
      <c r="C3106" t="n">
        <v>0</v>
      </c>
      <c r="D3106" t="n">
        <v>11</v>
      </c>
      <c r="E3106" t="s">
        <v>3061</v>
      </c>
      <c r="F3106">
        <f>HYPERLINK("http://pbs.twimg.com/media/DbdzlBhUQAAX0Gz.jpg", "http://pbs.twimg.com/media/DbdzlBhUQAAX0Gz.jpg")</f>
        <v/>
      </c>
      <c r="G3106" t="s"/>
      <c r="H3106" t="s"/>
      <c r="I3106" t="s"/>
      <c r="J3106" t="n">
        <v>0.25</v>
      </c>
      <c r="K3106" t="n">
        <v>0.08699999999999999</v>
      </c>
      <c r="L3106" t="n">
        <v>0.748</v>
      </c>
      <c r="M3106" t="n">
        <v>0.165</v>
      </c>
    </row>
    <row r="3107" spans="1:13">
      <c r="A3107" s="1">
        <f>HYPERLINK("http://www.twitter.com/NathanBLawrence/status/988487183655952385", "988487183655952385")</f>
        <v/>
      </c>
      <c r="B3107" s="2" t="n">
        <v>43213.77643518519</v>
      </c>
      <c r="C3107" t="n">
        <v>0</v>
      </c>
      <c r="D3107" t="n">
        <v>7</v>
      </c>
      <c r="E3107" t="s">
        <v>3062</v>
      </c>
      <c r="F3107">
        <f>HYPERLINK("http://pbs.twimg.com/media/Dbevx3gWsAEPkW9.jpg", "http://pbs.twimg.com/media/Dbevx3gWsAEPkW9.jpg")</f>
        <v/>
      </c>
      <c r="G3107" t="s"/>
      <c r="H3107" t="s"/>
      <c r="I3107" t="s"/>
      <c r="J3107" t="n">
        <v>-0.3612</v>
      </c>
      <c r="K3107" t="n">
        <v>0.098</v>
      </c>
      <c r="L3107" t="n">
        <v>0.902</v>
      </c>
      <c r="M3107" t="n">
        <v>0</v>
      </c>
    </row>
    <row r="3108" spans="1:13">
      <c r="A3108" s="1">
        <f>HYPERLINK("http://www.twitter.com/NathanBLawrence/status/988487140479766530", "988487140479766530")</f>
        <v/>
      </c>
      <c r="B3108" s="2" t="n">
        <v>43213.77631944444</v>
      </c>
      <c r="C3108" t="n">
        <v>0</v>
      </c>
      <c r="D3108" t="n">
        <v>6</v>
      </c>
      <c r="E3108" t="s">
        <v>3063</v>
      </c>
      <c r="F3108" t="s"/>
      <c r="G3108" t="s"/>
      <c r="H3108" t="s"/>
      <c r="I3108" t="s"/>
      <c r="J3108" t="n">
        <v>-0.4724</v>
      </c>
      <c r="K3108" t="n">
        <v>0.123</v>
      </c>
      <c r="L3108" t="n">
        <v>0.877</v>
      </c>
      <c r="M3108" t="n">
        <v>0</v>
      </c>
    </row>
    <row r="3109" spans="1:13">
      <c r="A3109" s="1">
        <f>HYPERLINK("http://www.twitter.com/NathanBLawrence/status/988487074352455680", "988487074352455680")</f>
        <v/>
      </c>
      <c r="B3109" s="2" t="n">
        <v>43213.77613425926</v>
      </c>
      <c r="C3109" t="n">
        <v>1</v>
      </c>
      <c r="D3109" t="n">
        <v>0</v>
      </c>
      <c r="E3109" t="s">
        <v>3064</v>
      </c>
      <c r="F3109" t="s"/>
      <c r="G3109" t="s"/>
      <c r="H3109" t="s"/>
      <c r="I3109" t="s"/>
      <c r="J3109" t="n">
        <v>0</v>
      </c>
      <c r="K3109" t="n">
        <v>0</v>
      </c>
      <c r="L3109" t="n">
        <v>1</v>
      </c>
      <c r="M3109" t="n">
        <v>0</v>
      </c>
    </row>
    <row r="3110" spans="1:13">
      <c r="A3110" s="1">
        <f>HYPERLINK("http://www.twitter.com/NathanBLawrence/status/988456514443767808", "988456514443767808")</f>
        <v/>
      </c>
      <c r="B3110" s="2" t="n">
        <v>43213.69180555556</v>
      </c>
      <c r="C3110" t="n">
        <v>0</v>
      </c>
      <c r="D3110" t="n">
        <v>1257</v>
      </c>
      <c r="E3110" t="s">
        <v>3065</v>
      </c>
      <c r="F3110" t="s"/>
      <c r="G3110" t="s"/>
      <c r="H3110" t="s"/>
      <c r="I3110" t="s"/>
      <c r="J3110" t="n">
        <v>0.3612</v>
      </c>
      <c r="K3110" t="n">
        <v>0</v>
      </c>
      <c r="L3110" t="n">
        <v>0.884</v>
      </c>
      <c r="M3110" t="n">
        <v>0.116</v>
      </c>
    </row>
    <row r="3111" spans="1:13">
      <c r="A3111" s="1">
        <f>HYPERLINK("http://www.twitter.com/NathanBLawrence/status/988456478976761856", "988456478976761856")</f>
        <v/>
      </c>
      <c r="B3111" s="2" t="n">
        <v>43213.69170138889</v>
      </c>
      <c r="C3111" t="n">
        <v>0</v>
      </c>
      <c r="D3111" t="n">
        <v>9889</v>
      </c>
      <c r="E3111" t="s">
        <v>3066</v>
      </c>
      <c r="F3111" t="s"/>
      <c r="G3111" t="s"/>
      <c r="H3111" t="s"/>
      <c r="I3111" t="s"/>
      <c r="J3111" t="n">
        <v>0</v>
      </c>
      <c r="K3111" t="n">
        <v>0</v>
      </c>
      <c r="L3111" t="n">
        <v>1</v>
      </c>
      <c r="M3111" t="n">
        <v>0</v>
      </c>
    </row>
    <row r="3112" spans="1:13">
      <c r="A3112" s="1">
        <f>HYPERLINK("http://www.twitter.com/NathanBLawrence/status/988456451109801984", "988456451109801984")</f>
        <v/>
      </c>
      <c r="B3112" s="2" t="n">
        <v>43213.69163194444</v>
      </c>
      <c r="C3112" t="n">
        <v>0</v>
      </c>
      <c r="D3112" t="n">
        <v>22787</v>
      </c>
      <c r="E3112" t="s">
        <v>3067</v>
      </c>
      <c r="F3112" t="s"/>
      <c r="G3112" t="s"/>
      <c r="H3112" t="s"/>
      <c r="I3112" t="s"/>
      <c r="J3112" t="n">
        <v>-0.1027</v>
      </c>
      <c r="K3112" t="n">
        <v>0.065</v>
      </c>
      <c r="L3112" t="n">
        <v>0.9350000000000001</v>
      </c>
      <c r="M3112" t="n">
        <v>0</v>
      </c>
    </row>
    <row r="3113" spans="1:13">
      <c r="A3113" s="1">
        <f>HYPERLINK("http://www.twitter.com/NathanBLawrence/status/988456438728097792", "988456438728097792")</f>
        <v/>
      </c>
      <c r="B3113" s="2" t="n">
        <v>43213.69159722222</v>
      </c>
      <c r="C3113" t="n">
        <v>0</v>
      </c>
      <c r="D3113" t="n">
        <v>1251</v>
      </c>
      <c r="E3113" t="s">
        <v>3068</v>
      </c>
      <c r="F3113" t="s"/>
      <c r="G3113" t="s"/>
      <c r="H3113" t="s"/>
      <c r="I3113" t="s"/>
      <c r="J3113" t="n">
        <v>-0.6553</v>
      </c>
      <c r="K3113" t="n">
        <v>0.218</v>
      </c>
      <c r="L3113" t="n">
        <v>0.732</v>
      </c>
      <c r="M3113" t="n">
        <v>0.05</v>
      </c>
    </row>
    <row r="3114" spans="1:13">
      <c r="A3114" s="1">
        <f>HYPERLINK("http://www.twitter.com/NathanBLawrence/status/988456394243346434", "988456394243346434")</f>
        <v/>
      </c>
      <c r="B3114" s="2" t="n">
        <v>43213.6914699074</v>
      </c>
      <c r="C3114" t="n">
        <v>0</v>
      </c>
      <c r="D3114" t="n">
        <v>12070</v>
      </c>
      <c r="E3114" t="s">
        <v>3069</v>
      </c>
      <c r="F3114" t="s"/>
      <c r="G3114" t="s"/>
      <c r="H3114" t="s"/>
      <c r="I3114" t="s"/>
      <c r="J3114" t="n">
        <v>0.2732</v>
      </c>
      <c r="K3114" t="n">
        <v>0</v>
      </c>
      <c r="L3114" t="n">
        <v>0.87</v>
      </c>
      <c r="M3114" t="n">
        <v>0.13</v>
      </c>
    </row>
    <row r="3115" spans="1:13">
      <c r="A3115" s="1">
        <f>HYPERLINK("http://www.twitter.com/NathanBLawrence/status/988456370092564480", "988456370092564480")</f>
        <v/>
      </c>
      <c r="B3115" s="2" t="n">
        <v>43213.69140046297</v>
      </c>
      <c r="C3115" t="n">
        <v>0</v>
      </c>
      <c r="D3115" t="n">
        <v>11484</v>
      </c>
      <c r="E3115" t="s">
        <v>3070</v>
      </c>
      <c r="F3115" t="s"/>
      <c r="G3115" t="s"/>
      <c r="H3115" t="s"/>
      <c r="I3115" t="s"/>
      <c r="J3115" t="n">
        <v>0.4404</v>
      </c>
      <c r="K3115" t="n">
        <v>0</v>
      </c>
      <c r="L3115" t="n">
        <v>0.83</v>
      </c>
      <c r="M3115" t="n">
        <v>0.17</v>
      </c>
    </row>
    <row r="3116" spans="1:13">
      <c r="A3116" s="1">
        <f>HYPERLINK("http://www.twitter.com/NathanBLawrence/status/988455663113293824", "988455663113293824")</f>
        <v/>
      </c>
      <c r="B3116" s="2" t="n">
        <v>43213.68945601852</v>
      </c>
      <c r="C3116" t="n">
        <v>0</v>
      </c>
      <c r="D3116" t="n">
        <v>4</v>
      </c>
      <c r="E3116" t="s">
        <v>3071</v>
      </c>
      <c r="F3116">
        <f>HYPERLINK("http://pbs.twimg.com/media/DbecZzXVwAAuByG.jpg", "http://pbs.twimg.com/media/DbecZzXVwAAuByG.jpg")</f>
        <v/>
      </c>
      <c r="G3116" t="s"/>
      <c r="H3116" t="s"/>
      <c r="I3116" t="s"/>
      <c r="J3116" t="n">
        <v>-0.3818</v>
      </c>
      <c r="K3116" t="n">
        <v>0.126</v>
      </c>
      <c r="L3116" t="n">
        <v>0.874</v>
      </c>
      <c r="M3116" t="n">
        <v>0</v>
      </c>
    </row>
    <row r="3117" spans="1:13">
      <c r="A3117" s="1">
        <f>HYPERLINK("http://www.twitter.com/NathanBLawrence/status/988455650173902849", "988455650173902849")</f>
        <v/>
      </c>
      <c r="B3117" s="2" t="n">
        <v>43213.68942129629</v>
      </c>
      <c r="C3117" t="n">
        <v>0</v>
      </c>
      <c r="D3117" t="n">
        <v>8</v>
      </c>
      <c r="E3117" t="s">
        <v>3072</v>
      </c>
      <c r="F3117" t="s"/>
      <c r="G3117" t="s"/>
      <c r="H3117" t="s"/>
      <c r="I3117" t="s"/>
      <c r="J3117" t="n">
        <v>0</v>
      </c>
      <c r="K3117" t="n">
        <v>0</v>
      </c>
      <c r="L3117" t="n">
        <v>1</v>
      </c>
      <c r="M3117" t="n">
        <v>0</v>
      </c>
    </row>
    <row r="3118" spans="1:13">
      <c r="A3118" s="1">
        <f>HYPERLINK("http://www.twitter.com/NathanBLawrence/status/988455640963141632", "988455640963141632")</f>
        <v/>
      </c>
      <c r="B3118" s="2" t="n">
        <v>43213.68939814815</v>
      </c>
      <c r="C3118" t="n">
        <v>0</v>
      </c>
      <c r="D3118" t="n">
        <v>8</v>
      </c>
      <c r="E3118" t="s">
        <v>3073</v>
      </c>
      <c r="F3118" t="s"/>
      <c r="G3118" t="s"/>
      <c r="H3118" t="s"/>
      <c r="I3118" t="s"/>
      <c r="J3118" t="n">
        <v>0</v>
      </c>
      <c r="K3118" t="n">
        <v>0</v>
      </c>
      <c r="L3118" t="n">
        <v>1</v>
      </c>
      <c r="M3118" t="n">
        <v>0</v>
      </c>
    </row>
    <row r="3119" spans="1:13">
      <c r="A3119" s="1">
        <f>HYPERLINK("http://www.twitter.com/NathanBLawrence/status/988455609321295873", "988455609321295873")</f>
        <v/>
      </c>
      <c r="B3119" s="2" t="n">
        <v>43213.68930555556</v>
      </c>
      <c r="C3119" t="n">
        <v>0</v>
      </c>
      <c r="D3119" t="n">
        <v>5</v>
      </c>
      <c r="E3119" t="s">
        <v>3074</v>
      </c>
      <c r="F3119" t="s"/>
      <c r="G3119" t="s"/>
      <c r="H3119" t="s"/>
      <c r="I3119" t="s"/>
      <c r="J3119" t="n">
        <v>-0.34</v>
      </c>
      <c r="K3119" t="n">
        <v>0.124</v>
      </c>
      <c r="L3119" t="n">
        <v>0.876</v>
      </c>
      <c r="M3119" t="n">
        <v>0</v>
      </c>
    </row>
    <row r="3120" spans="1:13">
      <c r="A3120" s="1">
        <f>HYPERLINK("http://www.twitter.com/NathanBLawrence/status/988455592418308099", "988455592418308099")</f>
        <v/>
      </c>
      <c r="B3120" s="2" t="n">
        <v>43213.68925925926</v>
      </c>
      <c r="C3120" t="n">
        <v>0</v>
      </c>
      <c r="D3120" t="n">
        <v>3</v>
      </c>
      <c r="E3120" t="s">
        <v>3075</v>
      </c>
      <c r="F3120" t="s"/>
      <c r="G3120" t="s"/>
      <c r="H3120" t="s"/>
      <c r="I3120" t="s"/>
      <c r="J3120" t="n">
        <v>0.1759</v>
      </c>
      <c r="K3120" t="n">
        <v>0</v>
      </c>
      <c r="L3120" t="n">
        <v>0.842</v>
      </c>
      <c r="M3120" t="n">
        <v>0.158</v>
      </c>
    </row>
    <row r="3121" spans="1:13">
      <c r="A3121" s="1">
        <f>HYPERLINK("http://www.twitter.com/NathanBLawrence/status/988455164662214656", "988455164662214656")</f>
        <v/>
      </c>
      <c r="B3121" s="2" t="n">
        <v>43213.6880787037</v>
      </c>
      <c r="C3121" t="n">
        <v>0</v>
      </c>
      <c r="D3121" t="n">
        <v>4</v>
      </c>
      <c r="E3121" t="s">
        <v>3076</v>
      </c>
      <c r="F3121">
        <f>HYPERLINK("http://pbs.twimg.com/media/DbeAb1AU8AAAC0P.jpg", "http://pbs.twimg.com/media/DbeAb1AU8AAAC0P.jpg")</f>
        <v/>
      </c>
      <c r="G3121" t="s"/>
      <c r="H3121" t="s"/>
      <c r="I3121" t="s"/>
      <c r="J3121" t="n">
        <v>0</v>
      </c>
      <c r="K3121" t="n">
        <v>0</v>
      </c>
      <c r="L3121" t="n">
        <v>1</v>
      </c>
      <c r="M3121" t="n">
        <v>0</v>
      </c>
    </row>
    <row r="3122" spans="1:13">
      <c r="A3122" s="1">
        <f>HYPERLINK("http://www.twitter.com/NathanBLawrence/status/988455009846218753", "988455009846218753")</f>
        <v/>
      </c>
      <c r="B3122" s="2" t="n">
        <v>43213.68765046296</v>
      </c>
      <c r="C3122" t="n">
        <v>3</v>
      </c>
      <c r="D3122" t="n">
        <v>1</v>
      </c>
      <c r="E3122" t="s">
        <v>3077</v>
      </c>
      <c r="F3122" t="s"/>
      <c r="G3122" t="s"/>
      <c r="H3122" t="s"/>
      <c r="I3122" t="s"/>
      <c r="J3122" t="n">
        <v>0.3802</v>
      </c>
      <c r="K3122" t="n">
        <v>0</v>
      </c>
      <c r="L3122" t="n">
        <v>0.895</v>
      </c>
      <c r="M3122" t="n">
        <v>0.105</v>
      </c>
    </row>
    <row r="3123" spans="1:13">
      <c r="A3123" s="1">
        <f>HYPERLINK("http://www.twitter.com/NathanBLawrence/status/988454856586416129", "988454856586416129")</f>
        <v/>
      </c>
      <c r="B3123" s="2" t="n">
        <v>43213.6872337963</v>
      </c>
      <c r="C3123" t="n">
        <v>0</v>
      </c>
      <c r="D3123" t="n">
        <v>607</v>
      </c>
      <c r="E3123" t="s">
        <v>3078</v>
      </c>
      <c r="F3123">
        <f>HYPERLINK("http://pbs.twimg.com/media/DbeopkiW4AA34ap.jpg", "http://pbs.twimg.com/media/DbeopkiW4AA34ap.jpg")</f>
        <v/>
      </c>
      <c r="G3123" t="s"/>
      <c r="H3123" t="s"/>
      <c r="I3123" t="s"/>
      <c r="J3123" t="n">
        <v>-0.128</v>
      </c>
      <c r="K3123" t="n">
        <v>0.096</v>
      </c>
      <c r="L3123" t="n">
        <v>0.83</v>
      </c>
      <c r="M3123" t="n">
        <v>0.074</v>
      </c>
    </row>
    <row r="3124" spans="1:13">
      <c r="A3124" s="1">
        <f>HYPERLINK("http://www.twitter.com/NathanBLawrence/status/988445049020145665", "988445049020145665")</f>
        <v/>
      </c>
      <c r="B3124" s="2" t="n">
        <v>43213.66016203703</v>
      </c>
      <c r="C3124" t="n">
        <v>0</v>
      </c>
      <c r="D3124" t="n">
        <v>13</v>
      </c>
      <c r="E3124" t="s">
        <v>3079</v>
      </c>
      <c r="F3124" t="s"/>
      <c r="G3124" t="s"/>
      <c r="H3124" t="s"/>
      <c r="I3124" t="s"/>
      <c r="J3124" t="n">
        <v>-0.5719</v>
      </c>
      <c r="K3124" t="n">
        <v>0.218</v>
      </c>
      <c r="L3124" t="n">
        <v>0.701</v>
      </c>
      <c r="M3124" t="n">
        <v>0.081</v>
      </c>
    </row>
    <row r="3125" spans="1:13">
      <c r="A3125" s="1">
        <f>HYPERLINK("http://www.twitter.com/NathanBLawrence/status/988444977800851456", "988444977800851456")</f>
        <v/>
      </c>
      <c r="B3125" s="2" t="n">
        <v>43213.65996527778</v>
      </c>
      <c r="C3125" t="n">
        <v>0</v>
      </c>
      <c r="D3125" t="n">
        <v>8</v>
      </c>
      <c r="E3125" t="s">
        <v>3080</v>
      </c>
      <c r="F3125" t="s"/>
      <c r="G3125" t="s"/>
      <c r="H3125" t="s"/>
      <c r="I3125" t="s"/>
      <c r="J3125" t="n">
        <v>0</v>
      </c>
      <c r="K3125" t="n">
        <v>0</v>
      </c>
      <c r="L3125" t="n">
        <v>1</v>
      </c>
      <c r="M3125" t="n">
        <v>0</v>
      </c>
    </row>
    <row r="3126" spans="1:13">
      <c r="A3126" s="1">
        <f>HYPERLINK("http://www.twitter.com/NathanBLawrence/status/988444892916539393", "988444892916539393")</f>
        <v/>
      </c>
      <c r="B3126" s="2" t="n">
        <v>43213.6597337963</v>
      </c>
      <c r="C3126" t="n">
        <v>0</v>
      </c>
      <c r="D3126" t="n">
        <v>6</v>
      </c>
      <c r="E3126" t="s">
        <v>3081</v>
      </c>
      <c r="F3126" t="s"/>
      <c r="G3126" t="s"/>
      <c r="H3126" t="s"/>
      <c r="I3126" t="s"/>
      <c r="J3126" t="n">
        <v>0</v>
      </c>
      <c r="K3126" t="n">
        <v>0</v>
      </c>
      <c r="L3126" t="n">
        <v>1</v>
      </c>
      <c r="M3126" t="n">
        <v>0</v>
      </c>
    </row>
    <row r="3127" spans="1:13">
      <c r="A3127" s="1">
        <f>HYPERLINK("http://www.twitter.com/NathanBLawrence/status/988444857361367040", "988444857361367040")</f>
        <v/>
      </c>
      <c r="B3127" s="2" t="n">
        <v>43213.6596412037</v>
      </c>
      <c r="C3127" t="n">
        <v>0</v>
      </c>
      <c r="D3127" t="n">
        <v>38</v>
      </c>
      <c r="E3127" t="s">
        <v>3082</v>
      </c>
      <c r="F3127" t="s"/>
      <c r="G3127" t="s"/>
      <c r="H3127" t="s"/>
      <c r="I3127" t="s"/>
      <c r="J3127" t="n">
        <v>-0.3818</v>
      </c>
      <c r="K3127" t="n">
        <v>0.14</v>
      </c>
      <c r="L3127" t="n">
        <v>0.86</v>
      </c>
      <c r="M3127" t="n">
        <v>0</v>
      </c>
    </row>
    <row r="3128" spans="1:13">
      <c r="A3128" s="1">
        <f>HYPERLINK("http://www.twitter.com/NathanBLawrence/status/988444778919546882", "988444778919546882")</f>
        <v/>
      </c>
      <c r="B3128" s="2" t="n">
        <v>43213.6594212963</v>
      </c>
      <c r="C3128" t="n">
        <v>0</v>
      </c>
      <c r="D3128" t="n">
        <v>4</v>
      </c>
      <c r="E3128" t="s">
        <v>3083</v>
      </c>
      <c r="F3128" t="s"/>
      <c r="G3128" t="s"/>
      <c r="H3128" t="s"/>
      <c r="I3128" t="s"/>
      <c r="J3128" t="n">
        <v>-0.0258</v>
      </c>
      <c r="K3128" t="n">
        <v>0.106</v>
      </c>
      <c r="L3128" t="n">
        <v>0.793</v>
      </c>
      <c r="M3128" t="n">
        <v>0.101</v>
      </c>
    </row>
    <row r="3129" spans="1:13">
      <c r="A3129" s="1">
        <f>HYPERLINK("http://www.twitter.com/NathanBLawrence/status/988444352434327553", "988444352434327553")</f>
        <v/>
      </c>
      <c r="B3129" s="2" t="n">
        <v>43213.65824074074</v>
      </c>
      <c r="C3129" t="n">
        <v>0</v>
      </c>
      <c r="D3129" t="n">
        <v>11</v>
      </c>
      <c r="E3129" t="s">
        <v>2953</v>
      </c>
      <c r="F3129">
        <f>HYPERLINK("http://pbs.twimg.com/media/DbbwoSAW0AU0VLA.jpg", "http://pbs.twimg.com/media/DbbwoSAW0AU0VLA.jpg")</f>
        <v/>
      </c>
      <c r="G3129" t="s"/>
      <c r="H3129" t="s"/>
      <c r="I3129" t="s"/>
      <c r="J3129" t="n">
        <v>0.8201000000000001</v>
      </c>
      <c r="K3129" t="n">
        <v>0</v>
      </c>
      <c r="L3129" t="n">
        <v>0.643</v>
      </c>
      <c r="M3129" t="n">
        <v>0.357</v>
      </c>
    </row>
    <row r="3130" spans="1:13">
      <c r="A3130" s="1">
        <f>HYPERLINK("http://www.twitter.com/NathanBLawrence/status/988444318548529152", "988444318548529152")</f>
        <v/>
      </c>
      <c r="B3130" s="2" t="n">
        <v>43213.65814814815</v>
      </c>
      <c r="C3130" t="n">
        <v>3</v>
      </c>
      <c r="D3130" t="n">
        <v>0</v>
      </c>
      <c r="E3130" t="s">
        <v>3084</v>
      </c>
      <c r="F3130" t="s"/>
      <c r="G3130" t="s"/>
      <c r="H3130" t="s"/>
      <c r="I3130" t="s"/>
      <c r="J3130" t="n">
        <v>0.296</v>
      </c>
      <c r="K3130" t="n">
        <v>0</v>
      </c>
      <c r="L3130" t="n">
        <v>0.476</v>
      </c>
      <c r="M3130" t="n">
        <v>0.524</v>
      </c>
    </row>
    <row r="3131" spans="1:13">
      <c r="A3131" s="1">
        <f>HYPERLINK("http://www.twitter.com/NathanBLawrence/status/988444283257663488", "988444283257663488")</f>
        <v/>
      </c>
      <c r="B3131" s="2" t="n">
        <v>43213.65805555556</v>
      </c>
      <c r="C3131" t="n">
        <v>0</v>
      </c>
      <c r="D3131" t="n">
        <v>23</v>
      </c>
      <c r="E3131" t="s">
        <v>3085</v>
      </c>
      <c r="F3131">
        <f>HYPERLINK("http://pbs.twimg.com/media/DbeelY-XUAEDaDB.jpg", "http://pbs.twimg.com/media/DbeelY-XUAEDaDB.jpg")</f>
        <v/>
      </c>
      <c r="G3131" t="s"/>
      <c r="H3131" t="s"/>
      <c r="I3131" t="s"/>
      <c r="J3131" t="n">
        <v>-0.1323</v>
      </c>
      <c r="K3131" t="n">
        <v>0.13</v>
      </c>
      <c r="L3131" t="n">
        <v>0.76</v>
      </c>
      <c r="M3131" t="n">
        <v>0.11</v>
      </c>
    </row>
    <row r="3132" spans="1:13">
      <c r="A3132" s="1">
        <f>HYPERLINK("http://www.twitter.com/NathanBLawrence/status/988444132052996096", "988444132052996096")</f>
        <v/>
      </c>
      <c r="B3132" s="2" t="n">
        <v>43213.65763888889</v>
      </c>
      <c r="C3132" t="n">
        <v>0</v>
      </c>
      <c r="D3132" t="n">
        <v>9</v>
      </c>
      <c r="E3132" t="s">
        <v>3086</v>
      </c>
      <c r="F3132" t="s"/>
      <c r="G3132" t="s"/>
      <c r="H3132" t="s"/>
      <c r="I3132" t="s"/>
      <c r="J3132" t="n">
        <v>0</v>
      </c>
      <c r="K3132" t="n">
        <v>0</v>
      </c>
      <c r="L3132" t="n">
        <v>1</v>
      </c>
      <c r="M3132" t="n">
        <v>0</v>
      </c>
    </row>
    <row r="3133" spans="1:13">
      <c r="A3133" s="1">
        <f>HYPERLINK("http://www.twitter.com/NathanBLawrence/status/988443059242364928", "988443059242364928")</f>
        <v/>
      </c>
      <c r="B3133" s="2" t="n">
        <v>43213.65467592593</v>
      </c>
      <c r="C3133" t="n">
        <v>3</v>
      </c>
      <c r="D3133" t="n">
        <v>2</v>
      </c>
      <c r="E3133" t="s">
        <v>3087</v>
      </c>
      <c r="F3133" t="s"/>
      <c r="G3133" t="s"/>
      <c r="H3133" t="s"/>
      <c r="I3133" t="s"/>
      <c r="J3133" t="n">
        <v>0</v>
      </c>
      <c r="K3133" t="n">
        <v>0</v>
      </c>
      <c r="L3133" t="n">
        <v>1</v>
      </c>
      <c r="M3133" t="n">
        <v>0</v>
      </c>
    </row>
    <row r="3134" spans="1:13">
      <c r="A3134" s="1">
        <f>HYPERLINK("http://www.twitter.com/NathanBLawrence/status/988442978132905984", "988442978132905984")</f>
        <v/>
      </c>
      <c r="B3134" s="2" t="n">
        <v>43213.65445601852</v>
      </c>
      <c r="C3134" t="n">
        <v>0</v>
      </c>
      <c r="D3134" t="n">
        <v>7</v>
      </c>
      <c r="E3134" t="s">
        <v>3088</v>
      </c>
      <c r="F3134" t="s"/>
      <c r="G3134" t="s"/>
      <c r="H3134" t="s"/>
      <c r="I3134" t="s"/>
      <c r="J3134" t="n">
        <v>0</v>
      </c>
      <c r="K3134" t="n">
        <v>0</v>
      </c>
      <c r="L3134" t="n">
        <v>1</v>
      </c>
      <c r="M3134" t="n">
        <v>0</v>
      </c>
    </row>
    <row r="3135" spans="1:13">
      <c r="A3135" s="1">
        <f>HYPERLINK("http://www.twitter.com/NathanBLawrence/status/988442842392477698", "988442842392477698")</f>
        <v/>
      </c>
      <c r="B3135" s="2" t="n">
        <v>43213.65407407407</v>
      </c>
      <c r="C3135" t="n">
        <v>0</v>
      </c>
      <c r="D3135" t="n">
        <v>12</v>
      </c>
      <c r="E3135" t="s">
        <v>3089</v>
      </c>
      <c r="F3135" t="s"/>
      <c r="G3135" t="s"/>
      <c r="H3135" t="s"/>
      <c r="I3135" t="s"/>
      <c r="J3135" t="n">
        <v>0.1779</v>
      </c>
      <c r="K3135" t="n">
        <v>0.081</v>
      </c>
      <c r="L3135" t="n">
        <v>0.8129999999999999</v>
      </c>
      <c r="M3135" t="n">
        <v>0.106</v>
      </c>
    </row>
    <row r="3136" spans="1:13">
      <c r="A3136" s="1">
        <f>HYPERLINK("http://www.twitter.com/NathanBLawrence/status/988442470055927809", "988442470055927809")</f>
        <v/>
      </c>
      <c r="B3136" s="2" t="n">
        <v>43213.65304398148</v>
      </c>
      <c r="C3136" t="n">
        <v>16</v>
      </c>
      <c r="D3136" t="n">
        <v>12</v>
      </c>
      <c r="E3136" t="s">
        <v>3090</v>
      </c>
      <c r="F3136" t="s"/>
      <c r="G3136" t="s"/>
      <c r="H3136" t="s"/>
      <c r="I3136" t="s"/>
      <c r="J3136" t="n">
        <v>-0.5106000000000001</v>
      </c>
      <c r="K3136" t="n">
        <v>0.125</v>
      </c>
      <c r="L3136" t="n">
        <v>0.823</v>
      </c>
      <c r="M3136" t="n">
        <v>0.051</v>
      </c>
    </row>
    <row r="3137" spans="1:13">
      <c r="A3137" s="1">
        <f>HYPERLINK("http://www.twitter.com/NathanBLawrence/status/988436095598759936", "988436095598759936")</f>
        <v/>
      </c>
      <c r="B3137" s="2" t="n">
        <v>43213.63546296296</v>
      </c>
      <c r="C3137" t="n">
        <v>0</v>
      </c>
      <c r="D3137" t="n">
        <v>6</v>
      </c>
      <c r="E3137" t="s">
        <v>3091</v>
      </c>
      <c r="F3137" t="s"/>
      <c r="G3137" t="s"/>
      <c r="H3137" t="s"/>
      <c r="I3137" t="s"/>
      <c r="J3137" t="n">
        <v>-0.0772</v>
      </c>
      <c r="K3137" t="n">
        <v>0.058</v>
      </c>
      <c r="L3137" t="n">
        <v>0.9419999999999999</v>
      </c>
      <c r="M3137" t="n">
        <v>0</v>
      </c>
    </row>
    <row r="3138" spans="1:13">
      <c r="A3138" s="1">
        <f>HYPERLINK("http://www.twitter.com/NathanBLawrence/status/988435866921177088", "988435866921177088")</f>
        <v/>
      </c>
      <c r="B3138" s="2" t="n">
        <v>43213.63482638889</v>
      </c>
      <c r="C3138" t="n">
        <v>0</v>
      </c>
      <c r="D3138" t="n">
        <v>167</v>
      </c>
      <c r="E3138" t="s">
        <v>3092</v>
      </c>
      <c r="F3138" t="s"/>
      <c r="G3138" t="s"/>
      <c r="H3138" t="s"/>
      <c r="I3138" t="s"/>
      <c r="J3138" t="n">
        <v>0.25</v>
      </c>
      <c r="K3138" t="n">
        <v>0</v>
      </c>
      <c r="L3138" t="n">
        <v>0.882</v>
      </c>
      <c r="M3138" t="n">
        <v>0.118</v>
      </c>
    </row>
    <row r="3139" spans="1:13">
      <c r="A3139" s="1">
        <f>HYPERLINK("http://www.twitter.com/NathanBLawrence/status/988409225943703552", "988409225943703552")</f>
        <v/>
      </c>
      <c r="B3139" s="2" t="n">
        <v>43213.56130787037</v>
      </c>
      <c r="C3139" t="n">
        <v>0</v>
      </c>
      <c r="D3139" t="n">
        <v>29</v>
      </c>
      <c r="E3139" t="s">
        <v>3093</v>
      </c>
      <c r="F3139">
        <f>HYPERLINK("http://pbs.twimg.com/media/DbeI4d5V0AAEKlg.jpg", "http://pbs.twimg.com/media/DbeI4d5V0AAEKlg.jpg")</f>
        <v/>
      </c>
      <c r="G3139" t="s"/>
      <c r="H3139" t="s"/>
      <c r="I3139" t="s"/>
      <c r="J3139" t="n">
        <v>-0.8070000000000001</v>
      </c>
      <c r="K3139" t="n">
        <v>0.328</v>
      </c>
      <c r="L3139" t="n">
        <v>0.672</v>
      </c>
      <c r="M3139" t="n">
        <v>0</v>
      </c>
    </row>
    <row r="3140" spans="1:13">
      <c r="A3140" s="1">
        <f>HYPERLINK("http://www.twitter.com/NathanBLawrence/status/988409157421330432", "988409157421330432")</f>
        <v/>
      </c>
      <c r="B3140" s="2" t="n">
        <v>43213.56112268518</v>
      </c>
      <c r="C3140" t="n">
        <v>32</v>
      </c>
      <c r="D3140" t="n">
        <v>29</v>
      </c>
      <c r="E3140" t="s">
        <v>3094</v>
      </c>
      <c r="F3140">
        <f>HYPERLINK("http://pbs.twimg.com/media/DbeI4d5V0AAEKlg.jpg", "http://pbs.twimg.com/media/DbeI4d5V0AAEKlg.jpg")</f>
        <v/>
      </c>
      <c r="G3140" t="s"/>
      <c r="H3140" t="s"/>
      <c r="I3140" t="s"/>
      <c r="J3140" t="n">
        <v>-0.6626</v>
      </c>
      <c r="K3140" t="n">
        <v>0.225</v>
      </c>
      <c r="L3140" t="n">
        <v>0.658</v>
      </c>
      <c r="M3140" t="n">
        <v>0.117</v>
      </c>
    </row>
    <row r="3141" spans="1:13">
      <c r="A3141" s="1">
        <f>HYPERLINK("http://www.twitter.com/NathanBLawrence/status/988253032684105728", "988253032684105728")</f>
        <v/>
      </c>
      <c r="B3141" s="2" t="n">
        <v>43213.13030092593</v>
      </c>
      <c r="C3141" t="n">
        <v>0</v>
      </c>
      <c r="D3141" t="n">
        <v>14146</v>
      </c>
      <c r="E3141" t="s">
        <v>3095</v>
      </c>
      <c r="F3141">
        <f>HYPERLINK("https://video.twimg.com/ext_tw_video/987718619629940737/pu/vid/640x360/lnYGQYfyBQ8YOHUv.mp4?tag=3", "https://video.twimg.com/ext_tw_video/987718619629940737/pu/vid/640x360/lnYGQYfyBQ8YOHUv.mp4?tag=3")</f>
        <v/>
      </c>
      <c r="G3141" t="s"/>
      <c r="H3141" t="s"/>
      <c r="I3141" t="s"/>
      <c r="J3141" t="n">
        <v>0.8883</v>
      </c>
      <c r="K3141" t="n">
        <v>0</v>
      </c>
      <c r="L3141" t="n">
        <v>0.534</v>
      </c>
      <c r="M3141" t="n">
        <v>0.466</v>
      </c>
    </row>
    <row r="3142" spans="1:13">
      <c r="A3142" s="1">
        <f>HYPERLINK("http://www.twitter.com/NathanBLawrence/status/988252838189989889", "988252838189989889")</f>
        <v/>
      </c>
      <c r="B3142" s="2" t="n">
        <v>43213.12976851852</v>
      </c>
      <c r="C3142" t="n">
        <v>0</v>
      </c>
      <c r="D3142" t="n">
        <v>15310</v>
      </c>
      <c r="E3142" t="s">
        <v>3096</v>
      </c>
      <c r="F3142" t="s"/>
      <c r="G3142" t="s"/>
      <c r="H3142" t="s"/>
      <c r="I3142" t="s"/>
      <c r="J3142" t="n">
        <v>-0.0516</v>
      </c>
      <c r="K3142" t="n">
        <v>0.196</v>
      </c>
      <c r="L3142" t="n">
        <v>0.652</v>
      </c>
      <c r="M3142" t="n">
        <v>0.152</v>
      </c>
    </row>
    <row r="3143" spans="1:13">
      <c r="A3143" s="1">
        <f>HYPERLINK("http://www.twitter.com/NathanBLawrence/status/988252811212312576", "988252811212312576")</f>
        <v/>
      </c>
      <c r="B3143" s="2" t="n">
        <v>43213.1296875</v>
      </c>
      <c r="C3143" t="n">
        <v>0</v>
      </c>
      <c r="D3143" t="n">
        <v>81124</v>
      </c>
      <c r="E3143" t="s">
        <v>3097</v>
      </c>
      <c r="F3143" t="s"/>
      <c r="G3143" t="s"/>
      <c r="H3143" t="s"/>
      <c r="I3143" t="s"/>
      <c r="J3143" t="n">
        <v>-0.5106000000000001</v>
      </c>
      <c r="K3143" t="n">
        <v>0.398</v>
      </c>
      <c r="L3143" t="n">
        <v>0.602</v>
      </c>
      <c r="M3143" t="n">
        <v>0</v>
      </c>
    </row>
    <row r="3144" spans="1:13">
      <c r="A3144" s="1">
        <f>HYPERLINK("http://www.twitter.com/NathanBLawrence/status/988252799468220416", "988252799468220416")</f>
        <v/>
      </c>
      <c r="B3144" s="2" t="n">
        <v>43213.12965277778</v>
      </c>
      <c r="C3144" t="n">
        <v>0</v>
      </c>
      <c r="D3144" t="n">
        <v>19574</v>
      </c>
      <c r="E3144" t="s">
        <v>3098</v>
      </c>
      <c r="F3144" t="s"/>
      <c r="G3144" t="s"/>
      <c r="H3144" t="s"/>
      <c r="I3144" t="s"/>
      <c r="J3144" t="n">
        <v>-0.7003</v>
      </c>
      <c r="K3144" t="n">
        <v>0.186</v>
      </c>
      <c r="L3144" t="n">
        <v>0.8139999999999999</v>
      </c>
      <c r="M3144" t="n">
        <v>0</v>
      </c>
    </row>
    <row r="3145" spans="1:13">
      <c r="A3145" s="1">
        <f>HYPERLINK("http://www.twitter.com/NathanBLawrence/status/988252668647833601", "988252668647833601")</f>
        <v/>
      </c>
      <c r="B3145" s="2" t="n">
        <v>43213.12929398148</v>
      </c>
      <c r="C3145" t="n">
        <v>0</v>
      </c>
      <c r="D3145" t="n">
        <v>3572</v>
      </c>
      <c r="E3145" t="s">
        <v>3099</v>
      </c>
      <c r="F3145" t="s"/>
      <c r="G3145" t="s"/>
      <c r="H3145" t="s"/>
      <c r="I3145" t="s"/>
      <c r="J3145" t="n">
        <v>0</v>
      </c>
      <c r="K3145" t="n">
        <v>0</v>
      </c>
      <c r="L3145" t="n">
        <v>1</v>
      </c>
      <c r="M3145" t="n">
        <v>0</v>
      </c>
    </row>
    <row r="3146" spans="1:13">
      <c r="A3146" s="1">
        <f>HYPERLINK("http://www.twitter.com/NathanBLawrence/status/988252642089545728", "988252642089545728")</f>
        <v/>
      </c>
      <c r="B3146" s="2" t="n">
        <v>43213.12922453704</v>
      </c>
      <c r="C3146" t="n">
        <v>0</v>
      </c>
      <c r="D3146" t="n">
        <v>99</v>
      </c>
      <c r="E3146" t="s">
        <v>3100</v>
      </c>
      <c r="F3146" t="s"/>
      <c r="G3146" t="s"/>
      <c r="H3146" t="s"/>
      <c r="I3146" t="s"/>
      <c r="J3146" t="n">
        <v>0.7506</v>
      </c>
      <c r="K3146" t="n">
        <v>0.065</v>
      </c>
      <c r="L3146" t="n">
        <v>0.651</v>
      </c>
      <c r="M3146" t="n">
        <v>0.284</v>
      </c>
    </row>
    <row r="3147" spans="1:13">
      <c r="A3147" s="1">
        <f>HYPERLINK("http://www.twitter.com/NathanBLawrence/status/988252623395590145", "988252623395590145")</f>
        <v/>
      </c>
      <c r="B3147" s="2" t="n">
        <v>43213.12916666667</v>
      </c>
      <c r="C3147" t="n">
        <v>0</v>
      </c>
      <c r="D3147" t="n">
        <v>1260</v>
      </c>
      <c r="E3147" t="s">
        <v>3101</v>
      </c>
      <c r="F3147" t="s"/>
      <c r="G3147" t="s"/>
      <c r="H3147" t="s"/>
      <c r="I3147" t="s"/>
      <c r="J3147" t="n">
        <v>0.5538</v>
      </c>
      <c r="K3147" t="n">
        <v>0</v>
      </c>
      <c r="L3147" t="n">
        <v>0.854</v>
      </c>
      <c r="M3147" t="n">
        <v>0.146</v>
      </c>
    </row>
    <row r="3148" spans="1:13">
      <c r="A3148" s="1">
        <f>HYPERLINK("http://www.twitter.com/NathanBLawrence/status/988252516931592192", "988252516931592192")</f>
        <v/>
      </c>
      <c r="B3148" s="2" t="n">
        <v>43213.12887731481</v>
      </c>
      <c r="C3148" t="n">
        <v>0</v>
      </c>
      <c r="D3148" t="n">
        <v>491</v>
      </c>
      <c r="E3148" t="s">
        <v>3102</v>
      </c>
      <c r="F3148" t="s"/>
      <c r="G3148" t="s"/>
      <c r="H3148" t="s"/>
      <c r="I3148" t="s"/>
      <c r="J3148" t="n">
        <v>-0.2263</v>
      </c>
      <c r="K3148" t="n">
        <v>0.178</v>
      </c>
      <c r="L3148" t="n">
        <v>0.707</v>
      </c>
      <c r="M3148" t="n">
        <v>0.114</v>
      </c>
    </row>
    <row r="3149" spans="1:13">
      <c r="A3149" s="1">
        <f>HYPERLINK("http://www.twitter.com/NathanBLawrence/status/988237976143646720", "988237976143646720")</f>
        <v/>
      </c>
      <c r="B3149" s="2" t="n">
        <v>43213.08875</v>
      </c>
      <c r="C3149" t="n">
        <v>0</v>
      </c>
      <c r="D3149" t="n">
        <v>1</v>
      </c>
      <c r="E3149" t="s">
        <v>3103</v>
      </c>
      <c r="F3149" t="s"/>
      <c r="G3149" t="s"/>
      <c r="H3149" t="s"/>
      <c r="I3149" t="s"/>
      <c r="J3149" t="n">
        <v>-0.4215</v>
      </c>
      <c r="K3149" t="n">
        <v>0.286</v>
      </c>
      <c r="L3149" t="n">
        <v>0.714</v>
      </c>
      <c r="M3149" t="n">
        <v>0</v>
      </c>
    </row>
    <row r="3150" spans="1:13">
      <c r="A3150" s="1">
        <f>HYPERLINK("http://www.twitter.com/NathanBLawrence/status/988217937906585600", "988217937906585600")</f>
        <v/>
      </c>
      <c r="B3150" s="2" t="n">
        <v>43213.03346064815</v>
      </c>
      <c r="C3150" t="n">
        <v>0</v>
      </c>
      <c r="D3150" t="n">
        <v>331</v>
      </c>
      <c r="E3150" t="s">
        <v>3104</v>
      </c>
      <c r="F3150" t="s"/>
      <c r="G3150" t="s"/>
      <c r="H3150" t="s"/>
      <c r="I3150" t="s"/>
      <c r="J3150" t="n">
        <v>-0.5423</v>
      </c>
      <c r="K3150" t="n">
        <v>0.127</v>
      </c>
      <c r="L3150" t="n">
        <v>0.873</v>
      </c>
      <c r="M3150" t="n">
        <v>0</v>
      </c>
    </row>
    <row r="3151" spans="1:13">
      <c r="A3151" s="1">
        <f>HYPERLINK("http://www.twitter.com/NathanBLawrence/status/988217841538273281", "988217841538273281")</f>
        <v/>
      </c>
      <c r="B3151" s="2" t="n">
        <v>43213.03319444445</v>
      </c>
      <c r="C3151" t="n">
        <v>0</v>
      </c>
      <c r="D3151" t="n">
        <v>1126</v>
      </c>
      <c r="E3151" t="s">
        <v>3105</v>
      </c>
      <c r="F3151">
        <f>HYPERLINK("https://video.twimg.com/amplify_video/988175111567171584/vid/240x320/7L_9cGSh-oj6XKIk.mp4?tag=6", "https://video.twimg.com/amplify_video/988175111567171584/vid/240x320/7L_9cGSh-oj6XKIk.mp4?tag=6")</f>
        <v/>
      </c>
      <c r="G3151" t="s"/>
      <c r="H3151" t="s"/>
      <c r="I3151" t="s"/>
      <c r="J3151" t="n">
        <v>0.1531</v>
      </c>
      <c r="K3151" t="n">
        <v>0.073</v>
      </c>
      <c r="L3151" t="n">
        <v>0.8</v>
      </c>
      <c r="M3151" t="n">
        <v>0.127</v>
      </c>
    </row>
    <row r="3152" spans="1:13">
      <c r="A3152" s="1">
        <f>HYPERLINK("http://www.twitter.com/NathanBLawrence/status/988217792741740549", "988217792741740549")</f>
        <v/>
      </c>
      <c r="B3152" s="2" t="n">
        <v>43213.03305555556</v>
      </c>
      <c r="C3152" t="n">
        <v>0</v>
      </c>
      <c r="D3152" t="n">
        <v>28</v>
      </c>
      <c r="E3152" t="s">
        <v>3106</v>
      </c>
      <c r="F3152">
        <f>HYPERLINK("http://pbs.twimg.com/media/DbbJMs2V4AEnPCT.jpg", "http://pbs.twimg.com/media/DbbJMs2V4AEnPCT.jpg")</f>
        <v/>
      </c>
      <c r="G3152" t="s"/>
      <c r="H3152" t="s"/>
      <c r="I3152" t="s"/>
      <c r="J3152" t="n">
        <v>0</v>
      </c>
      <c r="K3152" t="n">
        <v>0</v>
      </c>
      <c r="L3152" t="n">
        <v>1</v>
      </c>
      <c r="M3152" t="n">
        <v>0</v>
      </c>
    </row>
    <row r="3153" spans="1:13">
      <c r="A3153" s="1">
        <f>HYPERLINK("http://www.twitter.com/NathanBLawrence/status/988217671639592960", "988217671639592960")</f>
        <v/>
      </c>
      <c r="B3153" s="2" t="n">
        <v>43213.03271990741</v>
      </c>
      <c r="C3153" t="n">
        <v>6</v>
      </c>
      <c r="D3153" t="n">
        <v>0</v>
      </c>
      <c r="E3153" t="s">
        <v>3107</v>
      </c>
      <c r="F3153" t="s"/>
      <c r="G3153" t="s"/>
      <c r="H3153" t="s"/>
      <c r="I3153" t="s"/>
      <c r="J3153" t="n">
        <v>0.4019</v>
      </c>
      <c r="K3153" t="n">
        <v>0</v>
      </c>
      <c r="L3153" t="n">
        <v>0.597</v>
      </c>
      <c r="M3153" t="n">
        <v>0.403</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2018-05-08T06:29:32Z</dcterms:created>
  <dcterms:modified xmlns:dcterms="http://purl.org/dc/terms/" xmlns:xsi="http://www.w3.org/2001/XMLSchema-instance" xsi:type="dcterms:W3CDTF">2018-05-08T06:29:32Z</dcterms:modified>
</cp:coreProperties>
</file>