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<sst xmlns="http://schemas.openxmlformats.org/spreadsheetml/2006/main" uniqueCount="3168">
  <si>
    <t>id</t>
  </si>
  <si>
    <t>created_at</t>
  </si>
  <si>
    <t>fav</t>
  </si>
  <si>
    <t>rt</t>
  </si>
  <si>
    <t>text</t>
  </si>
  <si>
    <t>media1</t>
  </si>
  <si>
    <t>media2</t>
  </si>
  <si>
    <t>media3</t>
  </si>
  <si>
    <t>media4</t>
  </si>
  <si>
    <t>compound</t>
  </si>
  <si>
    <t>neg</t>
  </si>
  <si>
    <t>neu</t>
  </si>
  <si>
    <t>pos</t>
  </si>
  <si>
    <t>RT @AIIAmericanGirI: Governor Eric Greitens announces resignation, effective Friday https://t.co/5Zr2UHDeix @true_pundit #AAG</t>
  </si>
  <si>
    <t>RT @WomenforTrump: Outrageous!
John McCain’s wife set to take his Senate seat according to sources in Arizona. What an insult to the people…</t>
  </si>
  <si>
    <t>RT @mark_selby723: FBI Files Document Communism in Valerie Jarrett’s Family https://t.co/4SuDl4HWLt via @JudicialWatch</t>
  </si>
  <si>
    <t>RT @RichieRichietwo: @therealroseanne .@ABC 😡 https://t.co/Gs8aeaCOuk</t>
  </si>
  <si>
    <t>RT @_LoveLike_JESUS: .
   If Christianity bores You,
     then You haven't met
                “JESUS”
 -- Retweet if you Agree --
.</t>
  </si>
  <si>
    <t>RT @CONNORFORTRUMP: WEB SITE - FULLY SECURED
https://t.co/Xn5pBfS0ao 
Is now FULLY SECURED and encrypted for the SAFETY and SECURITY of y…</t>
  </si>
  <si>
    <t>RT @Harlan: The Democratic Party has NO leadership.
The Democratic Party has NO money.
The Democratic Party has NO message.
The Democrat…</t>
  </si>
  <si>
    <t>RT @senjudiciary: Chairman @ChuckGrassley: @SenJudiciary Committee to hold hearing entitled: "Examining the Inspector General's First Repor…</t>
  </si>
  <si>
    <t>RT @MichaelDelauzon: HAPPENING NOW: Trump Rally line extends for blocks and blocks and it's growing by the second! https://t.co/5Ol4Kj8Cvn</t>
  </si>
  <si>
    <t>RT @WiredSources: INCREDIBLE: President Trump’s Nashville rally isn’t scheduled to begin for another 8.5 hours, but people are already lini…</t>
  </si>
  <si>
    <t>RT @BillOReilly: Because of press corruption, millions of Americans have stopped buying newspapers, and cable news TV operations will soon…</t>
  </si>
  <si>
    <t>RT @newtgingrich: Fabulous cathedral. https://t.co/JAHeXZb70w</t>
  </si>
  <si>
    <t>RT @kwilli1046: Absolutely!
Secretary Nielsen: "Border security is homeland security, which is national security. It's not a partisan issu…</t>
  </si>
  <si>
    <t>RT @SecPompeo: On this #MemorialDay, we remember all the men and women in uniform who've given their lives for our nation. We are forever g…</t>
  </si>
  <si>
    <t>RT @realDonaldTrump: Happy Memorial Day! Those who died for our great country would be very happy and proud at how well our country is doin…</t>
  </si>
  <si>
    <t>RT @PoliticalShort: Who was Stefan Halper’s handler? 
https://t.co/R1FBCo1TBX</t>
  </si>
  <si>
    <t>RT @redsteeze: Hello @antonio4ca Why did you delete this tweet? Is it because this was 2014 and you are no longer outraged because who this…</t>
  </si>
  <si>
    <t>RT @LazyMeatball: When I was in Jr. High i was fortunate enough to be chosen to lay a wreath at the tomb of the unknown soldier. 
Such an…</t>
  </si>
  <si>
    <t>RT @FoxNews: A US Marine salutes as participants in the Rolling Thunder annual motorcycle rally ride in Washington, D.C. #ProudAmerican htt…</t>
  </si>
  <si>
    <t>RT @rcjhawk86: #DeepState
GINGRICH: The current Robert Mueller-Justice Department-Russia mess is almost impossible to understand because i…</t>
  </si>
  <si>
    <t>RT @historylvrsclub: Johnny Cash shooting for One Piece At A Time where he steals a Cadillac, part by part, over several years. See more ph…</t>
  </si>
  <si>
    <t>RT @TheLastRefuge2: 1. Understanding "Spygate", the Big Picture. 
[staying out of the weeds] https://t.co/uaXAsYT3IW</t>
  </si>
  <si>
    <t>RT @DougSides: 😱 Just In Time For Memorial Day...
“Hillary’s America” Movie By Filmmaker Dinesh D'Souza. 
This is available free on Amazo…</t>
  </si>
  <si>
    <t>RT @Fuctupmind: Could you imagine?
It would be non stop ads of Hillary Clinton babbling about why she isn't President. 
Hillary Clinton w…</t>
  </si>
  <si>
    <t>RT @President1Trump: Motorcyclists honor veterans this memorial day weekend in the 31st annual rolling thunder! 🇺🇸🇺🇸#RollingThunder2018 #Go…</t>
  </si>
  <si>
    <t>RT @crickafer00: Whether it’s 33,000, Benghazi or her deteriorating health Hillary #Clinton is always hiding something.
#HillaryForPrison…</t>
  </si>
  <si>
    <t>RT @seanhannity: WATCH: Mike Pompeo EXPLODES on Democratic Senator... https://t.co/lnusTJj4WT</t>
  </si>
  <si>
    <t>RT @Thomas1774Paine: Texas Democrat Gubernatorial Candidate Owes $12k In Back Taxes https://t.co/MOqudy9bL2</t>
  </si>
  <si>
    <t>RT @realDonaldTrump: WELCOME HOME JOSH! https://t.co/2X0cKE4stx</t>
  </si>
  <si>
    <t>RT @VP: .@POTUS stood strong for freedom in Venezuela &amp;amp; Joshua Holt is home! Kudos to @senorrinhatch, @SenMikeLee, @RepMiaLove, @SenBobCork…</t>
  </si>
  <si>
    <t>RT @FoxNews: .@SenBobCorker on American released from Venezuelan jail: "We're just glad to have you home. A lot of people have worked for a…</t>
  </si>
  <si>
    <t>RT @realDonaldTrump: Looking forward to seeing Joshua Holt this evening in the White House. The great people of Utah are Celebrating!</t>
  </si>
  <si>
    <t>RT @FoxNews: A Labrador named Fred has adopted nine ducklings after their mother disappeared. The ducklings  sleep in Fred’s basket and fol…</t>
  </si>
  <si>
    <t>RT @realDonaldTrump: Funny to watch the Democrats criticize Trade Deals being negotiated by me when they don’t even know what the deals are…</t>
  </si>
  <si>
    <t>RT @covfefeartist: The latest from .@GrrrGraphics is a beauty!
Trump the Wizard of Twitter➡️The Oracle➡️All Knowing➡️Truth!
⤵️⤵️
If there’s…</t>
  </si>
  <si>
    <t>RT @1ClickBiz: Country Music Star Trace Adkins to Perform at Nashville Trump Rally https://t.co/ouikappwaX via @BreitbartNews</t>
  </si>
  <si>
    <t>RT @scroggstlace13: Bring it ON!  
#QanonARMY 
#TheRainMakers 
#RedPassion
#TheDragonsDen 
Julian Assange seeks audience with Adam Schiff t…</t>
  </si>
  <si>
    <t>RT @RealMAGASteve: Tony Schaffer maintains his sources are telling him that 71% of the FBI’s foreign counter-intelligence budget was divert…</t>
  </si>
  <si>
    <t>RT @realDonaldTrump: To the @NavalAcademy Class of 2018, I say: We know you are up to the task. We know you will make us proud. We know tha…</t>
  </si>
  <si>
    <t>RT @chuckwoolery: All of these #LeftMediaPlatforms, #Facebook, #Twitter, #Snapchat, all of them, are shutting down #conservative voices, be…</t>
  </si>
  <si>
    <t>RT @SonofLiberty357: Video: James Woods Shows Homeless Camp Outside Oprah Winfrey's West Hollywood Studio 
https://t.co/5BRdpBXLPi via @ga…</t>
  </si>
  <si>
    <t>RT @FoxNews: Trump makes it easier to fire poor-performing federal workers https://t.co/daxWX5H9ch https://t.co/MAGBK1o78L</t>
  </si>
  <si>
    <t>RT @birdman8272: Trump makes it easier to fire poor-performing federal workers. Just President Trump keeping his campaign promises and all…</t>
  </si>
  <si>
    <t>RT @KingKMPH: So the entire Clovis &amp;amp; Buchanan fan bases just sung the National Anthem together before the softball D-I Valley Title game.…</t>
  </si>
  <si>
    <t>RT @1Romans58: UNREAL!  The border patrol can't seal these tunnels because of environmental nonsense. WTF?!?
Environmental red tape stalls…</t>
  </si>
  <si>
    <t>RT @DeptofDefense: This is not a rally. It's not a parade. It's the #RollingThunder Ride for Freedom. Tomorrow’s ride honors those who neve…</t>
  </si>
  <si>
    <t>RT @killabeas69: Democrat Pennsylvania mayor convicted on corruption charges
https://t.co/UlB5dqoytJ</t>
  </si>
  <si>
    <t>RT @nikkihaley: I love this! ❤️ https://t.co/lIyw0wQ5V8</t>
  </si>
  <si>
    <t>RT @RepMarkMeadows: Amazing. This is what the DOJ frequently uses redactions for. 
Not for national security reasons, as they claim, but t…</t>
  </si>
  <si>
    <t>RT @realDonaldTrump: Very good news to receive the warm and productive statement from North Korea. We will soon see where it will lead, hop…</t>
  </si>
  <si>
    <t>RT @DFBHarvard: Republicans in Congress face death threats from anti-Trump #Resistance - https://t.co/e3vKaywHY7 - @washtimes
Violence is…</t>
  </si>
  <si>
    <t>RT @Jamierodr10: GOOD NEWS! Five MS-13 Members Are ARRESTED In Texas After ILLEGALITY Crossing The Border! Thank You Border Control! We Are…</t>
  </si>
  <si>
    <t>RT @ColumbiaBugle: #BREAKING Former Clinton Donor/ Supporter Harvey Weinstein surrendering himself to police in New York City. https://t.co…</t>
  </si>
  <si>
    <t>RT @WiredSources: BREAKING: Deputy Peterson Accused Of 'Covering Up' Alleged Sexual Assault By Broward Sheriff's Son - Daily Wire https://t…</t>
  </si>
  <si>
    <t>RT @realDonaldTrump: The Democrats are now alluding to the the concept that having an Informant placed in an opposing party’s campaign is d…</t>
  </si>
  <si>
    <t>RT @realDonaldTrump: Can anyone even imagine having Spies placed in a competing campaign, by the people and party in absolute power, for th…</t>
  </si>
  <si>
    <t>RT @realDonaldTrump: “Everyone knows there was a Spy, and in fact the people who were involved in the Spying are admitting that there was a…</t>
  </si>
  <si>
    <t>RT @Stilllearin: Trump presents Medal of Honor to retired Navy SEAL:
GOD BLESS YOU 
https://t.co/r4QrZJjC6N</t>
  </si>
  <si>
    <t>RT @carrieksada_: Trump Pardons First Black 
Heavyweight Boxing Champion 🥊 
(Something Obama could’ve done,
but chose not to) 
#MAGA 
ht…</t>
  </si>
  <si>
    <t>RT @UGOTTRUMPED2020: Democratic voter turnout in Texas reached historic lows this week, with fewer liberal supporters showing up during Tue…</t>
  </si>
  <si>
    <t>RT @TXRedPilled: 😡😡😡😡😡😡😡This was an intentional crime! How much longer do we have to take this? 
RIGGED: Capitol Police “Accidentally” Gav…</t>
  </si>
  <si>
    <t>RT @JacobAWohl: HUGE: Obama and Valerie Jarrett ordered Jim Comey and Loretta Lynch to gin up an email trail that would make it look like #…</t>
  </si>
  <si>
    <t>RT @Zeke311: Trump Revs Immigration Reform for November: 'We're Going to Change the System' | Breitbart https://t.co/ODK8ONf9b7</t>
  </si>
  <si>
    <t>RT @BrotherVet: BOOM 💥💥💥💥💥💥💥
A good man with a gun 
Saves Lifes in restuarant
#ConcealedCarry 
Because it Works https://t.co/0M6MhnNx0t</t>
  </si>
  <si>
    <t>RT @Happyheart411: THIS  ON  HIGHWAY  NEAR
WATERBURY. CONNECTICUT 
LIBS  ARE GOING  CRA CRA
 https://t.co/fs6qjzCPfQ</t>
  </si>
  <si>
    <t>RT @Kimbraov1: Exclusive—Stephen Miller: Big Summer Fight Brewing over Open Borders | Breitbart https://t.co/FKvMlxkBgf via @BreitbartNews</t>
  </si>
  <si>
    <t>RT @TempusSpiritus: GOP Takes Six-Point Lead in Midterm Generic Tracking Poll | BREITBART 
#MAGA 🇺🇸 #KAG 🇺🇸 #WINNING 
👍  👍  👍  👍  👍  👍  👍…</t>
  </si>
  <si>
    <t>RT @dcexaminer: Rachel Dolezal, woman who pretended to be black, charged with welfare fraud https://t.co/lChSCjyvEC https://t.co/qTPU7Bo8M4</t>
  </si>
  <si>
    <t>RT @NJ_Optimist: 🔹NEW JERSEY RESIDENTS 🔹ATTENTION 
🔹FIRST GOP SENATOR 46 years
🔹MAKE IT REALITY 2018
🔹VOTE @BobHugin JUNE 5
@PoliticalShor…</t>
  </si>
  <si>
    <t>RT @WiredSources: BREAKING: Morgan Freeman accused of sexual misconduct by multiple women.</t>
  </si>
  <si>
    <t>RT @WiredSources: JUST IN: The RNC and Trump Campaign 2020 sent a letter to Facebook and Twitter demanding answers about the political bias…</t>
  </si>
  <si>
    <t>RT @TT45Pac: SENATOR LEE REVEALS Justice Kennedy Is About To RETIRE…Wants Republican President To Replace Him https://t.co/CL6JUxy6WK via @…</t>
  </si>
  <si>
    <t>RT @realDonaldTrump: Sadly, I was forced to cancel the Summit Meeting in Singapore with Kim Jong Un. https://t.co/rLwXxBxFKx</t>
  </si>
  <si>
    <t>RT @dbongino: This is a disgraceful comment by a disgraceful politician. https://t.co/ZJQmMfFjSF</t>
  </si>
  <si>
    <t>RT @historylvrsclub: In 1914, a boy chained his bike to a tree to fight in the war. He never returned https://t.co/kWIy2LQwUP</t>
  </si>
  <si>
    <t>RT @WiredSources: BREAKING: Sec. of State Mike Pompeo tells Senate Foreign Relations Committee that President Trump cancelled meeting with…</t>
  </si>
  <si>
    <t>RT @FoxNews: WATCH: @POTUS on his decision to cancel the planned North Korea summit. https://t.co/UlzBnkOdzs https://t.co/LTKbqNDfNU</t>
  </si>
  <si>
    <t>RT @ChristiCraddick: The U.S. will continue to set oil production records over the next 5 years, accounting for more than half of the world…</t>
  </si>
  <si>
    <t>RT @realDonaldTrump: It was my great honor to host a roundtable re: MS-13 yesterday in Bethpage, New York. Democrats must abandon their res…</t>
  </si>
  <si>
    <t>RT @Tony19542: MORE DEEP STATE LIES! Lawmakers Nunes and Gowdy DID NOT RECEIVE Unredacted Documents They Sought From DOJ-FBI Today https://…</t>
  </si>
  <si>
    <t>RT @prayingmedic: All have sinned and fallen short of the glory of God.
Some who have railed the loudest against the crimes of the deep st…</t>
  </si>
  <si>
    <t>RT @TheLastRefuge2: Timing – Chairman Goodlatte and Chairman Gowdy Schedule Testimony From Bill Priestap… https://t.co/Q6qPrk9wZ7 https://t…</t>
  </si>
  <si>
    <t>RT @FoxNews: News Alert: North Korea says @POTUS' decision to scrap the summit is not in line with the world's wishes and it is willing to…</t>
  </si>
  <si>
    <t>RT @JackPosobiec: Raise your hand if you want to know what was in Hillary’s 33,000 deleted emails</t>
  </si>
  <si>
    <t>RT @Joe_America1776: "Bodycam Challenges Talcum-X aka Shaun King’s Claim That Texas Trooper Raped Woman"  https://t.co/8Lq79HlYFz #TCOT #MA…</t>
  </si>
  <si>
    <t>RT @historylvrsclub: The very first rocket launch from Cape Canaveral, Florida in 1950. https://t.co/xMH7ZVWSM3</t>
  </si>
  <si>
    <t>RT @realDonaldTrump: Not surprisingly, the GREAT Men &amp;amp; Women of the FBI are starting to speak out against Comey, McCabe and all of the poli…</t>
  </si>
  <si>
    <t>RT @solentgreenis: Goodbye farewell!  Auf Wiedersehen !
VOTE THEM OUT! https://t.co/fOZJV44pq1</t>
  </si>
  <si>
    <t>RT @dcexaminer: State police pull over tractor trailer, find 88 illegal immigrants inside https://t.co/hogbikK26D https://t.co/7Ryhy1osII</t>
  </si>
  <si>
    <t>RT @DBloom451: STRENGTH: Trump cancels meeting after North Korea's @VP insult.
WEAKNESS: Iran continually shouted and berated the United S…</t>
  </si>
  <si>
    <t>RT @TT45Pac: Secretary of State Mike Pompeo testifies before the Senate Foreign Relations Committee.  
He reads the letter to North Korea…</t>
  </si>
  <si>
    <t>RT @Tony19542: Kim J U..Is Getting Schooled On "The Art Of The Deal"..Our President Is A Master Negotiator Probably The Best Negotiator The…</t>
  </si>
  <si>
    <t>RT @FoxNews: .@WhiteHouse pulls out of summit with North Korea's Kim Jong Un; @johnrobertsFox reports https://t.co/UlzBnkOdzs https://t.co/…</t>
  </si>
  <si>
    <t>RT @SickOfTheSwamp: @JohnMcGeever70 All aboard Car 2. Texas Express. 
@MissyAndTerry 
@WithMyPrez4Ever 
@Oligarchy100 
@wellexcuseme
@savan…</t>
  </si>
  <si>
    <t>RT @DanCovfefe1: @thebradfordfile #SPYGATE https://t.co/8j7StWVJa2</t>
  </si>
  <si>
    <t>RT @derekahunter: She doesn't have a name, but she's got a whole bunch of liberal identity politics labels. https://t.co/KnvCrZZVUV</t>
  </si>
  <si>
    <t>RT @NameRedacted7: Backup account for Stealth Jeff 👇 @BrianDCates 
Give him a follow!</t>
  </si>
  <si>
    <t>RT @realDonaldTrump: Everybody is with Tomi Lahren, a truly outstanding and respected young woman! @foxandfriends</t>
  </si>
  <si>
    <t>RT @JackPosobiec: July 2017 tweet https://t.co/lAOqHafkyo</t>
  </si>
  <si>
    <t>RT @DiamondandSilk: All of a sudden Don Lemon on the very Fake News is concerned about NFL players Freedom of Speech, but when @DiamondandS…</t>
  </si>
  <si>
    <t>RT @julieaallen1958: 🍃🍃 I Believe in Him 🍃🍃🍃💙 https://t.co/raviRyDkoB</t>
  </si>
  <si>
    <t>RT @JacobAWohl: She looks truly demented  https://t.co/XYLhJbhfme</t>
  </si>
  <si>
    <t>RT @WiredSources: BREAKING: FBI Agent Joe Pientka who interviewed General Flynn plans to testify against Comey and McCabe, adds “It was all…</t>
  </si>
  <si>
    <t>RT @tedcruz: Very cool. After spending all day in the Senate Armed Services Committee, I went to dinner &amp;amp; suddenly, in to the restaurant wa…</t>
  </si>
  <si>
    <t>RT @NevadaJack2: The friendly folks at CNN were fuming yesterday after a correspondent and her cameraperson, along with those from the Asso…</t>
  </si>
  <si>
    <t>RT @realDonaldTrump: Great to be in New York for the day. Heading back to the @WhiteHouse now, lots of work to be done! https://t.co/w3LUiQ…</t>
  </si>
  <si>
    <t>RT @joshdcaplan: REPORT: Rank-and-File FBI Agents Eager to Blow Whistle on Comey, Holder, Lynch
https://t.co/BQiLTB3Pjx</t>
  </si>
  <si>
    <t>RT @RealSaavedra: Longtime Clinton ally Mark Penn blasts Mueller’s investigation: “This doesn't seem like an American democracy.” https://t…</t>
  </si>
  <si>
    <t>RT @bbusa617: BOOM: Netflix boycott CRUSHES goal https://t.co/V8SGNGJPUE
LESS THAN 24HRS "I LOVE MY FREEDOM. ORG" Started A Boycott Netfli…</t>
  </si>
  <si>
    <t>RT @TheLastRefuge2: How the Clinton-Emails Investigation Intertwined with the Russia Probe https://t.co/BZvNyUVNqn</t>
  </si>
  <si>
    <t>RT @realDonaldTrump: Will be interviewed on @foxandfriends tomorrow morning at 6:00 A.M. Enjoy!</t>
  </si>
  <si>
    <t>RT @VanessaL43: Congress members whine about election meddling but don’t show up to the classified briefing to hear about it....It didn’t g…</t>
  </si>
  <si>
    <t>RT @John_KissMyBot: Exactly, Why Wait !! 
Rep Paul Gosar Is Calling For Paul Ryan to Be REPLACED NOW With Jim Jordan as Speaker Of The Hou…</t>
  </si>
  <si>
    <t>RT @FriendlyJMC: The liberal media is exploding over Trump having a meeting with the DOJ. 
1) the DOJ is part of the executive branch whic…</t>
  </si>
  <si>
    <t>RT @Thomas1774Paine: Following Iran Withdrawal, US Hits Record High in Oil and Gas Production https://t.co/XOYeeh6MBN</t>
  </si>
  <si>
    <t>RT @JackPosobiec: Oh https://t.co/QCbhEgpwaG</t>
  </si>
  <si>
    <t>RT @JackPosobiec: Comey testified Congress was not briefed on the Trump investigation in 2016
Brennan testified Congress was fully briefed…</t>
  </si>
  <si>
    <t>RT @mitchellvii: Comey Rips Trump’s ‘Attacks’ on the FBI: ‘How Will Republicans Explain This to Their Grandchildren?’
"Ya see kids, someti…</t>
  </si>
  <si>
    <t>RT @LisaMei62: Good!! https://t.co/AEIb3mU9Wc</t>
  </si>
  <si>
    <t>RT @dcexaminer: NEW: Devin Nunes' fundraising explodes amid aggressive defense of Trump from Russia probe https://t.co/G1gnTcNBZk https://t…</t>
  </si>
  <si>
    <t>RT @Thomas1774Paine: BOMBSHELL &amp;amp; Twitter Won't Allow People to RT -- PLEASE SHARE -- FBI Agents Spill Beans on Comey &amp;amp; McCabe-Era Threats A…</t>
  </si>
  <si>
    <t>RT @realDonaldTrump: Today on Long Island, we were all moved to be joined by families who have suffered unthinkable heartbreak at the hands…</t>
  </si>
  <si>
    <t>RT @realDonaldTrump: Crippling loopholes in our laws have enabled MS-13 gang members and other criminals to infiltrate our communities - an…</t>
  </si>
  <si>
    <t>RT @REALBASEDBLONDE: FBI’s Embedded Trump-Campaign Spy ‘Vanished’ in Sept. 2017; Is Halper Dead or Playing Dead? Halper is a professor @  U…</t>
  </si>
  <si>
    <t>RT @CuteScarley: YES!  Keep it going. No More RINOS
Establishment Loses Big as Grassroots Candidates Surge in Texas, Georgia | Breitbart h…</t>
  </si>
  <si>
    <t>RT @spudahoi90: Part I - The FISA Court Grants The Authority, Not The Ability... https://t.co/Q4QhE2snOh via @thelastrefuge2</t>
  </si>
  <si>
    <t>RT @thehill: NFL may call 15-yard penalties on players who kneel during national anthem: report https://t.co/o8N6tts6Yr https://t.co/vd9vab…</t>
  </si>
  <si>
    <t>RT @_LoveLike_JESUS: .
       BECAUSE HE LIVES
  I CAN FACE TOMORROW
-- Retweet if you Believe --
.</t>
  </si>
  <si>
    <t>RT @FedupWithSwamp: John Kelly says... YOU'RE FIRED!!! https://t.co/8Cr9kVuNyK</t>
  </si>
  <si>
    <t>RT @GartrellLinda: Send ALL of these illegal invaders who will drain our resources back home
As CA Rolls Out Welcome Mat for Caravan of Ill…</t>
  </si>
  <si>
    <t>RT @dcexaminer: Jimmy Carter: Trump could win Nobel Peace Prize https://t.co/eXbSkSgxz0 https://t.co/AtgtwG7BJi</t>
  </si>
  <si>
    <t>RT @RobHighfill82: A third mole in the Whitehouse with ties to McMaster and Soros, soon to be exposed!
Fiona Hill
#MAGA #ARIELSARMY https:/…</t>
  </si>
  <si>
    <t>RT @BreitbartNews: Must have written one h*ck of a whitepaper! https://t.co/5h36HeQ8ZG</t>
  </si>
  <si>
    <t>RT @almostjingo: BOOM! Remember this? This breach caused Sanders to be cutoff from the system and he had to pay a huge fine. https://t.co/p…</t>
  </si>
  <si>
    <t>RT @RealSaavedra: Head of ICE scolds House Democrat: Don’t call us anti-immigrant for enforcing laws passed by Congress https://t.co/BQwaYK…</t>
  </si>
  <si>
    <t>RT @realDonaldTrump: It was my honor to welcome @NASCAR Cup Series Champion @MartinTruex_Jr and his team to the @WhiteHouse yesterday! http…</t>
  </si>
  <si>
    <t>RT @FireUpMAGAKAG: BOOM! Former Trump Campaign Aide Michael Caputo: Federal Agency Attempted to GIVE ME HILLARY EMAILS! (VIDEO) https://t.c…</t>
  </si>
  <si>
    <t>RT @RealMAGASteve: Retweet - if you agree with Sean Hannity who has endorsed @Jim_Jordan for “Speaker of the House” when the election is he…</t>
  </si>
  <si>
    <t>RT @Trey_VonDinkis: #LeftistSedition  #LeftistPropaganda #LaughableLeftists
.
.
.☔️STORMY FRONT - CLOWN 'LAWYER' AVENATTI HIT w/ BANKRUPTCY…</t>
  </si>
  <si>
    <t>RT @EricTrump: After 5 days on the road to @StJude, @TrumpLasVegas and @TrumpGolfLA I can’t wait to get home to this little stud. Truly ama…</t>
  </si>
  <si>
    <t>RT @tammy_coldwell: #IranProtests
#Breaking
#FreeIran 
#RegimeChange https://t.co/j9CA3JWHmx</t>
  </si>
  <si>
    <t>RT @cs0058sc: 🔴🔵CALLING TEXAS, GEORGIA, ARKANSAS and KENTUCKY MAGA PATRIOTS....
Primaries May 22nd...We need you out in force at the polls…</t>
  </si>
  <si>
    <t>RT @FoxNews: JUST IN: Teen arrested in death of Maryland police officer; 3 suspects still being sought, authorities say https://t.co/N4mXDm…</t>
  </si>
  <si>
    <t>RT @PoliticalShort: Senator Ron Johnson letter to the FBI regarding Steele dossier. Explosive new e-mails show FBI brass discussed dossier…</t>
  </si>
  <si>
    <t>RT @DBloom451: THIS IS JUST BEGINNING!
According to Michael Caputo, Stefan Halper was not the only @CIA / @FBI asset the Obama Administrat…</t>
  </si>
  <si>
    <t>RT @BreitbartNews: https://t.co/hm1JDD1HXK</t>
  </si>
  <si>
    <t>RT @GrrrGraphics: Reminder: The Liar in Chief's own words..“I guarantee that there is no political influence in any investigation conducted…</t>
  </si>
  <si>
    <t>RT @GrrrGraphics: So much for that "Sssssscandal " free Obama Administration...
#Hillary #Benghazi #UraniumOne   #BenGarrison #cartoon  
ht…</t>
  </si>
  <si>
    <t>RT @tracybeanz: Epic. https://t.co/4YHaOm4Bha</t>
  </si>
  <si>
    <t>RT @intheMatrixxx: Could be a big day at the CIA HQ. Here is @POTUS’s Schedule for Monday. 
Also, President Moon of South Korea will be co…</t>
  </si>
  <si>
    <t>RT @MilitaryEarth: Honoring Air Force 1st Lt. Roslyn L. Schulte who sacrificed her life nine years ago today in Afghanistan. Please help me…</t>
  </si>
  <si>
    <t>RT @rcjhawk86: #cultLEFT #Pizzagate
🍕 New scrutiny on Tony Podesta as Trump directly asked why he hasn't been charged
https://t.co/y7btBz…</t>
  </si>
  <si>
    <t>RT @DFBHarvard: The #ObamaLegacy is going to collapse from the weight of its own deceit &amp;amp; arrogance.
There is no "plausible deniability" f…</t>
  </si>
  <si>
    <t>RT @SonofLiberty357: Understatement of the year ⬇️ 
Jonathan Turley: “I think it is undeniable that the president’s early allegations have…</t>
  </si>
  <si>
    <t>RT @DRUDGE_REPORT: MARK PENN UNLEASHES ON MUELLER: 'DEEP STATE' DESPERATE... https://t.co/QMXPkAGnkP</t>
  </si>
  <si>
    <t>RT @girl4_trump: Yep they're not going down easy. This isn't just #Obama. Someone is behind him, groomed him, paid for his schooling and pu…</t>
  </si>
  <si>
    <t>RT @therealcornett: JW President @TomFitton: “Judicial Watch uncovered some new emails that are pretty startling, because they show collusi…</t>
  </si>
  <si>
    <t>RT @tammy_coldwell: #BREAKING
Secretary Pompeo sets out 12 things Iran must do before US will lift  new sanctions. Otherwise US will “crush…</t>
  </si>
  <si>
    <t>RT @PoliticalShort: Next year marks the 40th anniversary of the revolution in Iran. At this milestone we have to ask, what has the Iranian…</t>
  </si>
  <si>
    <t>RT @DineshDSouza: Translation: It’s very disturbing that our guys may be caught red-handed trying to drag Hillary across the finish line ht…</t>
  </si>
  <si>
    <t>RT @RepMarkMeadows: Bold initiatives. Strong resolve. Proud to watch my friend @SecPompeo outline the Trump administration's demands to add…</t>
  </si>
  <si>
    <t>RT @TomFitton: IG investigation necessary but not enough. @JudicialWatch doing its own investigation on Obama's spying on @realDonaldTrump…</t>
  </si>
  <si>
    <t>RT @DevinNunes: Part 2 of my interview with @MariaBartiromo https://t.co/qHLwAjqMRF</t>
  </si>
  <si>
    <t>RT @historylvrsclub: If you are a 70's child you will know all about the Raleigh Chopper. https://t.co/WTrlHBMVc7</t>
  </si>
  <si>
    <t>RT @EricTrump: It is emotional day being back at @StJude in celebration of our dear friend Colin! He was a beautiful child who we will all…</t>
  </si>
  <si>
    <t>RT @RepDeSantis: Thanks for responding favorably to the letter I sent with @Jim_Jordan and @RepMarkMeadows. Let’s cut through the recalcitr…</t>
  </si>
  <si>
    <t>RT @DevinNunes: Part 1 of my interview with @MariaBartiromo https://t.co/TWTfp59AG1</t>
  </si>
  <si>
    <t>RT @FoxNews: During a speech detailing the United States’ new Iran strategy, @SecPompeo said that America will not renegotiate the Iran dea…</t>
  </si>
  <si>
    <t>RT @RepMarkMeadows: This is the right call from @realDonaldTrump--we've seen disturbing evidence that the FBI engaged in political targetin…</t>
  </si>
  <si>
    <t>RT @dcexaminer: Devin Nunes: No more meetings with leaky DOJ until they cough up documents https://t.co/98sUyEutdC https://t.co/XvwiVqAvRX</t>
  </si>
  <si>
    <t>RT @SavingAmerica4U: 🔴Well, Well, Well... BUSTED AGAIN
Remember James Comey's Leaker Friend - Guess Who His Neighbor Is?
Natalia Veselnit…</t>
  </si>
  <si>
    <t>RT @Thomas1774Paine: Trump Blasts John Brennan For ‘Destruction’ Of American Faith In CIA https://t.co/BIGmv4b1Gj</t>
  </si>
  <si>
    <t>RT @gaye_gallops: ALL ROADS LEAD TO...OBAMA.Comey suddenly SILENT.BHO campaign paid PERKINS COIE $972,000 whom filed with the FEC and SECRE…</t>
  </si>
  <si>
    <t>RT @SecPompeo: We ask the Iranian people: do you want your country to be known as a co-conspirator with #Hizballah, #Hamas, #Taliban, and #…</t>
  </si>
  <si>
    <t>RT @lawcrimenews: Attorneys for a group accused of funding Russian trolling efforts during the 2016 election claimed that Mueller's team li…</t>
  </si>
  <si>
    <t>RT @JohnWHuber: Wasting taxpayer money to bludgeon political opponents isn't @ChuckGrassley's job
He does that for free 👊👊👊
He's going to…</t>
  </si>
  <si>
    <t>RT @ROHLL5: No Words..... 
#ROHLL5 https://t.co/lwiHeY9blh</t>
  </si>
  <si>
    <t>RT @CharlieDaniels: Benghazi ain’t going away.</t>
  </si>
  <si>
    <t>RT @ROCKONOHIO: 180 of them are convicted criminals or have criminal charges pending! https://t.co/O8czolPyL8</t>
  </si>
  <si>
    <t>RT @GayRepublicSwag: The Gay Republican's Message to the Democratic Party. "You don't own people!" "This gay man is saying NO!" The Democra…</t>
  </si>
  <si>
    <t>RT @bgood12345: 🚨LEAKER GOES SILENT‼️👉🐀Dirty Cop Comey goes silent after News Breaks he was running spies in the Trump Campaign‼️#LockHimUp…</t>
  </si>
  <si>
    <t>RT @RedNationRising: Blessed is the nation whose God is The Lord. ~ Psalm 33:12 #GodBlessAmerica https://t.co/l9hXUzjxsI</t>
  </si>
  <si>
    <t>RT @InGodIDoTrust: The Good News?….Halper has been outed.  The Sunlight is on him.
Let the Swamp Draining commence.
@realDonaldTrump @POTUS…</t>
  </si>
  <si>
    <t>RT @mad_liberals: Donald Trump Caters to the Liberals With A Pan Flute Performance! #PanFlute #DonaldTrump
Version 2!  I fixed the sizes o…</t>
  </si>
  <si>
    <t>RT @Tombx7M: The Democrats stronger together with MS13 
#Trump #Qanon #Kag #MAGA #SaturdayMorning
#Tcot #ccot #WakeupAmerica #AMjoy https:/…</t>
  </si>
  <si>
    <t>RT @KenPaxtonTX: Have a blessed Sunday! https://t.co/N9tYIWQA8e</t>
  </si>
  <si>
    <t>RT @PurpleIsCovfefe: There was no reason to claim profiling. He tried to set race relations back for no reason. This is the kind of stuff t…</t>
  </si>
  <si>
    <t>RT @intheMatrixxx: "Council of churches: 20 priests from evangelical church among the dead in Cuban plane crash."
Chilli's 34 bishops RESIG…</t>
  </si>
  <si>
    <t>RT @LindaHale8006: Taxpayer-Funded Aid to Northwest Syria is ended by President Trump as he docuses on defeating ISIS.
Report: Trump Ends…</t>
  </si>
  <si>
    <t>RT @TT45Pac: .@netanyahu: "[Iran is] trying to conquer the Middle East with the money from the nuclear deal. So I think what [@POTUS] has d…</t>
  </si>
  <si>
    <t>RT @Golfinggary5221: This has to stop! Huge sex abuse crisis in Chile Catholic Church. ALL Chilean Bishops Resign En Masse over Sex Abuse C…</t>
  </si>
  <si>
    <t>RT @RealTT2020: @SterlingSpector @solentgreenis @RealErinCruz @CudaDebbie @KatTheHammer1 @Corp125Vet @AMccloggan01 @Daisy49103 @SongBird4Tr…</t>
  </si>
  <si>
    <t>RT @ScottPresler: As @ACTforAmerica's Lead Activism Strategist, I spoke at Anaheim City Hall about how we are fighting a counter-culture th…</t>
  </si>
  <si>
    <t>RT @InnercircleJ: NOTICE THE PATTERN #qanon https://t.co/0S1mP9fjcA</t>
  </si>
  <si>
    <t>RT @thehill: EU tells Iran it will stick by nuclear deal despite Trump withdrawal https://t.co/PHfMir6gks https://t.co/6n5sRJLUg2</t>
  </si>
  <si>
    <t>RT @55true4u: #QAnon 👇 https://t.co/kGX4roPNgp</t>
  </si>
  <si>
    <t>RT @hzahaley: I bet we won't hear anything about this with any MSM outlets. Makes you wonder why this kind of story is suppressed. Some of…</t>
  </si>
  <si>
    <t>RT @bbusa617: https://t.co/Zihf9qOJOi
FORMER 👉 "DEMOCRAT"👈 CALIFORNIA SENATOR &amp;amp; BIG GUN CONTROL ADVOCATE Gets 5 Years In Prison For Gun Ru…</t>
  </si>
  <si>
    <t>RT @realDonaldTrump: If the FBI or DOJ was infiltrating a campaign for the benefit of another campaign, that is a really big deal. Only the…</t>
  </si>
  <si>
    <t>RT @RealJamesWoods: Is this astonishing thread true?  If so, how can one argue a #DeepState doesn’t exist? https://t.co/qPieqAzsMx</t>
  </si>
  <si>
    <t>RT @realDonaldTrump: Happy #ArmedForcesDay to our GREAT military men and women for their selfless service to our Nation! https://t.co/jbJvr…</t>
  </si>
  <si>
    <t>RT @realDonaldTrump: Great to have our incredible First Lady back home in the White House. Melania is feeling and doing really well. Thank…</t>
  </si>
  <si>
    <t>RT @RNcat50: They Just Screwed Over the Backbone of Our Country to Protect Illegals and Welfare Recipients 🤨
House fails to pass farm bill…</t>
  </si>
  <si>
    <t>RT @tedcruz: Joining Gov. @GregAbbott_TX &amp;amp; other officials in Santa Fe shortly for briefing &amp;amp; press conference regarding today’s shooting.…</t>
  </si>
  <si>
    <t>RT @JoeFreedomLove: House Freedom Caucus Gets A “Win” By Sinking The Farm Bill https://t.co/6xvVvj0kzu</t>
  </si>
  <si>
    <t>RT @smalltownandrew: https://t.co/eo00M8kasw @seanhannity @FoxNews Huge props to  the most loyal Trump supporting anchor on TV from day one…</t>
  </si>
  <si>
    <t>RT @FoxNews: .@VP offered his prayers in response to the Santa Fe High School shooting. https://t.co/kiDgZSp1MN https://t.co/zyN1zx2DIK</t>
  </si>
  <si>
    <t>RT @historylvrsclub: U.S. chess prodigy Bobby Fisher playing 50 opponents at once. He won 47, lost 1, and drew 2. 1964 https://t.co/qzx9Cpr…</t>
  </si>
  <si>
    <t>RT @DougSides: 😢😞😢 WHERE IS GOD?
When we see evil, violence and death we are tempted to blame God.
📖 In John 10:10 (in the Bible), Jesus…</t>
  </si>
  <si>
    <t>RT @chuckwoolery: FOX NEWS CONFIRMS: Obama’s Weapons Ended Up In Hands of ISIS https://t.co/KeIkc1D0Dq https://t.co/Dppi2zl9h1</t>
  </si>
  <si>
    <t>RT @BusterUSMC: 24. Thus, the Obama administration used the abundant 'power of government'  apparatus to incorporate full-scale surveillanc…</t>
  </si>
  <si>
    <t>RT @birdman8272: HEY, DE NIRO, still want to trash Trump? Robert De Niro Caught In International Underage Prostitution Ring #QAnon  https:/…</t>
  </si>
  <si>
    <t>RT @1776Stonewall: Do you know who officer Mark Dallas is? No? How about Officer Blaine Gaskill? No idea, right? Well they are both heroes…</t>
  </si>
  <si>
    <t>RT @charliekirk11: Did you know: 
1 out of 8 of ALL circuit court judges in America have been appointed by President Trump, all strong con…</t>
  </si>
  <si>
    <t>RT @SusanStormXO: ✝️Dear GOD , 
   Please Lay your hands on these Families. Give them the strength on this HORRIFIC DAY of tragedy. 🙏
 👉😢😢…</t>
  </si>
  <si>
    <t>RT @Jamierodr10: President Trump To side with Devin Nunes for Russia inquiry Documents from DOJ..  Thank you Devin Nunes For never giving u…</t>
  </si>
  <si>
    <t>RT @JackPosobiec: Larry is right. We need to stop focusing on pawns and focus on the directors of this travesty https://t.co/Qp1DjYVDPH</t>
  </si>
  <si>
    <t>RT @WiredSources: BREAKING: President Trump will nominate Acting Veterans Affairs Secretary Robert Wilkie to lead the department - Fox</t>
  </si>
  <si>
    <t>RT @JackPosobiec: If you think that’s bad wait til you hear what the CIA did https://t.co/91I2AcKdiG</t>
  </si>
  <si>
    <t>RT @Thomas1774Paine: Fox News Names Its First Female CEO: ‘She Has Now Made History’ https://t.co/H7hwEuBC55</t>
  </si>
  <si>
    <t>RT @FoxNews: Moments ago, President @realDonaldTrump made remarks about the shooting at Santa Fe High School in Texas. https://t.co/vuiToAw…</t>
  </si>
  <si>
    <t>RT @SaraCarterDC: Wait... Clapper the leaker who denied the IC was being used to spy on the Trump campaign, now says it was a good thing th…</t>
  </si>
  <si>
    <t>RT @realDonaldTrump: School shooting in Texas. Early reports not looking good. God bless all!</t>
  </si>
  <si>
    <t>RT @LibertyIsLight: #releasethecures #BigPharma #Qanon #WWG1WGA https://t.co/bWHU90CgnR</t>
  </si>
  <si>
    <t>RT @CharlieDaniels: This is the reason Hillary lost the election. What is it? Danged if I know but it makes as much sense as anything else…</t>
  </si>
  <si>
    <t>RT @joshdcaplan: Santa Fe ISD police chief says explosive devices have been "found in the high school &amp;amp; surrounding areas adjacent to the h…</t>
  </si>
  <si>
    <t>RT @kylie_oneil75: White House aide taped meetings with Trump to impress friends: report https://t.co/Pb5SObircJ</t>
  </si>
  <si>
    <t>RT @realDonaldTrump: We grieve for the terrible loss of life, and send our support and love to everyone affected by this horrible attack in…</t>
  </si>
  <si>
    <t>RT @Farberyanki: Shabbat Shalom and Happy #Shavuot . we are now entering two days of celebrations and dairy foods, two days of prayers for…</t>
  </si>
  <si>
    <t>RT @REALBASEDBLOND2: HISTORY MADE: Gina Haspel confirmed as new CIA Director, becoming the first woman to serve in the position. Glass Ceil…</t>
  </si>
  <si>
    <t>RT @FoxBusiness: .@VP Mike Pence delivers remarks at the Prison Reform Summit hosted by the @WhiteHouse. https://t.co/eR6GLITXF3</t>
  </si>
  <si>
    <t>RT @pjbowles4: #DJTrumplicans
@cfreedberg
@RARRRRR
@Americanvet1219
@VFWd
@congressdied
@suprdupe
@RogueWarrior098
@formulalol 
@BobHarr194…</t>
  </si>
  <si>
    <t>RT @thebradfordfile: Dear MSNBC:
There was an FBI mole in the Trump campaign--planted to trigger the entire Russian conspiracy farce.
YOU…</t>
  </si>
  <si>
    <t>RT @Thomas1774Paine: Giuliani: FBI May Have Put ‘Two Spies’ Into Trump Campaign https://t.co/YWt0LPwn1D</t>
  </si>
  <si>
    <t>RT @Rabbit_Tracks: OPERATION HURRICANE: NSA vs CIA
Adm Rogers, Clapper, &amp;amp; Brennan testified to congress in a classified hearing yesterday.…</t>
  </si>
  <si>
    <t>RT @realDonaldTrump: Reports are there was indeed at least one FBI representative implanted, for political purposes, into my campaign for p…</t>
  </si>
  <si>
    <t>RT @rising_serpent: Yes, a Perkins Coie lawyer who was Obama's legal advisor is out. 
Perkins Coie was the firm that commissioned the Trump…</t>
  </si>
  <si>
    <t>RT @Redhead4645: Republicans must come out for strong republican candidates! These primaries are important to get the best #MAGA candidates…</t>
  </si>
  <si>
    <t>RT @SIEMPRE_FIDEL: The #FBI is coming down 1 brick at a time...   “Strzok is now cooperating with the Inspector General as well as Lisa Pag…</t>
  </si>
  <si>
    <t>RT @Golfinggary5221: “ I never did give anybody hell.  I just told the truth and they thought it was hell.“
~Harry S. Truman 
Pres. Trump t…</t>
  </si>
  <si>
    <t>RT @JacobAWohl: HUGE! Federal Records reveal that Obama, Clapper and Brennan Paid Stefan Halper $282,295 to SPY ON THE TRUMP CAMPAIGN! http…</t>
  </si>
  <si>
    <t>RT @JudicialWatch: ICYMI: JW visited frustrated ranchers &amp;amp; residents in Sierra Vista, a Cochise County town located 75 miles southeast of T…</t>
  </si>
  <si>
    <t>RT @JackPosobiec: Raise your hand if you think MS-13 are animals</t>
  </si>
  <si>
    <t>RT @BreitbartNews: Ruh roh. https://t.co/VBzwHJLhFF</t>
  </si>
  <si>
    <t>RT @GrrrGraphics: #JerryBrown 2020?  Bring it! 
“When the MS-13 comes in, when the other gang members come into our country, I refer to the…</t>
  </si>
  <si>
    <t>RT @USAloveGOD: #ICE arrests 78 in five-state #immigration sweep in Midwest
62 of people arrested had prior criminal convictions; 31 had r…</t>
  </si>
  <si>
    <t>RT @JudgeJeanine: Earlier this morning on Fox &amp;amp; Friends, Judge Jeanine gave an exclusive look at her interview with Prime Minister @netanya…</t>
  </si>
  <si>
    <t>RT @ReneeCarrollAZ: #FridayFeeling
☕Good Morning Patriots☕
"...this one thing I do, forgetting those things which are behind, and reaching…</t>
  </si>
  <si>
    <t>RT @girl4_trump: There's NO REASON to interview @realDonaldTrump. There's #NoCollusuion #NoObstruction. Don't do it Mr President. #Mueller…</t>
  </si>
  <si>
    <t>RT @LisaMei62: Here's the report: https://t.co/GL5OVhqmuy</t>
  </si>
  <si>
    <t>RT @kylie_oneil75: Mueller Hits PEAK DESPERATION – Look What He’s Planning to do NOW https://t.co/1t9yoPeBdl via @truthfeednews</t>
  </si>
  <si>
    <t>RT @dcexaminer: White House closes off daily meeting to certain staff: Report https://t.co/GJpuYNWwAb https://t.co/hd8Dmi6zof</t>
  </si>
  <si>
    <t>RT @realDonaldTrump: “Apparently the DOJ put a Spy in the Trump Campaign. This has never been done before and by any means necessary, they…</t>
  </si>
  <si>
    <t>RT @JackPosobiec: Trump Doral shooter Jonathan Oddi https://t.co/3EKpRqnGHe</t>
  </si>
  <si>
    <t>RT @michaelbeatty3: ❤️This makes me very happy
#MAGA #PlannedParenthood
#FridayFeeling #LIFE ##QAnon 
https://t.co/37XxiVrT5I</t>
  </si>
  <si>
    <t>RT @Carpedonktum: NEW Video:
Mueller's new music video "Somebody I used to know" https://t.co/KPeEPJD8Iq</t>
  </si>
  <si>
    <t>RT @Joe_America1776: "Ingraham Segment: Stefan Halper “Agent Provocateur”…."  https://t.co/r1qWS5rObV #TCOT #MAGA #PJNET #RedNationRising #…</t>
  </si>
  <si>
    <t>RT @AEerren3: Muellar can taketh away, Can Muellar giveth? 
https://t.co/lQPJYwL3vo</t>
  </si>
  <si>
    <t>RT @RNRKentucky: Singing "Shake It Off" by Taylor Swift: .@realDonaldTrump 
"I Keep Cruising-Can't Stop Cruising
People's Gonna Hate, Fake…</t>
  </si>
  <si>
    <t>RT @S_Cooper0404: President Trump: "When MS-13 Gang members come into this country, I refer to them as animals and, guess what...I always w…</t>
  </si>
  <si>
    <t>RT @true_pundit: Bolton Teams Up With Kelly To Quash White House Leaks https://t.co/iNyEfMJikX</t>
  </si>
  <si>
    <t>RT @Thomas1774Paine: Singing Like a Little B*tch? -- DOJ: Key FBI Brass Flip on McCabe &amp;amp; Comey; High-Level Officials Testify Against Fired…</t>
  </si>
  <si>
    <t>RT @seanhannity: Latest from @SaraCarterDC https://t.co/49NMGTkTo1</t>
  </si>
  <si>
    <t>RT @realDonaldTrump: Tomorrow, the House will vote on a strong Farm Bill, which includes work requirements. We must support our Nation’s gr…</t>
  </si>
  <si>
    <t>RT @JudicialWatch: After JW's filing of a FOIA lawsuit with FBI, JW announced that the FBI has now agreed to actually go back &amp;amp; review all…</t>
  </si>
  <si>
    <t>RT @NameRedacted7: How much did Fusion GPS pay you Maggie? Are you still taking money from them? https://t.co/adRGe5qOK6</t>
  </si>
  <si>
    <t>RT @EricTrump: I would like to take this opportunity to remind everyone why @CNN is a complete joke: Specifically they fail to disclose tha…</t>
  </si>
  <si>
    <t>RT @LouDobbs: #LDTPoll: Do you believe the Department of Justice must immediately launch a full investigation of the Obama administration's…</t>
  </si>
  <si>
    <t>RT @CaroleAlways45: LOOK WHAT WE HAVE HERE -OMG
INTERCEPTED DEEP STATE PRIVATE CHAT: Rosenstein Was Blackmailed Into Appointing Mueller htt…</t>
  </si>
  <si>
    <t>RT @mflynnJR: .@GenFlynn in great spirits hanging with his grandson! https://t.co/7xIYVI2CD1</t>
  </si>
  <si>
    <t>RT @Bahamajoe0: Criminal Referrals were made TODAY ! Horowitz &amp;amp; Huber Pulled The Swamp Plug! Several Top Members,Past &amp;amp; Present of the FBI…</t>
  </si>
  <si>
    <t>RT @foxandfriends: School resource officer stops a gunman at an Illinois school by exchanging fire https://t.co/vT3or2yh5D</t>
  </si>
  <si>
    <t>RT @WhiteHouse: #Laurel? #Yanny? Or... https://t.co/5hth07SdGY</t>
  </si>
  <si>
    <t>RT @VP: Important briefing today with members of the National Security Telecommunications Advisory Committee on cyber security. Our adminis…</t>
  </si>
  <si>
    <t>RT @CharlieDaniels: Grammy Awards in LA 1980 https://t.co/yGLWSQmBse</t>
  </si>
  <si>
    <t>RT @LaunaSallai: ⚡️Congratulations to our new CIA Director, 
            🌺Gina Haspel 🌺
This is fantastic News! Gina Haspel would be…</t>
  </si>
  <si>
    <t>RT @TheNYevening: WSJ: FBI Planted Mole Inside the Trump Campaign Under Orders From Obama https://t.co/VozHlG1a6D https://t.co/rEZhI8fneb</t>
  </si>
  <si>
    <t>RT @PradRachael: WSJ Reporter : We've 
Confirmed the WORST US INTEL Truly was Spying on Trump Campaign, Kimberly Strassel from WSJ has 
Wri…</t>
  </si>
  <si>
    <t>RT @JulianAssange: This documentary about disintegrating freedoms within the world press and media, features Julian Assange, Daniel Ellsber…</t>
  </si>
  <si>
    <t>RT @FoxNews: .@POTUS to welcome president of Uzbekistan https://t.co/AMkUmiwEfK</t>
  </si>
  <si>
    <t>RT @KatTheHammer1: Shhhhh!!! 
Things to not say on Twitter:
Anything Liberals disagree with! 😏
#NotEveryoneGetsATrophy https://t.co/PEJy…</t>
  </si>
  <si>
    <t>RT @T_S_P_O_O_K_Y: The fix was in...the fix was deeper in than anyone could have imagined.
I told @GenFlynn in December of 2016 during the…</t>
  </si>
  <si>
    <t>RT @H0418811807: WSJ Reporter: We&amp;amp;#8217;ve Confirmed the Worst &amp;amp;#8211; US Intel Truly Was Spying on Trump Camp https://t.co/Jsxy1T4n7O</t>
  </si>
  <si>
    <t>RT @SavingAmerica4U: 🔴LEAKER FOUND: White House lawyer, Uttam Dhillon, who “misled” President Donald Trump about his authority to fire Jame…</t>
  </si>
  <si>
    <t>RT @carrieksada: Gina Haspel has been 
confirmed as the first female 
Director of the CIA. 
#KeepAmericaGreat 
#GinaHaspel https://t.co/MI…</t>
  </si>
  <si>
    <t>RT @LouDobbs: Tonight's #QuoteOfTheDay perfectly sums up the leadership of the ongoing Russia probe. #Dobbs #MAGA #TrumpTrain https://t.co/…</t>
  </si>
  <si>
    <t>RT @Sheckyi: 😡😡😡😡😡😡😡😡😡
TO THE #FakeNews 
ILL-MANNERED, COWARD, WHO SHOUTED THIS WHILE BACKS WERE TURNED, I ASK YOU, HAS THE PRESS EVER LIED…</t>
  </si>
  <si>
    <t>RT @MAGANinaJo: Wayne Dupree:  “When God open my eyes to conservatism, my world became so much larger and with meaning. I am forever gratef…</t>
  </si>
  <si>
    <t>RT @usacsmret: Democrats Announce All 2020 Candidates Will Forego Armed Security To Protest Gun Violence https://t.co/Pu6FHUCpap via @TheBa…</t>
  </si>
  <si>
    <t>RT @chuckwoolery: President Trump Vows “Full Funding” For Border Wall, Threatens Government Shutdown If Congress Doesn’t Step Up https://t.…</t>
  </si>
  <si>
    <t>RT @NBCNews: JUST IN: Senate votes to confirm Gina Haspel as CIA director https://t.co/YSVoCHUupu</t>
  </si>
  <si>
    <t>RT @StateDept: Deputy Secretary John Sullivan will travel to #BuenosAires for the #G20 Foreign Ministers’ Meeting, where he will address gl…</t>
  </si>
  <si>
    <t>RT @TheLastRefuge2: 16.  So it stands to reason in the *justification phase*, those who were previously denying their involvement, and are…</t>
  </si>
  <si>
    <t>RT @ReformAustin: Tired of scandals, corruption, and indictments in Texas government? Follow Reform Austin if you’re ready to fix our state…</t>
  </si>
  <si>
    <t>RT @deeg25: .@tedcruz:  We can count on global media elites acting as little more than propaganda arms, for Hamas and other terrorists, and…</t>
  </si>
  <si>
    <t>RT @realDonaldTrump: Congratulations America, we are now into the second year of the greatest Witch Hunt in American History...and there is…</t>
  </si>
  <si>
    <t>RT @michaelbeatty3: Q shares new article from Breitbart
on IG report that he will declare FBI, DOJ
broke the law in Clinton email probe
GOD…</t>
  </si>
  <si>
    <t>RT @Tattoobear: @TattooBear
@JCAPoquoson
@DrewStid
@zpennylane1
@737type
@ella123ella53
@drwatson101
@hornedtoad8386
@JCAPoquoson
@Dena3332…</t>
  </si>
  <si>
    <t>RT @LADINNERCLUB: @skb_sara Opps..  [insert foot in mouth] 🤣 https://t.co/g7Iuq1Y041</t>
  </si>
  <si>
    <t>RT @JacobAWohl: I'm working to confirm rumors that several DOJ/FBI Officials have tendered resignation, effective at the end of this week,…</t>
  </si>
  <si>
    <t>RT @bennyjohnson: Here is the full clip of Trump's "animals" comments. 
The CA Sheriff was lamenting not being able to report violent MS-13…</t>
  </si>
  <si>
    <t>RT @dcexaminer: Trump to NATO chief: Together we've increased money from countries who weren't paying or paying a fair share https://t.co/z…</t>
  </si>
  <si>
    <t>RT @ScottAdamsSays: One down. Who is next? https://t.co/UF9SVBx6qI</t>
  </si>
  <si>
    <t>RT @MAGANinaJo: AR, GA, KY PRIMARIES &amp;amp; TX SPECIAL ELECTION ON TUESDAY
We need a huge turnout on Tues. Remember what we have to lose if we…</t>
  </si>
  <si>
    <t>RT @realityinACTION: €..... @marcorubio.... SENATE INTEL COMMITTEE COVERING FOR IBAMA NOT DEFENDING AMERICA !
@usacsmret @mjgranger1 @nmsai…</t>
  </si>
  <si>
    <t>RT @DonnaWR8: @SusanStormXO @Grizzle_Meister @ice_princeza @evrgreensparky @GartrellLinda @RoxxxyGurL @RampsMAGARants @PaulaLanier54 @Trump…</t>
  </si>
  <si>
    <t>RT @TerranceCreamer: 1) Today, we commemorate the life of a hero, USMC Staff Sgt. Nathan Francis Lee, 29 of Hazleton, Pa. a member of "I" C…</t>
  </si>
  <si>
    <t>RT @AllenWestRepub: #DEEPSTATE https://t.co/JDOiWG68vq</t>
  </si>
  <si>
    <t>RT @FoxBusiness: MOMENTS AGO: @POTUS meets with NATO Secretary General https://t.co/bcok9NnxQw</t>
  </si>
  <si>
    <t>RT @minnman47: https://t.co/gwtjr79xme</t>
  </si>
  <si>
    <t>RT @PeterSweden7: Today is Norway Constitution Day.
I attended the celebrations and it was extremely patriotic.
There is nothing quite li…</t>
  </si>
  <si>
    <t>RT @TheJusticeDept: Michigan Home Health Agency Owner Pleads Guilty to Health Care Fraud Charges for Role in $8 Million Medicare Fraud Sche…</t>
  </si>
  <si>
    <t>RT @PARISDENNARD: Pres @realDonaldTrump donates 100% of his salary on a quarterly basis. Today, he donated his paycheck to the @DeptVetAffa…</t>
  </si>
  <si>
    <t>RT @DjLots3: #NoonPrayer Dear Lord, give us peace today knowing evil will be brought to justice. Help us shine a light that shows clear dif…</t>
  </si>
  <si>
    <t>RT @calidhd: God is in control - Man is given choices -The freedom to live within his own desires!  Satan will always attempt to dethrone G…</t>
  </si>
  <si>
    <t>RT @seanhannity: https://t.co/XkhBz1xqzC</t>
  </si>
  <si>
    <t>RT @TheNYevening: #WikiLeaks: Conservative #PopeBenedict Was Forced To Resign By ‘#DeepState ’ https://t.co/fraaTADjQD https://t.co/7BophHE…</t>
  </si>
  <si>
    <t>RT @DjLots3: BAM!!! Fingers crossed!!
#LockThemAllUp
IG found reasonable grounds FBI violated CRIMINAL LAW!  
https://t.co/WTv8xYqHcL</t>
  </si>
  <si>
    <t>RT @bigleaguepol: READ: Here’s How Comey and Brennan Used Peter Strzok To Set Up Trump and Flynn https://t.co/DxdnkpZw3j</t>
  </si>
  <si>
    <t>RT @Boeing: RELEASE: #Boeing announces more than $54 Million in grants and philanthropic investments https://t.co/qnFCM3bIvQ #TaxReform #Bo…</t>
  </si>
  <si>
    <t>RT @RealSaavedra: Nancy Pelosi defends violent MS-13 gang members in response to Trump, says they’re not animals
https://t.co/C9PPDoKF0T</t>
  </si>
  <si>
    <t>RT @FoxNews: .@PressSec: "If the media and liberals want to defend MS-13, they're more than welcome to. Frankly, I don't think the term @PO…</t>
  </si>
  <si>
    <t>RT @historylvrsclub: The Beatles waiting to cross Abbey Road, 1969. Photograph by Ian Macmillan. https://t.co/MAMZPLX1nr</t>
  </si>
  <si>
    <t>RT @realDonaldTrump: Wow, word seems to be coming out that the Obama FBI “SPIED ON THE TRUMP CAMPAIGN WITH AN EMBEDDED INFORMANT.” Andrew M…</t>
  </si>
  <si>
    <t>RT @GrrrGraphics: Crossfire Hurricane vs. Trump Tornado- I know who I'm betting on..
#ThursdayThrowback #BenGarrison #Cartoon  #ThursdayTh…</t>
  </si>
  <si>
    <t>RT @Thomas1774Paine: BREAKING -- FBI: Comey’s Memo Leaker &amp;amp; Secretly-Appointed Federal Agent Never Passed Full FBI Background Check https:/…</t>
  </si>
  <si>
    <t>RT @realDonaldTrump: Despite the disgusting, illegal and unwarranted Witch Hunt, we have had the most successful first 17 month Administrat…</t>
  </si>
  <si>
    <t>RT @TomFitton: The Obama WH/FBI/DOJ/CIA/NSA/State/ODNI targeting of @realDonaldTrump, further confirmed in @NYTIMES, was criminal. Nothing…</t>
  </si>
  <si>
    <t>RT @DonaldJTrumpJr: Weird what happenes when you take out the first sentence specifically talking about MS-13 gang members. Not surprising…</t>
  </si>
  <si>
    <t>RT @DonaldJTrumpJr: The media: These MS-13 gang members are definitely not animals. Their motto of “Kill, Rape, Control” is misunderstood a…</t>
  </si>
  <si>
    <t>RT @GartrellLinda: In case you missed this FULL INTERVIEW of Rudy Giuliani On Laura Ingraham Angle
https://t.co/gui9Z9I4cz via @YouTube</t>
  </si>
  <si>
    <t>RT @LeahR77: It’s easy to say throw the state of CA away as a lost cause, but keep in mind all the great people there FIGHTING LIKE HELL to…</t>
  </si>
  <si>
    <t>RT @4YrsToday: Is Donald Trump Jr someone you would be friends with?</t>
  </si>
  <si>
    <t>RT @MikeBastasch: Ryan Zinke’s ‘Surge’ In Border Enforcement Resulted In 13 Illegal Alien Arrests In 48 Hours https://t.co/fBcU9mTdpP via @…</t>
  </si>
  <si>
    <t>RT @flightcrew: Caroline Wiles Has Been Identified As The White House Leaker. She Was Previously The Girlfriend Of Mueller’s Rick Gates. Sh…</t>
  </si>
  <si>
    <t>RT @nwsltrMe: Look at her expression! @NicolleDWallace, that completely unhinged Never Trumper, knows @JohnBrennan is lying and has the sad…</t>
  </si>
  <si>
    <t>RT @DevinNunes: This is what real reporting looks like...time to eliminate the redacted texts for all Americans to see! https://t.co/sfPLtW…</t>
  </si>
  <si>
    <t>RT @President1Trump: #BREAKING: Obama administration ‘accidentally’, and I use that word loosely, sent arms and military equipment to Al Qa…</t>
  </si>
  <si>
    <t>RT @irshroz: What the HELL is going on? I mean really, James Woods has not been heard from in 3 days! @RealJamesWoods Where are you? https:…</t>
  </si>
  <si>
    <t>RT @DonaldJTrumpJr: He was specifically talking about MS-13, and you know it. They are animals. I know you would rather side with them than…</t>
  </si>
  <si>
    <t>RT @MZHemingway: New York Times reporting on FBI spying on Trump campaign today makes this tweet look pretty pretty pretty good. https://t.…</t>
  </si>
  <si>
    <t>RT @AmericanGirl815: #RobertMueller is indicting a Russian company that doesn’t even exist.
I’ve always known that you could indict a ham…</t>
  </si>
  <si>
    <t>RT @FoxNews: .@newtgingrich: "The system of corruption that Obama and Clinton were in charge of is gradually beginning to unravel." #Hannit…</t>
  </si>
  <si>
    <t>RT @GOP: Here's what this proud immigrant – and local mayor - had to say to President @realDonaldTrump about California's sanctuary cities…</t>
  </si>
  <si>
    <t>RT @gatewaypundit: BOOM----&amp;gt; Giuliani: Comey Should Be Under Investigation - We Won't Sit Down for Mueller Interview Unless Comey Sits Down…</t>
  </si>
  <si>
    <t>RT @KimStrassel: 1. So a few important points on that new NYT "Hurricane Crossfire" piece. A story that, BTW, all of us following this knew…</t>
  </si>
  <si>
    <t>RT @ChuckGrassley: As part of our oversight work on the Trump Russia investigation 2day my committee released 5 transcripts/thousands of pg…</t>
  </si>
  <si>
    <t>RT @skeeter980: Pay to Play   Congratulations Gov. Cuomo -- now you have every reason to be paranoid!! https://t.co/J71OtD90xZ</t>
  </si>
  <si>
    <t>RT @KokeReport: Rudy Giuliani on Russia investigation: "I wanted to ask for @HillaryClinton treatment. I wanted the report two weeks in adv…</t>
  </si>
  <si>
    <t>RT @DLoesch: Armed good guys stop murderous evil. I said this at the townhall and I’ll say it again. Thank God for this SRO. https://t.co/h…</t>
  </si>
  <si>
    <t>RT @kwilli1046: Robert Mueller will follow #DOJ guidelines that a President can not be indicted.... Giuliani - This case is essentially ove…</t>
  </si>
  <si>
    <t>RT @WhiteHouse: Today, President Trump met with mayors, sheriffs, and local state leaders from across the state of California to discuss th…</t>
  </si>
  <si>
    <t>RT @dbongino: The dumpster fire we call CNN somehow remains on the air.  https://t.co/KTEEL6dour</t>
  </si>
  <si>
    <t>RT @RealMAGASteve: JOHN SOLOMON DELIVERS A BOMBSHELL: A few weeks before the 2016 election, 3-FBI agents visited Russian Oligarch Oleg Deri…</t>
  </si>
  <si>
    <t>RT @DFBHarvard: Trump met federal disclosure requirement by reimbursing Cohen for Stormy Daniels payment: Government - https://t.co/xM9UJS8…</t>
  </si>
  <si>
    <t>RT @SecPompeo: It’s a great honor to lead the world’s finest diplomatic corps. Today, I spoke with many of the patriots at the @StateDept a…</t>
  </si>
  <si>
    <t>RT @TheLastRefuge2: Was wondering why FBI (OIG, INSD &amp;amp; Huber) let Lisa Page and Jim Baker go two weeks ago but kept a grip on Strzok…. 
I…</t>
  </si>
  <si>
    <t>RT @dcexaminer: "We got it right" when we cleared Trump of collusion, says lead House Republican https://t.co/g53k1EqvrY https://t.co/bVZYI…</t>
  </si>
  <si>
    <t>RT @Jim_Jordan: It’s high time for transparency. The DOJ and FBI have continually and repeatedly thwarted congressional oversight. We’re as…</t>
  </si>
  <si>
    <t>RT @WhiteHouse: Tonight's edition of West Wing Reads: https://t.co/otGR2NP1Vg https://t.co/nWvKItKdUI</t>
  </si>
  <si>
    <t>RT @consmover: #BREAKING The House of Representatives just passed the "Protect and Serve Act" by an overwhelming 382-35 vote to provide Fed…</t>
  </si>
  <si>
    <t>RT @DonaldJTrumpJr: You can’t make this crap up. Amazing!!! https://t.co/6F1QN1X6Of</t>
  </si>
  <si>
    <t>RT @marklevinshow: According to Rudy Giuliani, Mueller told him he will not indict the president in conformance with Justice Department pol…</t>
  </si>
  <si>
    <t>RT @seanhannity: NEW YORK TIMES: FBI codenamed Trump-Russia investigation 'Crossfire Hurricane'... https://t.co/MgnhJJ15oW</t>
  </si>
  <si>
    <t>RT @Redhead4645: Texas run off 5/22! We need a BIG turnout for strong republicans ! We need them strong because we need to win midterms! Pr…</t>
  </si>
  <si>
    <t>RT @FoxNews: .@SecNielsen on request for increase in @USNationalGuard troops at the border: "It's a huge force multiplier." https://t.co/lo…</t>
  </si>
  <si>
    <t>RT @JohnTrumpFanKJV: Lord please Protect Israel from all enemies. Crush any who come against them. Be their strength and shield. Give Benja…</t>
  </si>
  <si>
    <t>RT @OANN: *Full story coming soon! Only on @OANN!</t>
  </si>
  <si>
    <t>RT @MonaSalama_: Breaking — The Senate Intelligence Committee voted 10 to 5 in favor of the nomination of Gina Haspel to be CIA director</t>
  </si>
  <si>
    <t>RT @realDonaldTrump: Congratulations to Deb Fischer. The people of Nebraska have seen what a great job she is doing - and it showed up at t…</t>
  </si>
  <si>
    <t>RT @DanOHerrin: This is why they are Shadowbanning us. We are Winning ⚡️ https://t.co/fuXHQwJmRW</t>
  </si>
  <si>
    <t>RT @historylvrsclub: Four Confederate Veterans of the American Civil War, 1922 https://t.co/wPfVdmVTWQ</t>
  </si>
  <si>
    <t>RT @williamsforga: When I'm Governor, we're going to deport criminal illegals in GA by making the 287(g) illegal deportation program STATEW…</t>
  </si>
  <si>
    <t>RT @SecPompeo: I’m pleased to announce that I’m lifting @StateDept hiring freeze on Foreign Service and Civil Service employees. We need ou…</t>
  </si>
  <si>
    <t>RT @DRUDGE_REPORT: LAURA RATINGS BOOM ON FOX... https://t.co/i4IwbQiMlt</t>
  </si>
  <si>
    <t>RT @Project_Veritas: "they won’t know that they’re being muted in this way" sounds just like #ShadowBanning to us. 
https://t.co/4giaYiyiZj</t>
  </si>
  <si>
    <t>RT @SenMikeLee: Honored to be here in Jerusalem, the capital of Israel, on this historic day. Thanks for the photo, @IvankaTrump! https://t…</t>
  </si>
  <si>
    <t>RT @PoliticalShort: Also new: Brennan put some of the dossier material into the PDB [presidential daily briefing] for Obama and described i…</t>
  </si>
  <si>
    <t>RT @WiredSources: BREAKING:  General Michael Flynn pays homage to President Trump in foreword of new book calling on Americans to elect pro…</t>
  </si>
  <si>
    <t>RT @TexasCentral: The TX #BulletTrain will create 10K jobs in design, project management &amp;amp; construction. https://t.co/tjq4Sz7c1F #BuildThis…</t>
  </si>
  <si>
    <t>RT @MaRaeBates: Love Healing Blessings 💐🙏🏻🇺🇸♥️ https://t.co/IVna93CahQ</t>
  </si>
  <si>
    <t>RT @AMike4761: So Trump can open the American Embassy in Jerusalem  for $400,000 but Obama needs 175 million of taxpayer money for his cent…</t>
  </si>
  <si>
    <t>RT @realDonaldTrump: Can you believe that with all of the made up, unsourced stories I get from the Fake News Media, together with the  $10…</t>
  </si>
  <si>
    <t>@MAGANinaJo I see you</t>
  </si>
  <si>
    <t>RT @FoxNews: AMAZING: When Smokey couldn't get out of the pool, it was Remus to the rescue! https://t.co/TwObnNh0EY https://t.co/fwamtZYWue</t>
  </si>
  <si>
    <t>RT @JenNongel: Prayers for a speedy recovery for our @FLOTUS!! We love you Melania!!
💕🙏🏻💕🙏🏻💕🙏🏻💕🙏🏻💕
First Lady Melania Trump in hospital,…</t>
  </si>
  <si>
    <t>RT @OANN: President Trump to Headline Tenn. Fundraiser for GOP Rep. Marsha Blackburn - https://t.co/K8j5yWirHZ #OANN https://t.co/AnLB1ZNpFR</t>
  </si>
  <si>
    <t>RT @Thom_not_a_bot: @jimlibertarian #IStandWithIsrael https://t.co/YTLBGRRM20</t>
  </si>
  <si>
    <t>RT @BlissTabitha: Transgender: AG Sessions Ends Obama’s Mixed-Sex Prison Policy https://t.co/d2cWXfKFlG</t>
  </si>
  <si>
    <t>RT @scali_gianna: This is so exciting we love You Israel ❤️❤️❤️ https://t.co/UYa9GWnHKd</t>
  </si>
  <si>
    <t>RT @GOP: “On behalf of the 45th President of the United States of America, we welcome you officially - and for the first time - to the emba…</t>
  </si>
  <si>
    <t>RT @TacticalPay: New podcast episode: This week, Brett chatted with Mia Rhode ( @Shooters_Wife ) about what it's like to be married to a me…</t>
  </si>
  <si>
    <t>RT @netanyahu: Today, the embassy of the most powerful nation on earth, our greatest ally, the United States of America, opened in Jerusale…</t>
  </si>
  <si>
    <t>RT @realDonaldTrump: #USEmbassyJerusalem https://t.co/f1SFvrkcAH</t>
  </si>
  <si>
    <t>RT @LauraLoomer: Meet Gilad. 
He is a 14 year old Israeli and this is the sign he made to thank @realDonaldTrump for “Making #Jerusalem Gr…</t>
  </si>
  <si>
    <t>RT @SonofLiberty357: WATCH: The United States national anthem is performed during the dedication ceremony for the US Embassy opening in Jer…</t>
  </si>
  <si>
    <t>RT @KamVTV: And there it is. We've all knew something wasn't quite right about all of this Avenatti stuff, but nobody could put their finge…</t>
  </si>
  <si>
    <t>RT @PeteHegseth: Days like today are why America elected @realDonaldTrump — he said it. He did it. He changed history, forever. https://t.c…</t>
  </si>
  <si>
    <t>RT @wattsjim: #NitWitMitt continues to show his #TrueColors...God forbid #Utah allows this #TrumpHater into US Senate. He will wreak #havoc…</t>
  </si>
  <si>
    <t>RT @netanyahu: What a great day for the great American-Israeli alliance 🇮🇱🇺🇸
צילום: אבי אוחיון, לע״מ https://t.co/Q2rUdD3ID5</t>
  </si>
  <si>
    <t>RT @JackPosobiec: Jerusalem has been officially proclaimed the Capitol of Israel
Iran is distancing itself like crazy from John Kerry
I’m…</t>
  </si>
  <si>
    <t>RT @LouDobbs: Truth Takes Shape: Huma Abedin Laptop Emails and The Non-Investigated Issues Therein... https://t.co/DPuXmY6Vtn via @thelastr…</t>
  </si>
  <si>
    <t>RT @joshdcaplan: FOX NEWS: Lewandowski joining Pence team, will focus on midterms and then 2020</t>
  </si>
  <si>
    <t>RT @mmotish: The stone causes excitement
#USEmbassyJerusalem https://t.co/gQbTHkDPvg</t>
  </si>
  <si>
    <t>RT @RealEagleWings: WATCH: The United States national anthem iperformed during the dedication ceremony for the US Embassy opening in Jerusa…</t>
  </si>
  <si>
    <t>RT @McNaughtonArt: This was my painting to represent Obama's first term. I can't wait to paint Trump's first term. The story it will tell!…</t>
  </si>
  <si>
    <t>RT @DineshDSouza: If the FBI systematically spied on the Trump campaign, the big question becomes: who gave the order?</t>
  </si>
  <si>
    <t>RT @Thomas1774Paine: PAYBACK: White House Officials Say John McCain Leak Investigation Should Proceed https://t.co/GOVonS10AJ</t>
  </si>
  <si>
    <t>RT @mitchellvii: Why don't the Democrats ever do something AWESOME?</t>
  </si>
  <si>
    <t>RT @GrrrGraphics: #MondayMotivaton #MAGAMonday #BenGarrison #cartoon #USA A #HOUSEDIVIDED Based on the famous MC Escher Drawing- Classic Co…</t>
  </si>
  <si>
    <t>RT @FoxNews: ⚡️ U.S. Opens Embassy in Jerusalem
https://t.co/uhIoWkn7I9</t>
  </si>
  <si>
    <t>RT @tedcruz: With @marklevinshow in Jerusalem for the opening of our US Embassy. Hanging out with The Great One on an historic day for Isra…</t>
  </si>
  <si>
    <t>RT @Trey_VonDinkis: https://t.co/Wga02mFDYG</t>
  </si>
  <si>
    <t>RT @CalFitty7: Boycott CNN and finish them off. They deserve to go out of business for what they have been doing. https://t.co/0pkAwY6VRW</t>
  </si>
  <si>
    <t>RT @BusterUSMC: The ambassadors of Romania, Hungary, Czech Republic &amp;amp; Austria are set to attend today's @IsraelMFA reception celebrating th…</t>
  </si>
  <si>
    <t>RT @The_Trump_Train: @realDonaldTrump These two just made history today… promises made, promises kept. #realpresident https://t.co/6iPz3fHK…</t>
  </si>
  <si>
    <t>RT @WhiteHouse: "On December 6th, 2017, at my direction, the United States finally and officially recognized Jerusalem as the true capital…</t>
  </si>
  <si>
    <t>RT @FoxNews: .@POTUS: “May God bless this embassy, may God bless all who serve there and may God bless the United States of America.” https…</t>
  </si>
  <si>
    <t>RT @Farberyanki: On the way to the @usembassyjlm ​​we printing a shirt. Israel loves @realDonaldTrump #Trump https://t.co/V9f2bzM1RJ</t>
  </si>
  <si>
    <t>RT @DonDonsmith007: Psa 26:6  I wash my hands in innocence and go around your altar, O LORD,
Psa 26:7  proclaiming thanksgiving aloud, and…</t>
  </si>
  <si>
    <t>RT @Farberyanki: We celebrate at the @usembassyjlm . We ​​love @realDonaldTrump. and do not stop praying for him, and for the United States…</t>
  </si>
  <si>
    <t>RT @JudgeJeanine: U.S. and Israel join hands on opening of embassy https://t.co/K9tzbrNuE2</t>
  </si>
  <si>
    <t>RT @tammy_coldwell: #BREAKING
In Muslim countries, our flags are burned together. 
In #Israel, they are FLOWN together! 
Last night on the…</t>
  </si>
  <si>
    <t>RT @gbroh10: AMERICA COMPLETE HISTORIC EMBASSY MOVE TO JERUSALEM
#EmbassyMove 
#StableGenius 
#Jerusalem 
"The ceremony will last 81 minu…</t>
  </si>
  <si>
    <t>RT @chuckwoolery: Shameful! ZERO DEMOCRATS Attend US Embassy Opening in Jerusalem https://t.co/FitMXyJqYp https://t.co/pPqIDrS0kq</t>
  </si>
  <si>
    <t>RT @GovMikeHuckabee: We have the embassy in Jerusalem for one reason.  @realDonaldTrump made the decision and we watch his message on the s…</t>
  </si>
  <si>
    <t>RT @LauraLoomer: BREAKING: Violent protests just broke out on a hill overlooking the new US Embassy in #Jerusalem, Israel. 
Israeli police…</t>
  </si>
  <si>
    <t>RT @tammy_coldwell: Ivanka Trump reveals  the #USEmbassy in #Jerusalem
Such a wonderful day for all believers!
#MAGA
#Israel https://t.co…</t>
  </si>
  <si>
    <t>RT @StephenMilIer: Here are two important facts that Democrats should never forget:
1) Jerusalem is the capital of Israel
2) Trump is Pre…</t>
  </si>
  <si>
    <t>RT @michaelbeatty3: "PRESIDENT TRUMP....
By recognizing history, you have made history"
  - #BibiNetanyahu
#Jerusalem 🇮🇱#Israel 🇺🇸#MAGA 
#…</t>
  </si>
  <si>
    <t>RT @realDonaldTrump: China and the United States are working well together on trade, but past negotiations have been so one sided in favor…</t>
  </si>
  <si>
    <t>RT @Cory_1077: Dear #PresidentTrump 
Did you notice that the #USA is in the middle of the Heart of Jerusalem?
#Jerusalem is finally recog…</t>
  </si>
  <si>
    <t>RT @MAGAKrissy: @lsarsour Have a blessed day. God is good ❤️😘 https://t.co/vpTNIEC2SY</t>
  </si>
  <si>
    <t>RT @JosephJFlynn1: Happy Mother's Day to Helen Frances Flynn, great mom, great friend, great intellectual, amazing example to us all.  Miss…</t>
  </si>
  <si>
    <t>RT @joelpollak: The soon-to-be #USEmbassyJerusalem has posted the Jerusalem Embassy Act at the entrance to the #EmbassyMove ceremony. #USA…</t>
  </si>
  <si>
    <t>RT @JackPosobiec: Crowds cheer for President Trump in Israel https://t.co/lrJCijxg7a</t>
  </si>
  <si>
    <t>RT @BryonnyM: 🇮🇱 Jerusalem has been the Jewish people's Capital for 3000 Years. 
Today, President Trump Keeps Another Promise 🇮🇱
https://t…</t>
  </si>
  <si>
    <t>RT @netanyahu: We are happy to host the distinguished US delegation in Israel representing President Trump: Deputy Secretary of State John…</t>
  </si>
  <si>
    <t>RT @Thomas1774Paine: McCAIN UNHINGED: Called Wife C-Word, Mocked Chelsea Clinton’s Appearance, Threatened Grassley &amp;amp; Colleagues https://t.c…</t>
  </si>
  <si>
    <t>RT @Sissy_USMC: The #IranDeal https://t.co/dARNgi8PUx</t>
  </si>
  <si>
    <t>RT @MAGA202011: Security is being monitored "minute by minute" as the countdown clock ticks down on Monday's opening of the U.S. Embassy in…</t>
  </si>
  <si>
    <t>RT @WiredSources: VIDEO: U.S. Presidential Delegation for Jerusalem Embassy dedication ceremony  arrives at Ben Gurion AIrport, May 13, 201…</t>
  </si>
  <si>
    <t>RT @IsraelUSAforevr: BREAKING: Jerusalem’s
largest soccer club will change
its name to “Beitar Trump
Jerusalem,” in honor of
President Trum…</t>
  </si>
  <si>
    <t>RT @GemMar333: 🇺🇸To All The Moms With Children In The Military...a Special Salute to You......❤️
Thank You to Our Military and to all the…</t>
  </si>
  <si>
    <t>RT @gr8tjude: 💥Four European Envoys Break with E.U. to Attend U.S. Embassy Celebration in Jerusalem ↘️
https://t.co/ePX7VIPPTS via @Breitb…</t>
  </si>
  <si>
    <t>RT @Chicago1Ray: @RepRatcliffe says the #Memos @Comey conveniently took home for safe keeping actually show that #Trump instructed @Comey t…</t>
  </si>
  <si>
    <t>RT @Barnett20Todd: US wants to work with European allies to negotiate an Iran nuclear deal that will actually work towards the World's safe…</t>
  </si>
  <si>
    <t>RT @joyreaper: .@johnbrennan no turning on Harry Reid who sent sensitive Trump collusion letter - https://t.co/kEBczhVWd4  Folks the #DeepS…</t>
  </si>
  <si>
    <t>RT @JudgeJeanine: I hit the streets of Jerusalem to ask people about the new embassy opening up and what they think about President Donald…</t>
  </si>
  <si>
    <t>RT @townhallcom: Why Did the FBI Spy on Trump and/or Lie to Congress? https://t.co/5fLiYcEXZY</t>
  </si>
  <si>
    <t>RT @PoliticalShort: The Trump Land Mine.  https://t.co/0mIaNfaES0</t>
  </si>
  <si>
    <t>RT @BigBrotherGOD1: @Amish_DB_lives @CassandraRules "For where two or three are gathered together in my name, there am I in the midst of th…</t>
  </si>
  <si>
    <t>RT @MansardtheGreat: Disgraced former FBI Director James Comey declines to participate in an  upcoming closed-door senate hearing on allege…</t>
  </si>
  <si>
    <t>RT @netanyahu: Thank you President Trump for keeping your promise to recognize Jerusalem as Israel's capital and to move your embasssy here…</t>
  </si>
  <si>
    <t>RT @PhilMcCrackin44: @SaraCarterDC reports  a 2nd FBI agent, along with Sh*tbag Strzok, admitted that Michael Flynn did NOT lie during ques…</t>
  </si>
  <si>
    <t>RT @FoxNews: Amb. Danny Danon on Iran nuclear deal: "I think the Europeans will have to decide whether they want to continue to do business…</t>
  </si>
  <si>
    <t>RT @FedupWithSwamp: Stay the course.
Q
4 minutes later...
STAY! https://t.co/xdtZp3pbAK</t>
  </si>
  <si>
    <t>RT @JackPosobiec: Well this is awkward https://t.co/JinEprZN5v</t>
  </si>
  <si>
    <t>RT @T_S_P_O_O_K_Y: This is correct- I am aware of the identity of the second agent and he confirmed that there was no false statement by @G…</t>
  </si>
  <si>
    <t>RT @prayingmedic: Iranians threaten to reveal which Western leaders received money to make the Iran deal happen.
#Qanon https://t.co/JWA3OI…</t>
  </si>
  <si>
    <t>RT @Success87473781: Great news
Thanks to #TRUMP adminstration
Stop #H1B #opt fraud and abuse 
Revoke #H4EAD
#HireAmerican
#AmericaFirst
@…</t>
  </si>
  <si>
    <t>RT @foxandfriends: .@dbongino: Now we’re getting confirmation that President Trump could have been framed by FBI over a manufactured crime…</t>
  </si>
  <si>
    <t>RT @DBloom451: Did you catch that @TheDemocrats?
#Obamacare was actually responsible for RAISING YOUR DRUG PRICES.
Trump, on the other ha…</t>
  </si>
  <si>
    <t>RT @SarahHuckabee: So fun meeting @RobLowe. Incredibly talented, funny, and very nice guy. Thanks for entertaining us all these years! http…</t>
  </si>
  <si>
    <t>RT @Jamierodr10: Maxine Waters has a complete meltdown on the House floor saying President Trump’s Phrase ‘Make America Great Again’ was “O…</t>
  </si>
  <si>
    <t>RT @AnnaApp91838450: https://t.co/O25N1kOxtc
🚨PATRIOTS WE MUST STAND 💯UNITED IN SUPPORT OF NRA🙏🇺🇸🔫NEW YORK POLITICIANS SEEM TO HAVE THE ABO…</t>
  </si>
  <si>
    <t>RT @prayingmedic: Probably wants to spend more time with the kids. 
Chief UN Nuclear Inspector Resigns https://t.co/AHGLlSpo6H</t>
  </si>
  <si>
    <t>RT @baileyjer: [Make It Happen, Mitch!]=&amp;gt; Senators Light Fire Under McConnell: Make Congress Work Again https://t.co/Gxqf9LAzhS</t>
  </si>
  <si>
    <t>RT @JackPosobiec: I’m gonna have to say it
BOOM https://t.co/nrFMH3GSPm</t>
  </si>
  <si>
    <t>RT @FoxNews: 'Last Man Standing' renewed by Fox; Tim Allen 'excited' for Season 7. https://t.co/6bHZTPSaSJ</t>
  </si>
  <si>
    <t>RT @SecPompeo: Delighted to meet @cafreeland today. Our relationship with #Canada is one of the closest and most extensive in the world. I…</t>
  </si>
  <si>
    <t>RT @FreedomWalls333: Amazing story what a testamany https://t.co/gzBZvkEXXn</t>
  </si>
  <si>
    <t>RT @PoliticalShort: Two Months Later, Rosenstein Still Hasn't Responded To Senate Chairman. https://t.co/WxIzi0xAKX</t>
  </si>
  <si>
    <t>RT @RealMattCouch: Meghan McCain has asked everyone to "chill out on her Dad".. 
We're fine Meghan, I'll pray for your family and your fat…</t>
  </si>
  <si>
    <t>RT @gr8tjude: 💥MITCH UNDER FIRE: GOP Senators DEMAND McConnell Move on Trump’s Agenda ↘️
https://t.co/dazgFnFCmy</t>
  </si>
  <si>
    <t>RT @realDonaldTrump: Today, my Administration is launching the most sweeping action in history to lower the price of prescription drugs for…</t>
  </si>
  <si>
    <t>RT @SBelle1950: "GOP REP ANNOUNCES PLANS TO CHARGE 4 TOP TIER FBI OFFICIALS WITH TREASON"
"seeking charges against former FBI Director Jame…</t>
  </si>
  <si>
    <t>RT @1Romans58: Trump taking on big pharma!  Something NO politician would dare to do.  Lucky for us Trump isn't a politician.  TY @POTUS #M…</t>
  </si>
  <si>
    <t>RT @realDonaldTrump: The American people deserve a healthcare system that takes care of them – not one that takes advantage of them. We wil…</t>
  </si>
  <si>
    <t>RT @PradRachael: BREAKING: Grassley Demands 302's from 
Wray and Rosenstein on Gen Flynn Testimony- 
Providing Deceit by DEEP STATE
302's a…</t>
  </si>
  <si>
    <t>RT @chuckwoolery: If you really want to get to the bottom of what the leadership in the #DOJ and the #FBI, Hillary, Obama and alll the othe…</t>
  </si>
  <si>
    <t>RT @BillOReilly: The ratings for MSNBC and CNN are going down substantially as President Trump achieves some success in situations like Nor…</t>
  </si>
  <si>
    <t>RT @JackPosobiec: To be clear: All of this means Comey authorized FBI active measures against Trump during and after the election, and Rose…</t>
  </si>
  <si>
    <t>RT @JackPosobiec: Rosenstein is blocking the DOJ documents so hard because this is the Alamo for him 
The truth about what he did is all i…</t>
  </si>
  <si>
    <t>RT @WiredSources: JUST IN: Pres. Trump called Singapore Prime Minister Lee Hsien Loong "for his willingness to host President Trump’s June…</t>
  </si>
  <si>
    <t>RT @petefrt: NPR Interviewer to John Kelly: 
Q: Has Russia probe cast a cloud over this White House?
A. No, it's cast a cloud over leftis…</t>
  </si>
  <si>
    <t>RT @Thomas1774Paine: BREAKING: EXTORTION PLOT -- Women Sexually Assaulted by Schneiderman Turned to Trump &amp;amp; Cohen in 2013; Then Schneiderma…</t>
  </si>
  <si>
    <t>RT @Chris_A10_USA: #NewYorkTimes Runs Column By Wife Of #Violent #Jihadi , #Taliban #fighters
#ReligionOfPeace #StopCarnage #Bansharia #Ban…</t>
  </si>
  <si>
    <t>RT @almostjingo: Cannot imagine how frustrating these years have been for the good men and women of NYPD and the Justice system. Schneiderm…</t>
  </si>
  <si>
    <t>RT @Tattoobear: #CaseyJones
#NRA #1A #2A
#BuildTheWall 
#VoterID
#MAGA
#RealTCU
#Trumpman
@TattooBear
@Truth24Patriot
@TawnyaAdams
@JKP_RN…</t>
  </si>
  <si>
    <t>RT @dekdarion: https://t.co/PGB453jvnb https://t.co/whNNJizbjE</t>
  </si>
  <si>
    <t>RT @WiredSources: BREAKING: President Trump to announce plan to significantly lower cost of prescription drugs</t>
  </si>
  <si>
    <t>RT @Kimbraov1: Texas: Pakistani Muslim Immigrant Elected to the Euless City Council https://t.co/qZf138B65a via @creepingsharia</t>
  </si>
  <si>
    <t>RT @LauraLoomer: I think I look pretty good. 
Those IDF soldiers thought so too. 😉
But, haters gonna hate. Funny, I didn’t see you report…</t>
  </si>
  <si>
    <t>RT @1Romans58: It already has been embarrassing and will only get worse. The truth is very disturbing and many will CHOOSE not to believe i…</t>
  </si>
  <si>
    <t>RT @SebGorka: Something to hide. 
Again. 
https://t.co/ZEcy2fvsO2</t>
  </si>
  <si>
    <t>RT @FoxNews: .@DarrellIssa: "The material that @DevinNunes is looking for will embarrass, no  question at all, @TheJusticeDept and the @FBI…</t>
  </si>
  <si>
    <t>RT @JacobAWohl: https://t.co/G0hzybaiXH</t>
  </si>
  <si>
    <t>RT @OANN: Texas Deputy Seizes Nearly $3M Worth of Meth During Routine Traffic Stop - https://t.co/khF6uhIHrf #OANN https://t.co/s7MrvQWc0I</t>
  </si>
  <si>
    <t>RT @WiredSources: BREAKING: U.S. imposes sanctions on six individuals and three companies funnelling millions of dollars to Iran's Revoluti…</t>
  </si>
  <si>
    <t>RT @1Romans58: This just made my day.  
Hey Dick's how is all that SJW business going? 😂😂😂😂😂
Mossberg Cuts Ties With Dick's Sporting Good…</t>
  </si>
  <si>
    <t>RT @WiredSources: BREAKING: Former Obama advisers Ron Klain and Kip Wainscott have been revealed to be advising the crowdfunding organizati…</t>
  </si>
  <si>
    <t>RT @LouisTabor3: Rush is very close to the truth here. Stefan Halper used Trump campaign affiliates as tools (fools) to set up the Russia C…</t>
  </si>
  <si>
    <t>RT @EricTrump: @IvankaTrump and I circa 1987 #Throwback 😝 🇺🇸🇺🇸 https://t.co/BWpW6kkBi1</t>
  </si>
  <si>
    <t>RT @FernBrackens: 🌸🌸🌸"It was a note with Psalm 126: 1-3"🌸🌸🌸
"When the Lord brought back the captives to Zion…"
👇👇👇👇👇👇👇👇👇👇👇👇👇👇
Beautiful!…</t>
  </si>
  <si>
    <t>RT @dcexaminer: Michael Cohen fights back, accuses Stormy Daniels' lawyer of leaking "toxic mix" of information https://t.co/JYIHJnlJPy htt…</t>
  </si>
  <si>
    <t>RT @PrisonPlanet: Personal note given to Mike Pence by Kim Dong Chul, who was imprisoned in North Korea for 3 years. https://t.co/gZqLJB5GQ9</t>
  </si>
  <si>
    <t>RT @TheLastRefuge2: The Insurance Policy, The “EC”, The 2016 FBI Counterintel Operation, and The Mysterious Informant Who Originated Brenna…</t>
  </si>
  <si>
    <t>RT @Chicago1Ray: #Muellers #SpclCsl indicted 13 Russians never thinking they'd answer the charges,he was wrong 
He indicted PPL B4 Being r…</t>
  </si>
  <si>
    <t>RT @FernBrackens: 🚨"OBAMA DEEP STATE HAD A SPY INSIDE THE TRUMP CAMPAIGN!"🚨
🚨🚨🚨🚨🚨🚨🚨🚨🚨🚨🚨🚨🚨🚨
PAY DIRT! House Discovers FBI Reportedly Had SP…</t>
  </si>
  <si>
    <t>RT @JackPosobiec: When the Dragon Energy hits https://t.co/QtyP22wfOs</t>
  </si>
  <si>
    <t>RT @dnbundy: https://t.co/MFT0FOYDfk</t>
  </si>
  <si>
    <t>RT @StephenMilIer: Here's the deal: If Trump shuts down Gitmo, where are Democrats gonna hold their 2020 convention?</t>
  </si>
  <si>
    <t>RT @BrianKempGA: If you are looking for a career politician who will bow to the special interests &amp;amp; compromise w/ the left, there are other…</t>
  </si>
  <si>
    <t>RT @LauraLoomer: #ThingsYouWontSeeOnCNN https://t.co/Y5TQ9CZu7D</t>
  </si>
  <si>
    <t>RT @GovMikeHuckabee: I'm fine now, but they had to use the paddles on me 3x at Hadassah Medical Center in Israel to restart my heart after…</t>
  </si>
  <si>
    <t>RT @mike_pence: It is great for Karen and me to be back home again, with our fellow Hoosiers. I’m here today because I stand with @realDona…</t>
  </si>
  <si>
    <t>RT @John_KissMyBot: 💥The FBI Colluded With Disgraced &amp;amp; Fired FBI Director James Comey AND Special Council Mueller, (The Witch Hunter) 👉To C…</t>
  </si>
  <si>
    <t>RT @AssangeMrs: Here is a great #Action4Assange in Australia . The supporter who organized it was a mother who had never done any political…</t>
  </si>
  <si>
    <t>RT @brithume: Actually, the intent is to deter migrants of the type described by Kelly from trying to come here illegally. https://t.co/qSH…</t>
  </si>
  <si>
    <t>RT @RealJamesWoods: Eradication of the horrendous #ObamaIranDeal just about scrubs the last stains of the #Obama “legacy.” He’ll end nothin…</t>
  </si>
  <si>
    <t>RT @margbrennan: .@VP Pence showed me the psalm &amp;amp; personal thank you handwritten on a notecard by the 3 Americans freed from North Korea. W…</t>
  </si>
  <si>
    <t>RT @mike_pence: Thank you Elkhart!
Such a large and enthusiastic crowd of Hoosiers to hear President @realDonaldTrump. https://t.co/fl8NES…</t>
  </si>
  <si>
    <t>RT @USBPChief: Applauding the great work of the men and women of the #USBP in supporting the @VP visit to the Border Wall construction site…</t>
  </si>
  <si>
    <t>RT @JosephJFlynn1: All make no mistake the majority of the Iranian people want change don’t believe the nonsense being pushed by the press.…</t>
  </si>
  <si>
    <t>RT @TerranceCreamer: 1) Let us remember and honor USMC Private Robert Jacy Todd, 18 of North Easton, Massachusetts, a member of Foxtrot Co.…</t>
  </si>
  <si>
    <t>RT @tracybeanz: MAJOR news. Folks, there is actual news happening. Stay focused - keep eyes on target. Big day tomorrow. https://t.co/zxQcN…</t>
  </si>
  <si>
    <t>RT @SaraCarterDC: Must Read: @KimStrassel article on FBI’s source and why the DOJ is so reluctant to share the information...was there an F…</t>
  </si>
  <si>
    <t>RT @dcexaminer: FCC to roll back Obama's "net neutrality" regulations June 11 https://t.co/xy52JAffIN https://t.co/VxMAXrIETV</t>
  </si>
  <si>
    <t>RT @jontiffs2012: @TruthMatters13 @DaZipstahh @jcpenni7maga @firemandon68 @christianllamar @GmanFan45 @TempusSpiritus @TexasLo4Ever @RonMye…</t>
  </si>
  <si>
    <t>RT @immigrant_legal: 😂😂😂 As an example of the power structure I'm fighting, AT&amp;amp;T is buying Time Warner and thus CNN, a deal we will not app…</t>
  </si>
  <si>
    <t>RT @1776Stonewall: The FBI planted a spy on the inside of the Trump campaign during the election. This is huge! So even with a spy on the i…</t>
  </si>
  <si>
    <t>RT @ErikaMcdougall: @FoxNews @TuckerCarlson @MarkSteynOnline RE: @realDonaldTrump RALLY INDIANA “..when you leave these rallies...[people’s…</t>
  </si>
  <si>
    <t>RT @deanbc1: @SLT20201 Trump is on a roll of success that I can't wait to hear about.  He also has an advocate Mike Braun  who is in a posi…</t>
  </si>
  <si>
    <t>RT @KateDaGreat1111: His base has clearly abandoned him. 😂
#RedTsunami https://t.co/6HA7jThnUt</t>
  </si>
  <si>
    <t>RT @MarkSimoneNY: Mike Pence to Mueller: ‘I think it's time to wrap it up.’ Over a year and he found nothing and is now straying so far off…</t>
  </si>
  <si>
    <t>RT @JoeFreedomLove: Agents Sound Alarm on Syrians Caught Sneaking Across Texas Border https://t.co/UYsyQmIzzR</t>
  </si>
  <si>
    <t>RT @ChairmanHupfer: .@realDonaldTrump made the case to every Hoosier tonight: it’s time to retire Sleepy Joe Donnelly &amp;amp; hire outsider Mike…</t>
  </si>
  <si>
    <t>RT @dcexaminer: Pew: "Overwhelming" support for Trump on North Korea https://t.co/ZjTHHfoEmv https://t.co/FuXMhqgQnd</t>
  </si>
  <si>
    <t>RT @mike_pence: Hoosiers deserve to know when @realDonaldTrump asked Joe Donnelly to support the policies that Indiana needs. Joe Donnelly…</t>
  </si>
  <si>
    <t>RT @Dogman1013: I don't know how #POTUS does it. 70 years old, up all night welcoming home 3 hostages, and pulling off a rally in IA tonigh…</t>
  </si>
  <si>
    <t>RT @braun4indiana: #SleepinJoe Donnelly named Least effective Democrat Lawmaker in the United States Senate. #MAGA #INSen https://t.co/wlfc…</t>
  </si>
  <si>
    <t>RT @Jamierodr10: “We will have those Borders extremely strong, extremely powerful and we will have laws that match the Borders”@POTUS #MAGA…</t>
  </si>
  <si>
    <t>RT @Tony19542: It Was Like The Biggest Rock And Roll Band In The World Was Performing In Indiana Tonight..People Were Joyfully Wild And Rau…</t>
  </si>
  <si>
    <t>RT @realDonaldTrump: Thank you Indiana! #MAGA🇺🇸
https://t.co/fCv76VyUax</t>
  </si>
  <si>
    <t>RT @RodStryker: Patriots chanting "Build that wall" inside Trump Rally🇺🇸 #ElkhartIndiana👌
#RedWaveRising
#BuildTheWall
#DeportThemAll
#MA…</t>
  </si>
  <si>
    <t>RT @threadreaderapp: @andreasmith2088 Hello, there is your unroll: Thread by @prayingmedic: "1) This is my thread for May 10, 2018 Q posts…</t>
  </si>
  <si>
    <t>RT @SonofLiberty357: ➡️➡️➡️ Judge Awards $3.5 Million Settlement to Tea Party Groups for Obama IRS Targeting Scandal 
https://t.co/JwdILr4…</t>
  </si>
  <si>
    <t>RT @sxdoc: Republicans Override Democrat Objections to fill Judge Seat Empty for 8 Years: Milwaukee attorney Michael Brennan will fill an o…</t>
  </si>
  <si>
    <t>RT @dcexaminer: Trump: "But at two in the morning, I had the incredible honor of greeting three brave Americans who had been held in North…</t>
  </si>
  <si>
    <t>RT @marklevinshow: I will be on Fox tonight at 9:30 PM eastern time, on Hannity! I hope you'll watch!</t>
  </si>
  <si>
    <t>RT @buzzman888: @vachilly64 And while you're standing up reach in your pocket for your checkbook and join the #NRA     @NRA     🇺🇸🇺🇸
#MAGA…</t>
  </si>
  <si>
    <t>RT @FactsNoHypeGirl: This is just sad, it would break Farrah's heart. 
More proof addiction knows no boundaries when it comes to who it af…</t>
  </si>
  <si>
    <t>RT @Stump_for_Trump: Retweet If You Love @FLOTUS ❤️🇺🇸 https://t.co/0ItxejrZSl</t>
  </si>
  <si>
    <t>RT @MsAvaArmstrong: He was a workaholic 35 years ago -- and he's a workaholic now -- except he is working for free for the American people.…</t>
  </si>
  <si>
    <t>RT @LucySullivan888: ❤️ https://t.co/6fERply6Nf</t>
  </si>
  <si>
    <t>RT @kylie_oneil75: Maryland Billboard Warns Liberals: "Better Get Your Guns If You Try to Impeach Trump" https://t.co/JrjYIzBrtM</t>
  </si>
  <si>
    <t>RT @TwitterMoments: Kevin Kamenetz, the Baltimore County executive and Democratic candidate for governor of Maryland, died overnight from c…</t>
  </si>
  <si>
    <t>RT @joelpollak: Pro-Trump signs in Jerusalem https://t.co/XTjy4MmyMk</t>
  </si>
  <si>
    <t>RT @bbusa617: WRONG MICHAEL COHEN! Porn Star Lawyer Wrongfully Accuses Trump Lawyer…. https://t.co/F7u07uwdw8
PORN STAR LAWYER WHO'S  $5MI…</t>
  </si>
  <si>
    <t>RT @Thomas1774Paine: Possible FBI book out in the fall by Thomas Paine ... Perhaps people will get to learn some shocking revelations of ab…</t>
  </si>
  <si>
    <t>RT @ReneeCarrollAZ: @realDonaldTrump So much #WINNING ! https://t.co/zaQTcdf2Yt</t>
  </si>
  <si>
    <t>RT @ReneeCarrollAZ: @realDonaldTrump #ThursdayThoughts 
"Five Most Wanted leaders of ISIS just captured!"
~ @realDonaldTrump 
I'm still n…</t>
  </si>
  <si>
    <t>RT @shad39: National Guard making impact at US-Mexico line, Customs and Border Protection agency says https://t.co/vsXWSF0mxu</t>
  </si>
  <si>
    <t>RT @dcexaminer: NEW: Indiana Republican Mike Braun, fresh from his primary victory, gets big fundraising help https://t.co/uHPe0LZlbB https…</t>
  </si>
  <si>
    <t>RT @LucySullivan888: https://t.co/PXVOlivyC5</t>
  </si>
  <si>
    <t>RT @AriseUniverse: what really happened to native North Americans
#ThursdayMotivation #WWG1WGA #TheRainMaker #1stAmendment #Censorship #Nor…</t>
  </si>
  <si>
    <t>RT @gaye_gallops: “HARM ISRAEL AND THE US WILL RESPOND,” POMPEO WARNED!Trump condemned Iranian Rocket attacks into Israel and Syria.Israel…</t>
  </si>
  <si>
    <t>RT @charliekirk11: 3.9% unemployment
Korean War is over
Largest tax cut ever
ISIS destroyed
US energy independent  
3 million + jobs c…</t>
  </si>
  <si>
    <t>RT @dcexaminer: Trump to highlight generic drugs as key to lowering prices https://t.co/ZtrtyZnRJK https://t.co/ZI1c9jL7xo</t>
  </si>
  <si>
    <t>RT @SenSchumer: #BeBest https://t.co/tJD74gSiin</t>
  </si>
  <si>
    <t>RT @joelebert29: Tennessee set to appeal dismissal of refugee resettlement lawsuit https://t.co/PgGU9czlmA</t>
  </si>
  <si>
    <t>RT @President1Trump: #DEVELOPING: Secretary Mattis May send 700 more troops to the southern border today to increase security! #BuildTheWal…</t>
  </si>
  <si>
    <t>RT @thebradfordfile: TWEET OF THE DAY! https://t.co/5xbX4NJnoy</t>
  </si>
  <si>
    <t>RT @LouisTabor3: Nunes &amp;amp; Gowdy will get a private viewing of the docs Congress has been demanding. The DOJ, with WH support, refused to tur…</t>
  </si>
  <si>
    <t>RT @CollinRugg: Trump is literally winning so much that he is going to run out of promises to fulfill.
Slow down @realDonaldTrump! We can…</t>
  </si>
  <si>
    <t>RT @FedUpFloridian: #RememberOttoWarmbier https://t.co/luvAE5NxH3</t>
  </si>
  <si>
    <t>RT @StephenMilIer: Trump: Releases three Americans, and captures five terrorists.
Obama: Releases a traitor in exchange for five terrorist…</t>
  </si>
  <si>
    <t>RT @RyanAFournier: National Guard Troops have been involved in over 1,600 apprehensions at the US-Mexico border since deployment.</t>
  </si>
  <si>
    <t>RT @BrianKempGA: Appreciate the strong support! Proud to showcase the endorsement on our new ad! #gapol https://t.co/J38ZonwQX3</t>
  </si>
  <si>
    <t>RT @IWillRedPillU: For those critics thinking "nothing will happen," You haven't paid attention to the enormous amount of happenings on ter…</t>
  </si>
  <si>
    <t>RT @kwilli1046: A No-Brainer! Retweet if you agree. https://t.co/M1ZsDRMwGN</t>
  </si>
  <si>
    <t>RT @DrJaneRuby: Great reporting by @LauraLoomer on the ground in Israel
One of the few sources for truth 
#GoGirl https://t.co/zLvQHQIxmy</t>
  </si>
  <si>
    <t>RT @Avonsalez: #PatriotsFight #MAGA #DrainTheSwamp #QAnon #Justice #JusticeForAll #WWG1WGA #FakeNews #KeepingAmericaGreat #IAmQ #CelebrateW…</t>
  </si>
  <si>
    <t>RT @TomFitton: When will Hillary Clinton face accountability for her illegal retention of national defense information? https://t.co/4huXZy…</t>
  </si>
  <si>
    <t>RT @Jamierodr10: Another California City ‘Wakes Up’ and joins Trump Admin in opposing State Sanctuary Laws!! This Makes 20 cities! 👏🏻👏🏻👏🏻 #…</t>
  </si>
  <si>
    <t>RT @esells: Way to go Ohio! Lets squeeze the last bastions of blue out of our country, maybe send them to France. https://t.co/747mdCHuLr</t>
  </si>
  <si>
    <t>RT @OANN: Ga. Governor Candidate Brian Kemp Releases Bold Campaign Ad - https://t.co/Q8SMyvz1kW #OANN https://t.co/0gMp3ga9ym</t>
  </si>
  <si>
    <t>RT @tammy_coldwell: 'Bahrain: Israel has 'right' to respond to Iran'
Looks like we all will have to get used to a new Middle East.
Sounds…</t>
  </si>
  <si>
    <t>RT @TXRedPilled: 😡😡Judicial Watch: Emails Show FBI Advised Comey to Consult with Mueller’s Office Prior to June 2017 Testimony https://t.co…</t>
  </si>
  <si>
    <t>RT @kylie_oneil75: Trump Just Deported Major Celebrity Who Had It Coming - NOBODY Is Above The Law! https://t.co/jliApoGbKs</t>
  </si>
  <si>
    <t>RT @DailyCaller: BREAKING: President Donald Trump revealed that the five most wanted members of the Islamic State group have been captured.…</t>
  </si>
  <si>
    <t>RT @Thomas1774Paine: FOX News Exposé Nailed Ben Rhodes in Unmasking/Spying Scandal but FOX Anti-Trump Executive KILLED the Story https://t.…</t>
  </si>
  <si>
    <t>RT @JackPosobiec: Obama people held tarmac meetings to cover up their crimes. Trump holds tarmac meetings to free the hostages. Food for th…</t>
  </si>
  <si>
    <t>RT @bigleaguepol: A former CIA official went on an EPIC RANT against Democrats’ hypocrisy yesterday.
And it was awesome.
The Bill LuMaye…</t>
  </si>
  <si>
    <t>RT @realDonaldTrump: Five Most Wanted leaders of ISIS just captured!</t>
  </si>
  <si>
    <t>RT @AzLakeHouse: Can't wait for this hearing! https://t.co/nz9qFsFcQ5</t>
  </si>
  <si>
    <t>RT @Thomas1774Paine: Tester to vote ‘no’ on Trump’s CIA pick: ‘I’m not a fan of waterboarding’ https://t.co/aidPXB5GXW</t>
  </si>
  <si>
    <t>RT @flybull1: And THIS is why the Establishment Swamp needs drained...
#MAGA #NewRightNetwork
https://t.co/O7VblfxNzh</t>
  </si>
  <si>
    <t>RT @PrisonPlanet: Retweet if you still don’t care about Stormy Daniels.</t>
  </si>
  <si>
    <t>RT @REALtrumpbureau: @RubyRockstar333 @POTUS @SonofLiberty357 @TRPhrophet @Patriotic_Va @RodStryker @DjLots3 @The____Guardian @gr8tjude @Re…</t>
  </si>
  <si>
    <t>RT @USAHotLips: 🔥🔥You know what to do folks‼️ 
FOX News’ VP of News &amp;amp; its D.C. bureau Managing Editor Bill Sammon is under investigation f…</t>
  </si>
  <si>
    <t>RT @ConcealNCarryNt: If you did not get a chance to go to the 2018 NRA Convention in Dallas then take a minute and visit our video blog whe…</t>
  </si>
  <si>
    <t>RT @OfficeOfMike: You know who commented on President Trump leaving the Iran deal?
Barack Obama
Hillary Clinton
John Kerry
Ben Rhodes
John…</t>
  </si>
  <si>
    <t>RT @VP: .@SecPompeo told me told me that when the plane refueled in Anchorage, one of the detainees asked to go outside the plane because h…</t>
  </si>
  <si>
    <t>RT @Thomas1774Paine: Send In The Navy! Melania Puts On Her Dress (Casual) Blues To Honor Military Mothers And Spouses (PHOTOS) https://t.co…</t>
  </si>
  <si>
    <t>RT @realDonaldTrump: Senator Cryin’ Chuck Schumer fought hard against the Bad Iran Deal, even going at it with President Obama, &amp;amp; then Vote…</t>
  </si>
  <si>
    <t>RT @JackPosobiec: Singapore is one of the few countries in the world that has both a North Korean embassy and hosts US Navy ships. Makes a…</t>
  </si>
  <si>
    <t>RT @AwakeToday: GOD AND TRUMP. I am so proud of our President and thankful to God’s divine providence which is as clear as the midday sun!…</t>
  </si>
  <si>
    <t>RT @Angeleyes6268: #ThursdayThoughts Thank you Donald and Melania Trump for going to joint base andrews. Welcome home to our three american…</t>
  </si>
  <si>
    <t>RT @callawaykeith: Don’t let Democrat idiots ruin your life!  VOTE THIS NOVEMBER! https://t.co/RXQP95Py5P</t>
  </si>
  <si>
    <t>RT @disings: #FBI cover-up of work related texts on non governmental personal devices between love birds not to be tolerated
Kudos to @Chuc…</t>
  </si>
  <si>
    <t>RT @FoxNews: The family of Otto Warmbier has released a statement in the wake of the arrival of the three newly freed Americans. https://t.…</t>
  </si>
  <si>
    <t>RT @Sin_Diego: @realDonaldTrump @WhiteHouse 
This is what a 3am☎️phone call looks like. 
👉🏼Never forget Benghazi‼️
While our @POTUS 45 is…</t>
  </si>
  <si>
    <t>RT @kilmeade: .@POTUS: "My proudest achievement will be, this is a part of it, will be when we denuclearize that entire peninsula."  @foxan…</t>
  </si>
  <si>
    <t>RT @GovMikeHuckabee: New journalism award for 2018 just announced: The Pulitzer Prize for "Most Creative Way to Make Trump Rescuing Three A…</t>
  </si>
  <si>
    <t>RT @BoSnerdley: Adelson gives $30 million to help GOP save the House  https://t.co/6hJGmVl9oY via @politico</t>
  </si>
  <si>
    <t>RT @michaelbeatty3: Some serious 
"bad ass" American Patriots
#JointBaseAndrews #MAGA
#ThursdayThoughts #NorthKorea #QAnon https://t.co/omT…</t>
  </si>
  <si>
    <t>RT @AzLakeHouse: Pres. Trump and Defence Sec. Mattis announce U.S.-Iraqi-Turkish sting operation captures 5 top ISIS leaders. https://t.co/…</t>
  </si>
  <si>
    <t>RT @foxandfriends: HAPPENING TODAY: Defense Secy Mattis may send 700 more troops to the southern border for security https://t.co/dcsT34WBGR</t>
  </si>
  <si>
    <t>RT @WhiteHouse: The U.S. condemns the Iranian regime’s provocative rocket attacks from Syria against Israeli citizens, and we strongly supp…</t>
  </si>
  <si>
    <t>RT @DonaldJTrumpJr: Incredible story and one we can all rejoice over. Would be nice to wake up to news like this more often. 
Trump and Me…</t>
  </si>
  <si>
    <t>RT @GovMikeHuckabee: What is it that Never Trumpers were saying about @realDonaldTrump ruining things with NOKO and endangering hostages? h…</t>
  </si>
  <si>
    <t>RT @trump_sylvia: Fact!! https://t.co/Oua00CxxrZ</t>
  </si>
  <si>
    <t>RT @JewhadiTM: Ted Cruz: Anti-Trump media is 'out of their mind' https://t.co/ngE9Ij5aoJ</t>
  </si>
  <si>
    <t>RT @AnnaApp91838450: https://t.co/fYABxSqO4z
🚨PATRIOT ALERT 💥SPREAD 
THE NEWS 🚨WHAT A GREAT 
DAY IN AMERICA🙏OUR BELOVED PRESIDENT TRUMP
AND…</t>
  </si>
  <si>
    <t>RT @AzLakeHouse: 'I would do it again,' McCain writes about release of Steele dossier to FBI https://t.co/ZtXTkiEjKP #FoxNews</t>
  </si>
  <si>
    <t>RT @JewhadiTM: Pence calls for end to Mueller probe, over 1 million documents provided https://t.co/MWCDl24EBj</t>
  </si>
  <si>
    <t>RT @PressSec: A night we will all remember. Thankful to live in America. https://t.co/VbDrpUG5Yg</t>
  </si>
  <si>
    <t>RT @Truthseeker126: Great article by Lloyd Billingsley with a poignant last line. LET FREEDOM RING! #MAGA #ThursdayThoughts Trump Frees Thr…</t>
  </si>
  <si>
    <t>RT @realDonaldTrump: On behalf of the American people, WELCOME HOME! https://t.co/hISaCI95CB</t>
  </si>
  <si>
    <t>RT @MagaApplePie: On behalf of the American people,
THANK YOU @realDonaldTrump and @SecPompeo https://t.co/R7M5lVxqCG</t>
  </si>
  <si>
    <t>RT @Golfinggary522: Thank You President Trump and Secretary Pompeo for bringing our hostages home, safe and sound! 
#Winning
#NorthKorea
#R…</t>
  </si>
  <si>
    <t>RT @HH_kathy: Israel strikes ‘nearly all’ Iranian infrastructure in Syria after Iran rocket attack, minister says
https://t.co/HLPHsLEdbb</t>
  </si>
  <si>
    <t>RT @SonofLiberty357: President @realDonaldTrump coins minted in Israel in honor of his decision to move embassy to Jerusalem
#MAGA 
 http…</t>
  </si>
  <si>
    <t>RT @AnnaApp91838450: What a great day in America🙏
Patriots Let's Light Up Twitter 
Spread This All Day In Support 
Of Our Great PRESIDENT a…</t>
  </si>
  <si>
    <t>RT @Chicago1Ray: #RT IF YOU AGREE WITH THIS ? https://t.co/08bxG2KfPX</t>
  </si>
  <si>
    <t>RT @MagaApplePie: Statement from the Freed Americans: 
"We would like to express our deep appreciation to the U.S. government, President T…</t>
  </si>
  <si>
    <t>RT @marcorubio: Dumb question. Enhanced interrogation is banned by law. Treatment of Haspel example of egregious double standard. Brennan w…</t>
  </si>
  <si>
    <t>RT @adamgoldmanNYT: Five Top ISIS Officials Captured in U.S.-Iraqi Sting https://t.co/ssy6QZMA8o @nytmargaret</t>
  </si>
  <si>
    <t>RT @MichaelCohen212: Along with @NBCNews inaccurate reporting of me being wiretapped, now comes @CNBC @KevinWilliamB report that I was fine…</t>
  </si>
  <si>
    <t>RT @MichaelCohen212: Thank you @CNBC @KevinWilliamB for the correction. Unfortunately, these errors just further the false narrative advanc…</t>
  </si>
  <si>
    <t>RT @janetoest1: #ThankYouTrump for #MAGA https://t.co/t8sAzHux0H</t>
  </si>
  <si>
    <t>RT @LoriinUtah: This day just keeps getting better! Netanyahu Surges in Polls After Trump Withdraws From Iran Nuclear Deal: Netanyahu attra…</t>
  </si>
  <si>
    <t>RT @FoxNews: FBI raids home of California mayor, city hall and marijuana dispensary in connection with corruption probe https://t.co/l66jbD…</t>
  </si>
  <si>
    <t>RT @realDrOlmo: #PresidentTrump has used his negotiation and deal-making skills to bring 14 detained or imprisoned Americans home in less t…</t>
  </si>
  <si>
    <t>RT @DeplorableNews: Is this a new strategy? https://t.co/O77V6PI8Mt</t>
  </si>
  <si>
    <t>RT @Patrici15767099: Women in senior positions in the Trump administration:
Nikki Haley - UN
Elaine Chao -  Transportation
Betsy DeVosED -…</t>
  </si>
  <si>
    <t>RT @AkClinch: @prayingmedic @Murlgirl1 So a washed up porn star and an idiot lawyer walk into a bar.. https://t.co/8nDbiOjvWz</t>
  </si>
  <si>
    <t>RT @seanhannity: Unbelievable https://t.co/jILhwO3aWY</t>
  </si>
  <si>
    <t>RT @EliStokols: Rudy, just sitting behind the plate tonight texting folks. https://t.co/ImU0JeenGM</t>
  </si>
  <si>
    <t>RT @ravena68: John McCain confirms he gave the Trump dossier to Comey &amp;amp; to justify his actions he says "duty demanded it". 
McCain is and…</t>
  </si>
  <si>
    <t>RT @news_jg: Melania Introduces Trump For Mother’s Day Speech — He Steps To The Mic And Gives Her A HUGE Compliment https://t.co/h8zm6iEgyk…</t>
  </si>
  <si>
    <t>RT @JohnCooper0610: Look at these two.  Literally looking PISSED OFF 3 hostages have been released and on the way home thanks to Trump. htt…</t>
  </si>
  <si>
    <t>RT @Thomas1774Paine: -Trump will greet the American hostages set free at 2 a.m. at Andrews AFB
-Obama &amp;amp; Hillary let Benghazi hostages die a…</t>
  </si>
  <si>
    <t>RT @RealJamesWoods: The @nytimes is a national embarrassment. It’s owner, Mexican national Carlos Slim, should try to hide its glaring bias…</t>
  </si>
  <si>
    <t>RT @Belle4DJT: Americans know...Bring it...They thought she’d never lose...#GreatAwakenening #DrainTheDeepStateSwamp 
Retired FBI Agent Sa…</t>
  </si>
  <si>
    <t>RT @RuthieRedSox: RT if you are proud of our amazing First Lady Melania. @FLOTUS ♥️ Smart, beautiful, graceful, caring and classy. #BeBest…</t>
  </si>
  <si>
    <t>RT @stump54jumper: i read a little on this earlier and it just amazes me of the size of this dudes gall bladder!!!! https://t.co/LbPL9pxmWx</t>
  </si>
  <si>
    <t>RT @jimbo_always: @WagonKnoggin @BurnettOfLeysM @koolosko @NachoGrannieT @Lindaba45967679 @hamptt1 @Carrolka @003a04f8c2054b7 @PJZive @TheG…</t>
  </si>
  <si>
    <t>RT @Fuctupmind: Trump pulls out of the Iran deal
Mike Pompeo removed 3 US hostages from North Korea
Gina Haspel testified at the Senate…</t>
  </si>
  <si>
    <t>RT @mitchellvii: One of the best takeaways from yesterday's primaries?
Republican turnout was outstanding.</t>
  </si>
  <si>
    <t>RT @Truthseeker126: Dem Senators behaving like children again! Feelings over facts as usual. 🙄DHS Secretary To Democratic Senator: Fighting…</t>
  </si>
  <si>
    <t>RT @GrizzleMeister: Extremely rare to elect a President or any public official that does exactly what they campaign on. 
‘President Trump i…</t>
  </si>
  <si>
    <t>RT @FoxNews: .@seanhannity: "Ms. Haspel is an American patriot and hero. Her work in the CIA after 9/11 saved countless of American lives.…</t>
  </si>
  <si>
    <t>RT @ravena68: Major Democratic donors in NY have discreetly formed a new political alliance to raise roughly $10 million that would be inje…</t>
  </si>
  <si>
    <t>RT @GartrellLinda: RETWEET RETWEET
if you support our patient, sharp &amp;amp; quick-witted @PressSec, Sarah Sanders.
The #FakeNewsMedia reporters…</t>
  </si>
  <si>
    <t>RT @FLOTUS: We had a wonderful celebration @Whitehouse today to honor some incredible military moms for #MothersDay. My heart &amp;amp; continued p…</t>
  </si>
  <si>
    <t>RT @ColumbiaBugle: U.S. captives released by NK: "We would like to express our deep appreciation to the United States government, President…</t>
  </si>
  <si>
    <t>RT @_Last_1_Left_: This man has done in a little over a year than #Obama did in eight. You haters should take note as to how a real leader…</t>
  </si>
  <si>
    <t>RT @SusanStormXO: 🙄🙄IS HE SERIOUS🙄🙄
💥1st -Holy SMOKES- absolutely pathetic people enforcing their beliefs on others . 
💥2nd - How the hel…</t>
  </si>
  <si>
    <t>RT @1Romans58: On the way home!  
Three Prisoners Released from North Korea: ‘God Bless America, the Greatest Nation in the World’ | Breit…</t>
  </si>
  <si>
    <t>RT @wattsjim: Another phony #FakeNews LIE.
#Familiar pattern: EVERY time POTUS has Legislative or Foreign Policy #Victory (#Iran #NKHostage…</t>
  </si>
  <si>
    <t>RT @realDonaldTrump: The Failing New York Times criticized Secretary of State Pompeo for being AWOL (missing), when in fact he was flying t…</t>
  </si>
  <si>
    <t>RT @Cernovich: Lol https://t.co/FLde5dP6Hm</t>
  </si>
  <si>
    <t>RT @alaphiah: 💥Nunez and Gowdy to be briefed on secret Rosenstein scope memo to Mueller tomorrow, Thursday 💥BREAKING: DOJ Agrees to Give Ch…</t>
  </si>
  <si>
    <t>RT @sandy45_46: https://t.co/FfoC62WxAi
Get ready. Our debt will be paid as 'Energy' 'Energy' takes off and the middle East will buy oil f…</t>
  </si>
  <si>
    <t>RT @RealMAGASteve: Please help me honor US Air Force Technical Sgt. Joseph G. Lemm, 45, of Bronx, NY. He was K.I.A. on Dec. 21, 2015 in Afg…</t>
  </si>
  <si>
    <t>RT @realDonaldTrump: Looking forward to greeting the Hostages (no longer) at 2:00 A.M.</t>
  </si>
  <si>
    <t>RT @1Romans58: Coumo!!  Oh this is is going to be fun...
Let's throw Chucky in the mix and call it a party! 
More Women Surface Against S…</t>
  </si>
  <si>
    <t>RT @jdolan2020: First Lady Melania’s approval rating are soaring. Up from 47% in January to 57% now. 👍🏻 https://t.co/LpFUWODf6I</t>
  </si>
  <si>
    <t>RT @MichaelDelauzon: UPDATE: Pompeo's jet just took off from Anchorage, Alaska without giving a statement. Fox News said there would be a s…</t>
  </si>
  <si>
    <t>RT @TheLastRefuge2: “Chairman” Winning – Latest Pictures Released of Pompeo Meeting With Chairman Kim Jong-un… https://t.co/as9ROcQL1P http…</t>
  </si>
  <si>
    <t>RT @Jamierodr10: IT’S HAPPENING!! DOJ is #Finally giving Devin Nunes &amp;amp; Trey Gowdy access to secret Documents in Russia Investigation Thursd…</t>
  </si>
  <si>
    <t>RT @RealBoomBoomPow: Slowly but surely @realDonaldTrump emptying the trash
#ObamaLegacy - just about erased - well except for the 50 years…</t>
  </si>
  <si>
    <t>RT @prayingmedic: Ooops. https://t.co/1LFuZvYpDw</t>
  </si>
  <si>
    <t>RT @Stump_for_Trump: We have the best President and Secretary of State in history! https://t.co/p2vN6ABVLM</t>
  </si>
  <si>
    <t>RT @MAGATheBrand: Mueller's Time is just about up.... https://t.co/u0t1qXpDU6</t>
  </si>
  <si>
    <t>RT @theflash__8: #WednesdayWisdom :
LADIES AND GENTLEMEN!!!
The #Terror LEADER OF THE WORLD... #Iran ... NEVER EVEN SIGNED THE DEAL! DID YO…</t>
  </si>
  <si>
    <t>RT @JackPosobiec: Now there are FOUR different Michael Cohens! 
https://t.co/i5kob7ndqq</t>
  </si>
  <si>
    <t>RT @JackPosobiec: Cool viral tweet
Now you're under federal investigation for leaking someone's bank information
Thanks for playing https…</t>
  </si>
  <si>
    <t>RT @SwensonBrigette: Bad couple of days for #Iran
💥Mossad steals their secrets
💥Trump nixes #IranDeal
💥#Israel bombs your missiles ... 
and…</t>
  </si>
  <si>
    <t>RT @JewhadiTM: Thank you, VP Pence
Mike Pence speaks to Otto Warmbier's parents as 3 former detainees fly back from North Korea  https://t…</t>
  </si>
  <si>
    <t>RT @LizCrokin: 9 arrested on human trafficking sting on Kentucky Derby weekend!
#Pedogate #Pizzagate #QAnon
https://t.co/KgEfiz5fbG</t>
  </si>
  <si>
    <t>RT @Thomas1774Paine: FBI’s Gagliano: Inspector General Report of FBI’s Hillary Email Probe “Will Be Damning Indictment” of Comey Era https:…</t>
  </si>
  <si>
    <t>RT @1Romans58: Gagliano claims that it is even worse then we expected.  
Jimmy is in some trouble, and those that once occupied the 7th fl…</t>
  </si>
  <si>
    <t>RT @Perch313: Shepard Smith comes on @Fox goes off.
Shepard Smith is gutter news ...no better than CNN. 
@ShepNewsTeam
@FoxNewsResearch ht…</t>
  </si>
  <si>
    <t>RT @TheLastRefuge2: Sketchy Porn Lawyer Accuses Wrong Michael Cohens Using Stolen Treasury Department Documents… https://t.co/DhI1qjKaLL ht…</t>
  </si>
  <si>
    <t>RT @1Romans58: Looks like this shady lawyer is going to need a good lawyer...
😂😂😂😂😂😂
BUSTED: Treasury Dept. Inspector General Opens Feder…</t>
  </si>
  <si>
    <t>RT @DFBHarvard: Trump's friendship with key leaders is paying dividends Bigly!
Saudi Prince has assured the US that it will make up any sh…</t>
  </si>
  <si>
    <t>RT @RepKayGranger: “I applaud President Trump’s decision to withdraw from the Joint Comprehensive Plan of Action (JCPOA). This was a terrib…</t>
  </si>
  <si>
    <t>RT @realDrOlmo: Secretary of State Mike Pompeo is 🇺🇸 Hero https://t.co/ahpFJxbWTz</t>
  </si>
  <si>
    <t>RT @President1Trump: #BREAKING: Senate intelligence committee holds confirmation hearing for @POTUS CIA nominee Gina Haspel!  https://t.co/…</t>
  </si>
  <si>
    <t>RT @aShantyIrish: New York Times slams AWOL Pompeo, then learns he was rescuing Americans https://t.co/jIxnWeNTZz #FoxNews</t>
  </si>
  <si>
    <t>RT @CONNORFORTRUMP: THOUGHTS OF A THINKING MAN
Words of Wisdom. Not coloured by prejudice, contrived or delusional thinking. 
A breath of…</t>
  </si>
  <si>
    <t>RT @ChicagosFines19: #Denver #mayor says #officer 'didn't deserve' son's foul-mouthed outburst during traffic stop
#RT with your #Opinion…</t>
  </si>
  <si>
    <t>RT @AwakeToday: Amen! Let’s continue to lift up our President before the God of Heaven who is pouring out His blessings upon Trump! The Inv…</t>
  </si>
  <si>
    <t>RT @Project_Veritas: We tracked down the teacher to hear his side of the story.
Full report: https://t.co/Zt9STKrUt8 https://t.co/Qg2UXjpl…</t>
  </si>
  <si>
    <t>RT @FLOTUS: The Senate Spouses Luncheon has a history of paying tribute to First Ladies &amp;amp; I was honored  to attend today’s event. Thank you…</t>
  </si>
  <si>
    <t>RT @FoxNewsResearch: US Detainees Released:
•Kim Hak-Song
—Held since May '17
—Professor arrested after trip to a research farm
•Kim Sang…</t>
  </si>
  <si>
    <t>RT @WhiteHouse: Despite repeatedly facing false or misleading allegations against her, the facts show that Gina Haspel has served her natio…</t>
  </si>
  <si>
    <t>RT @KurtSchlichter: Guess what this horrible offensive conduct was.
Guess.
If you guessed pissing off the Germans by telling them, consis…</t>
  </si>
  <si>
    <t>RT @MAGAVoice: #VOTE RED
CHECK THIS CALENDAR ⤵️⤵️for Nationwide State Elections Schedule 2018
🙏🙏🙏Go out and Vote!!
The DEMOCRATS won't stea…</t>
  </si>
  <si>
    <t>RT @2ndAmendmentC: Time Magazine investigation finds FBI in crisis mode  #Trending https://t.co/XETfEIb8kC</t>
  </si>
  <si>
    <t>RT @President1Trump: .@SenatorBurr gives Trump’s CIA nominee Gina Haspel the highest praise! “Without a doubt you are the most qualified pe…</t>
  </si>
  <si>
    <t>RT @VP: Congratulations Mr. President! Your strong leadership and our America First policies are paying dividends here at home and on the w…</t>
  </si>
  <si>
    <t>RT @JackPosobiec: Is this photoshop? https://t.co/JZmHUhb4b4</t>
  </si>
  <si>
    <t>RT @OscuraPraetoria: 3RD SEARCH FINDS STILL MORE CLINTON-LYNCH TARMAC-MEETING RECORDS
16 pages, 2 text messages scheduled to be turned over…</t>
  </si>
  <si>
    <t>RT @andersonDrLJA: #TraitorObama's 'ROTTEN' #IranNuclearDeal Comes Back to Haunt Him!
#TryObama4Treason #LockObamaUp'
#ThankYouTrump For #M…</t>
  </si>
  <si>
    <t>RT @esaagar: NEW: @PressSec on the release of the three American hostages: "President Trump appreciates leader Kim Jong Un’s action to rele…</t>
  </si>
  <si>
    <t>RT @JewhadiTM: Here's Your Quick Guide To The American Founders' Mentors https://t.co/BGR9avVqnQ</t>
  </si>
  <si>
    <t>RT @FoxNews: President @realDonaldTrump meeting with military families at the @WhiteHouse today https://t.co/1tLWhCcwjp</t>
  </si>
  <si>
    <t>RT @WiredSources: Family of Tony Kim, an American released by North Korea: "We want to thank all of those who have worked toward and contri…</t>
  </si>
  <si>
    <t>RT @RightWingAngel: Lt. Col. Oliver North: “Someone said to me yesterday, ‘do you think  you’re Charlton Heston?’ I said, ‘no, he’s Moses,…</t>
  </si>
  <si>
    <t>RT @JackPosobiec: Spoiler alert: Federal prosecutors leaked to Stormy Daniels lawyer https://t.co/vUgRJnY2zH</t>
  </si>
  <si>
    <t>RT @kylie_oneil75: DEFICIT BE GONE! April’s U.S. Budget Just Made HISTORY https://t.co/6sbgtOZEkm via @truthfeednews</t>
  </si>
  <si>
    <t>RT @npnikk: Court Deals Another Blow to NY AG Schneiderman in Open Records Case Documents were related to broad effort to investigate energ…</t>
  </si>
  <si>
    <t>RT @1ClickBiz: Giuliani Claims Trump Attorney Michael Cohen Possesses ‘No Incriminating Information’ https://t.co/1nqomYHFpj via @dailycall…</t>
  </si>
  <si>
    <t>RT @AnnaApp91838450: https://t.co/yslzxwg1sx
GREAT MORE CORRUPT CRIMINAL NEWS ABOUT 
HILLARY🚨NO CHARGES
WE THE PEOPLE JUST CAN'T 
BELIEVE T…</t>
  </si>
  <si>
    <t>RT @TinaMar54287286: Is this true?  @TuckerCarlson @Liz_Wheeler @PatrickHussion @IngrahamAngle https://t.co/WlId6W07PP</t>
  </si>
  <si>
    <t>RT @realDonaldTrump: I am pleased to inform you that Secretary of State Mike Pompeo is in the air and on his way back from North Korea with…</t>
  </si>
  <si>
    <t>RT @lmchristi1: There are no words to describe or enough thanks #WeThePeople could ever say, to 👇👇this man right here, to show our gratitud…</t>
  </si>
  <si>
    <t>RT @realDonaldTrump: The Republican Party had a great night. Tremendous voter energy and excitement, and all candidates are those who have…</t>
  </si>
  <si>
    <t>RT @marklevinshow: How did the porn lawyer acquire these records? https://t.co/7KUgWP8FEC</t>
  </si>
  <si>
    <t>RT @TomFitton: More tarmac records!  After two years, the DOJ/FBI finally admits it has text msgs and other newly "found" records on Clinto…</t>
  </si>
  <si>
    <t>RT @GregAbbott_TX: Here’s information about my policy plans to help veterans. They served our country and deserve to go to the front of the…</t>
  </si>
  <si>
    <t>RT @JimPolk: Ted Cruz releases awesome statement on Trump’s withdrawal from Iran deal!
https://t.co/GojqK1rqj2</t>
  </si>
  <si>
    <t>RT @Project_Veritas: Tomorrow, the entire world will be able to see the video @aftmichigan went to such extraordinary legal lengths to hide…</t>
  </si>
  <si>
    <t>RT @RightWingLawMan: Today #Trump shut down the #IranDeal, then Israel hits Iran with a punch to the proverbial gut! 💪💥🥊🥊💥💪
Iran military…</t>
  </si>
  <si>
    <t>RT @StephGrisham45: Behind the scenes at #BeBest reception: a 5th grade boy just handed @FLOTUS a nickel and said,  “I know it’s not much b…</t>
  </si>
  <si>
    <t>RT @DonaldJTrumpJr: Congrats @MorriseyWV on a great win tonight in West Virginia. It was a pleasure speaking with you and I look forward to…</t>
  </si>
  <si>
    <t>RT @yojudenz: Mike Braun Wins Indiana GOP Senate Primary https://t.co/P2y5uXgxqq via @RollCall</t>
  </si>
  <si>
    <t>RT @FoxNews: JUST IN: The Fox News Decision Desk can now project a winner in the West Virginia Republican Senate Primary: State Attorney Ge…</t>
  </si>
  <si>
    <t>RT @news_jg: Saudia Arabia, UAE and Israel in one voice back @POTUS in backing out the Iran deal, yet @BarackObama, John Kerry, Hillary Cli…</t>
  </si>
  <si>
    <t>RT @kbsalsaud: The Kingdom of Saudi Arabia fully supports the measures taken by @POTUS with regards to the JCPOA. we always had reservation…</t>
  </si>
  <si>
    <t>RT @dcexaminer: A new dynasty begins as Greg Pence wins vice president's old House seat https://t.co/oY1X5NbFUZ by @PhilipWegmann https://t…</t>
  </si>
  <si>
    <t>RT @MMMAGA9: Kerry hurt his own cause, broke the law and, thankfully, buried the last shred of Obummer’s “legacy.” #BleachbittheDems 
White…</t>
  </si>
  <si>
    <t>RT @marklevinshow: RightScoop: the Levin interview of Bolton https://t.co/GdLTi1gO6P</t>
  </si>
  <si>
    <t>RT @AnthemRespect: Bet you didn’t hear much about this support from the Middle East today on your drive home.
The leaders in the region su…</t>
  </si>
  <si>
    <t>RT @Anon_decoder: NO DEALS
Eric Schneiderman attempted to cover for his #pizzagate friends 
Failed miserably
NO DEALS
JAIL
https://t.co/v…</t>
  </si>
  <si>
    <t>RT @OfficeOfMike: BREAKING: The Mayor of Jerusalem announces the square near US embassy site will be named "United States Square in honor o…</t>
  </si>
  <si>
    <t>RT @KurtSchlichter: Wait, the media is wrong? You mean Stripper Matlock didn't get it right? https://t.co/xswRnjKs99</t>
  </si>
  <si>
    <t>RT @FernBrackens: Federal Judge Rules in Favor of Project Veritas After Teachers Union Tries to Prevent O'Keefe From Releasing Undercover V…</t>
  </si>
  <si>
    <t>RT @mike_pence: Congrats to @braun4indiana on his #INSen primary victory tonight! @RealDonaldTrump &amp;amp; I look forward to working with you in…</t>
  </si>
  <si>
    <t>RT @1Romans58: Interesting...
Wonder who else was in attendance?
Napolitano: AG Schneiderman Was Included in Deep State Off-Site "Secret…</t>
  </si>
  <si>
    <t>RT @JacobAWohl: BREAKING: Secretary of State Mike Pompeo has custody of the 3 American hostages held in North Korea</t>
  </si>
  <si>
    <t>RT @WhiteHouse: "At the heart of the Iran deal was a giant fiction: that a murderous regime desired only a peaceful nuclear energy program.…</t>
  </si>
  <si>
    <t>RT @JacobAWohl: At this very moment, Secretary of State Mike Pompeo is on the ground in North Korea securing the release of 3 American host…</t>
  </si>
  <si>
    <t>RT @TheLastRefuge2: Interesting Primary Race Elections Today – Results and Open Discussion Thread…. https://t.co/GWs4SEkTFp https://t.co/iR…</t>
  </si>
  <si>
    <t>RT @MichaelDelauzon: President Trump is Making America Great Again! https://t.co/YTr6gNrFhS</t>
  </si>
  <si>
    <t>RT @FoxNews: TONIGHT: National security adviser John Bolton speaks exclusively to Laura Ingraham. Tune in to The @IngrahamAngle on Fox News…</t>
  </si>
  <si>
    <t>RT @SheriffClarke: I'm Albany New York to address the NY State Chiefs of Police conference. Libs and cop haters are apoplectic about me bei…</t>
  </si>
  <si>
    <t>RT @TheLastRefuge2: This argument sounds familiar (hint, Simpson testimony) Hmm? 🤔FISA-702(17) "About Queries"..... yeah, Let's talk about…</t>
  </si>
  <si>
    <t>RT @SavingAmerica4U: 🔴BUSTED: Pervert Democrat Schneiderman Let The Clinton Foundation Skip Identifying Foreign Donors
Schneiderman gave t…</t>
  </si>
  <si>
    <t>RT @Kimbraov1: WELCOME TO JERUSALEM, AMERICA. https://t.co/W9rZRAavus via @barenakedislam</t>
  </si>
  <si>
    <t>RT @GregAbbott_TX: Four Houston hospitals land on list of nation's best. That’s in addition to fact that Houston has the world’s largest me…</t>
  </si>
  <si>
    <t>RT @FoxNews: .@stevenmnuchin1: "The president is determined, whether it's North Korea or Iran, to protect the American people. And the prev…</t>
  </si>
  <si>
    <t>RT @RuthieRedSox: “...this was a HORRIBLE, HORRIBLE deal that NEVER ever should have been made!” ~ @POTUS #IranDeal https://t.co/YI4bZNRfKx</t>
  </si>
  <si>
    <t>RT @RealMAGASteve: “The U.S. will withdraw from the Iranian nuclear deal and reimpose sanctions. Warning, any nation that helps Iran in its…</t>
  </si>
  <si>
    <t>RT @IsraelUSAforevr: President @realDonaldTrump  has all the credit in building relations between our two countries, and he just keeps prom…</t>
  </si>
  <si>
    <t>RT @RightWingAngel: Haspel's confirmation hrng to be CIA Dir starts tomorrow at 9:30 am et.  Open &amp;amp; closed sessions. Fox is told cmte proba…</t>
  </si>
  <si>
    <t>RT @RealMAGASteve: 🚨Trump shredding Obama's failed Iran deal is just the beginning of a winning Iran strategy‼️
Trump’s tough words for Ir…</t>
  </si>
  <si>
    <t>RT @cvpayne: Breaking News
while all eyes were on the Iran Nuke News we learned there is now an all-time record number of job openings.  6.…</t>
  </si>
  <si>
    <t>RT @FoxNews: .@kimguilfoyle: "Why would we subsidize a nuclear Iran? And that's what this was. There was no bite or teeth to the inspection…</t>
  </si>
  <si>
    <t>RT @SiddonsDan: “The President absolutely made the right decision to pull out of the Iran nuclear deal. When @realDonaldTrump draws a red l…</t>
  </si>
  <si>
    <t>RT @TheLastRefuge2: McNaughton: “There comes a time when you have to take a stand the Expose the Truth!”… https://t.co/Mt4SvBDh52 https://t…</t>
  </si>
  <si>
    <t>RT @Kimbraov1: HELL! What it feels like to work in a German Immigration office processing Muslim asylum seeker applicants https://t.co/mFWV…</t>
  </si>
  <si>
    <t>RT @justlucky190: What an honor for our #POTUS and #America 
#StandwithIsrael
https://t.co/2axpYLVEpg</t>
  </si>
  <si>
    <t>RT @NewportLost: #TuesdayThoughts in #Newport #RhodeIsland 
#IranDeal
#Israel
#MeToo
#BronfmanSisters #FollowTheMoney 
#TeacherAppreciation…</t>
  </si>
  <si>
    <t>RT @TomFitton: We are pleased that our lawsuit is causing DOJ to rethink its cover-up of the "scope memo" for Mueller. @JudicialWatch has n…</t>
  </si>
  <si>
    <t>RT @MAGANinaJo: Wayne Dupree Show:  "Here’s the irony of this story, This guy sent hundreds of men to prison for the same “role-playing” he…</t>
  </si>
  <si>
    <t>RT @bab_tinkerbell: Good Morning All  🇺🇸💯🇺🇸 
"TUESDAY MAY 8TH PRIMARY DAY"
INDIANA, OHIO, WEST VIRGINIA, NORTH CAROLINA 
🚨~VOTE~🚨</t>
  </si>
  <si>
    <t>RT @Harlan: MSNBC’s Chris Matthews predicted @RepHagan will upset @anthonygonzalez today in #OH16.
If you’re in the District, get your but…</t>
  </si>
  <si>
    <t>RT @rcjhawk86: #Defend2A #NRAwomen #LocknLoad
Women Love Shooting Responsibly, and They’re Here to Stay
🔫 That’s right. Women today want…</t>
  </si>
  <si>
    <t>RT @herewegokids7: Ohmygod lol https://t.co/GFwORHyF2g</t>
  </si>
  <si>
    <t>RT @thehill: White House blasts rumors that Melania doesn't live in White House: We see her here regularly https://t.co/z2yQ4mtjFT https://…</t>
  </si>
  <si>
    <t>RT @townhallcom: 'We Knew Exactly Who He Was When We Voted for Him' https://t.co/HcZxMWNRS7</t>
  </si>
  <si>
    <t>RT @Leigh_Valentine: Melania is an overcomer. Don't confuse deep, quiet, elegant strength with weakness. Our First Lady selflessly puts oth…</t>
  </si>
  <si>
    <t>RT @Dogman1013: George Soros’ Right Hand Man Arrested For Rape And Human Trafficking. The beginning of the end for PizzaGate? https://t.co/…</t>
  </si>
  <si>
    <t>RT @DonaldJTrumpJr: Was it the excessive use of eyeliner that gave it away? Totally normal! https://t.co/bDuOJWVqN8</t>
  </si>
  <si>
    <t>RT @Thomas1774Paine: BREAKING: Manhattan District Attorney Has Opened Up a Criminal Investigation Into Eric Schneiderman -- The Four Tweets…</t>
  </si>
  <si>
    <t>RT @prayingmedic: Define projection. https://t.co/OmDrB71ZGf</t>
  </si>
  <si>
    <t>RT @RepStevenSmith: Was this man Obama's CIA Director? https://t.co/RUNcGo00x6</t>
  </si>
  <si>
    <t>RT @DonaldJTrumpJr: That was fast. I figured he would hold out for a solid 6 or 7 hours. https://t.co/u8bKjL4LcY</t>
  </si>
  <si>
    <t>RT @prayingmedic: Well, okay then. 🙄 https://t.co/4cq35SPQin</t>
  </si>
  <si>
    <t>RT @TheLastRefuge2: Curious Note – Robert Mueller Interviewed NSA Mike Rogers Immediately Prior To Rosenstein Renewing Third FISA Extension…</t>
  </si>
  <si>
    <t>RT @55true4u: James Woods had near-perfect SAT scores, and an IQ of 184.
Woods was a brilliant student who achieved a perfect 800 on the ve…</t>
  </si>
  <si>
    <t>RT @HLAurora63: Meuller hired Schneiderman in August as part of the "take Trump out" team. Schneiderman also filed a lawsuit against Trump…</t>
  </si>
  <si>
    <t>RT @realDonaldTrump: National Prescription Drug #TakeBackDay numbers are in! Another record broken: nearly 1 MILLION pounds of Rx pills dis…</t>
  </si>
  <si>
    <t>RT @mitchellvii: Robert Mueller May Soon Face An Embarrassing Dismissal In His Case - Diamond &amp;amp; Silk https://t.co/QSMkTLEkyO</t>
  </si>
  <si>
    <t>RT @FoxNews: More than 50 intel, security officials from both parties back Gina Haspel as CIA turns over files https://t.co/WByTVQSizE http…</t>
  </si>
  <si>
    <t>RT @TexasLo4Ever: Best tweet of the day!!!
#TheInternetIsForever https://t.co/Rq7TUqweoJ</t>
  </si>
  <si>
    <t>RT @SheriffClarke: BOLD and AGGRESSIVE move by @NRA to name Ollie North President of the National Rifle Assoc. If anti gun ninnies are crit…</t>
  </si>
  <si>
    <t>RT @dcexaminer: JUST IN: New York attorney general resigns following physical abuse allegations https://t.co/SFgC7nOedf https://t.co/IRAcJd…</t>
  </si>
  <si>
    <t>RT @DLoesch: Full video of Hollywood anti-gun group and their hired guns running families out of public parks because someone asked a quest…</t>
  </si>
  <si>
    <t>RT @DonaldJTrumpJr: There is a tweet for everything! https://t.co/aU5I6z8SS8</t>
  </si>
  <si>
    <t>RT @NRATV: If you didn’t make your way to the #NRAAM2018 in Dallas, @DLoesch says you missed out. Watch some of the highlights from this pa…</t>
  </si>
  <si>
    <t>RT @historylvrsclub: John F. Kennedy &amp;amp; Jackie O. on their wedding day. https://t.co/aLWwLLtzgx</t>
  </si>
  <si>
    <t>RT @jmrice: https://t.co/JfdSM86A9f</t>
  </si>
  <si>
    <t>RT @StandingDarrell: “Bibi Netanyahu reveals Iranian Hidden Nuke Program while John Kerry tries to salvage Obama’s faulty Iranian deal.”
I…</t>
  </si>
  <si>
    <t>RT @historylvrsclub: David Bowie, Art Garfunkel, Paul Simon, Yoko Ono and John Lennon at the 1975 Grammy Awards. https://t.co/kNh4b1NDWQ</t>
  </si>
  <si>
    <t>RT @Tony19542: The Great Hope of the DNC to Take Down Trump Is Charged with Beating, Slapping, Choking, Threatening 4 Women https://t.co/LC…</t>
  </si>
  <si>
    <t>RT @gr8tjude: 💥Is Hillary Clinton wearing a back brace?↘️
https://t.co/VtcYFgP0LN via @MailOnline</t>
  </si>
  <si>
    <t>RT @FoxNews: .@POTUS on @FLOTUS Melania Trump: “Everywhere she has gone, Americans have been touched by her sincerity, moved by her grace,…</t>
  </si>
  <si>
    <t>RT @President1Trump: “Melania your care and compassion for our nation’s children, is inspiring to all”! @POTUS  #BeBest https://t.co/SKCCO3…</t>
  </si>
  <si>
    <t>RT @bigleaguepol: JUST IN: A key Mueller team member in the Witch Hunt has been accused of threatening to kill women https://t.co/RLyBbFwKB6</t>
  </si>
  <si>
    <t>RT @TheLastRefuge2: Post China-Visit, not a single financial media can bring themselves to admit the NAFTA fatal flaw is the issue. The mul…</t>
  </si>
  <si>
    <t>RT @FLOTUS: I am very excited to kick-off #BeBest - a campaign dedicated to helping children #BeBest in their individual paths.  For more i…</t>
  </si>
  <si>
    <t>RT @Stump_for_Trump: Thank you @FLOTUS for creating a campaign dedicated to helping children #BeBest in their individual paths. Our childre…</t>
  </si>
  <si>
    <t>RT @hickorymtnman: Venezuela is another fine example of the complete failure of socialism with oppression, starvation, and prostitution
Re…</t>
  </si>
  <si>
    <t>RT @historylvrsclub: The last photo of Laurel &amp;amp; Hardy, 1956 https://t.co/IfK0oGhWXg</t>
  </si>
  <si>
    <t>RT @dcexaminer: Melania Trump: "I'm very excited to announce 'Be best,' an awareness campaign dedicated to the most valuable and fragile am…</t>
  </si>
  <si>
    <t>RT @jenn_027: Excellent! Such a great leadership decision #NRA! 
“Bill Clinton is not my commander-in-chief” ~ Ollie North 
Love this guy…</t>
  </si>
  <si>
    <t>RT @JackPosobiec: Be Best: We have the best First Family, don’t we folks? https://t.co/ls0XzrPOs5</t>
  </si>
  <si>
    <t>RT @RealSaavedra: DNC Deputy Chair Keith Ellison wears t-shirt advocating for the elimination of national borders.
The shirt says “yo no c…</t>
  </si>
  <si>
    <t>RT @AndyColeman79: This weekend, @Jim_Jordan flew into #Oklahoma to support my campaign for #Congress! It was truly an honor &amp;amp; a joy (&amp;amp; a l…</t>
  </si>
  <si>
    <t>RT @Jillibean557: AG Sessions: "I have put in place a zero-tolerance policy for illegal entry on our southwest border. If you cross the bor…</t>
  </si>
  <si>
    <t>RT @DSanchez1669: Let’s all join together with the First Lady and put an end to Cyber Bullying.      #GetLoud        #SeenAndHeard…</t>
  </si>
  <si>
    <t>RT @Warrior101Abn: Oklahoma Senate Concurs with House: 2nd Amendment Is Your Carry Permit | Breitbart https://t.co/Uwu5V3hAyc via @Breitbar…</t>
  </si>
  <si>
    <t>RT @WhiteHouse: JUST RELEASED: Presidential Delegation for the opening of the United States Embassy in Jerusalem, Israel to include Deputy…</t>
  </si>
  <si>
    <t>RT @DineshDSouza: I notice the leftist weasels who call me “felon” have gone dead silent about Rosie committing 5–yes five—campaign finance…</t>
  </si>
  <si>
    <t>RT @MEL2AUSA: Lt. Col. Oliver North to become NRA president, organization says #NRA #2A 
https://t.co/ehXcyJ7bf5</t>
  </si>
  <si>
    <t>RT @BillOReilly: Americans knew about Donald Trump's social resume when the election was held. What we didn’t know was the intensity of the…</t>
  </si>
  <si>
    <t>RT @realDonaldTrump: Lisa Page, who may hold the record for the most Emails in the shortest period of time (to her Lover, Peter S), and att…</t>
  </si>
  <si>
    <t>RT @DevinNunes: Your Monday morning must read for more Russia Fiasco road blocks...our goal is full transparency for the American people! h…</t>
  </si>
  <si>
    <t>RT @CharlieDaniels: Morning prayer
Lord,bring about a revival in the country that will shake the very gates of hell, let the deceived ones…</t>
  </si>
  <si>
    <t>RT @EricTrump: #MakeAmericaGreatAgain 🇺🇸🇺🇸🇺🇸 https://t.co/Rv0yRcfpoH</t>
  </si>
  <si>
    <t>RT @trumpism_45: The 15,000 bikers have arrived in Washington D.C. to confront The Deep State Mueller team to demand the Witch Hunt be shut…</t>
  </si>
  <si>
    <t>RT @MidSkinner: Okay, People of IN, OH, WV, NC, why not help yourself, YOUR COUNTRY, all of us, and Vote Right, come the 8th Day of May, 20…</t>
  </si>
  <si>
    <t>RT @foxandfriends: HAPPENING TODAY: First Lady Melania Trump will reveal her platform to help our nation’s children https://t.co/CYFgx6d9Im</t>
  </si>
  <si>
    <t>RT @TheLastRefuge2: Mark Levin, Dan Bongino and Joe diGenova Discuss The Grand Usurpation (AKA: “The Page/Strzok Insurance Policy”)… https:…</t>
  </si>
  <si>
    <t>RT @PressSec: Proud to be with Ambassador @RichardGrenell tonight in NYC as he departs for Germany to represent our great country. Disgrace…</t>
  </si>
  <si>
    <t>RT @PoliticalShort: Most Republicans on Capitol Hill are really Democrats, but no Democrats are really Republicans. Thus, Mueller is effect…</t>
  </si>
  <si>
    <t>RT @DailyCaller: Melania Trump Plans Rose Garden Reveal Of Her Official Platform https://t.co/BoQvmzos23 https://t.co/8Zo9ZVKbkJ</t>
  </si>
  <si>
    <t>RT @DLoesch: So anti-gun advocates lied about where I was all weekend and hired JV bodyguards to run people out of parks if they asked ques…</t>
  </si>
  <si>
    <t>RT @JackPosobiec: Ex-Kentucky judge sentenced to 20 years in prison for human trafficking https://t.co/jtnNq1tsaF</t>
  </si>
  <si>
    <t>RT @mbms4: If anyone of my followers followed @hotfunkytown NOTE THAT ACCOUNT BANNED. New account that all must follow for this bright cons…</t>
  </si>
  <si>
    <t>RT @IWillRedPillU: Wikileaks Dumps Hillary Email Exposing Her Ordering US Diplomats to Steal DNA from UN Leadership
#Wikileaks #ClintonCrim…</t>
  </si>
  <si>
    <t>RT @The_Rain_Makers: We have lift off!
  #RainMakersUnite.com is launched 
It will be improved over the next few days but it is already s…</t>
  </si>
  <si>
    <t>RT @historylvrsclub: Bobby Kennedy tаking a break from brother John's 1960 presidential campaign. https://t.co/zrhJ0YH2SV</t>
  </si>
  <si>
    <t>RT @w_terrence: Trump John McCain said you can’t come to his funeral.  https://t.co/8Dsf3zRxrA</t>
  </si>
  <si>
    <t>RT @1Romans58: Oh, this day just keeps getting better...  😂😂😂
Rosie O'Donnell Used 5 Addresses, 4 Names in Over-Sized Dem Donations https:…</t>
  </si>
  <si>
    <t>RT @trumpism_45: We're loyal to the President, not to #SES https://t.co/kcJtWUphPw</t>
  </si>
  <si>
    <t>RT @kencampbell66: Security Expert Tony Shaffer: The Question of Why Flynn Pleaded Guilty Is Now Clear - He Was Lied to By Mueller https://…</t>
  </si>
  <si>
    <t>RT @BNONews: New video shows lava flowing in a neighborhood on Hawaii's Big Island; at least 21 homes have been destroyed so far https://t.…</t>
  </si>
  <si>
    <t>RT @Chicago1Ray: Sir Winston Churchill a larger than life icon who's Bust was accepted by every President up until #Obama 
To every man, t…</t>
  </si>
  <si>
    <t>RT @jayh2800: Damn Straight! 🇺🇸🇺🇸💪💪🚂🚂 Vote for Republicans that adopts the Trump agenda! If they don’t, they lose! We The People elected Tr…</t>
  </si>
  <si>
    <t>RT @TrumpTrainMRA4: #StandWithFlynn @GenFlynn @BarbaraRedgate 
https://t.co/wOe3mFT6hJ</t>
  </si>
  <si>
    <t>RT @GartrellLinda: SCOOP: Rick Perry Shows Congress Obama Energy Dept. Spent $10.3 MILLION On Office ‘Renovations’
POLITICIANS WASTE MONEY…</t>
  </si>
  <si>
    <t>RT @BarbaraRedgate: It’s Time To Expose‼️Who Signed FISA To Spy On Incoming NSA General Flynn Doing His Job Including Judge‼️WHO Unmasked G…</t>
  </si>
  <si>
    <t>RT @RealJamesWoods: Sara grabbed a shot of me in the 356 heading in for a lunch meeting... #Porsche https://t.co/Hz4Z4jorgI</t>
  </si>
  <si>
    <t>RT @historylvrsclub: JFK &amp;amp; Caroline Kennedy https://t.co/pqvuIHFE1i</t>
  </si>
  <si>
    <t>RT @AMike4761: HUNGARY :  says their 10ft razor-wire electrified border fence has COMPLETELY shut down mass Islamic migration – claim this…</t>
  </si>
  <si>
    <t>RT @LauraLoomer: I can’t believe John McCain is sending out invitations to his funeral like you would if you were having a wedding or a bir…</t>
  </si>
  <si>
    <t>RT @Thomas1774Paine: After Banning Trump from Attending, McCain Now Wants Barack Obama To Give Eulogy at His Funeral https://t.co/KojI6I6xnp</t>
  </si>
  <si>
    <t>RT @ABPatriotWriter: SPECIAL ELECTION NEWS - The #BlueWave was so strong that the Democrat failed to qualify for the runoff. Two Republican…</t>
  </si>
  <si>
    <t>RT @Doranimated: This is the key point that Never Trump refuses to entertain. https://t.co/ZluzFgkIFy</t>
  </si>
  <si>
    <t>RT @girl4_trump: I’d trust a glass of water from Flint before I’d trust #ShiffForBrains. Looks like #Soros has come up with a new plan. The…</t>
  </si>
  <si>
    <t>RT @blckriflecoffee: What a relaxing way to spend a Sunday! What are you guys up to? https://t.co/jLD8p7AgEa</t>
  </si>
  <si>
    <t>RT @PatriotLexi: Nunes:DOJ won’t comply with subpoena; Stonewalling‼️ 
“I strongly support the work that Chairman Nunes and his entire com…</t>
  </si>
  <si>
    <t>RT @Mikeproudvet: #TrumpSuperTrain @Mikeproudvet
Car #271
@waterfairy3
@JamieButts4
@zflip26
@kitten0626
@RWCinUSA
@Larry_CliffrdSr
@Deplor…</t>
  </si>
  <si>
    <t>RT @MikeDiaz285: DANG! Ted Cruz Blasts Banks Dumping Gun Makers for Being Constitution Hating Liberal Appeasers https://t.co/bEzXwrKO93</t>
  </si>
  <si>
    <t>RT @NRATV: "This meeting doesn't end today. This meeting will conclude on November 6, when we stake our flag on that hill of freedom, when…</t>
  </si>
  <si>
    <t>RT @Chicago1Ray: [U.S Dist Judge] Dabney Friedrich has rejected #Muellers request to delay a hearing on [13] Russians he handed down indict…</t>
  </si>
  <si>
    <t>RT @DBloom451: GOOD!👏👏👏
@DevinNunes: “We have to move quickly to hold the Attorney General of the United States in contempt and that’s wha…</t>
  </si>
  <si>
    <t>RT @SarahPalinUSA: Check it out: https://t.co/5JAOE9lcYa</t>
  </si>
  <si>
    <t>RT @ScottAdamsSays: People keep asking me what exactly @realDonaldTrump did to deserve a Nobel Prize. As a public service, I put together a…</t>
  </si>
  <si>
    <t>RT @historylvrsclub: Judy Gаrland (and the Munchkin actors) take a break from the filming of 'The Wizard of Oz' (1938). https://t.co/3Es9qv…</t>
  </si>
  <si>
    <t>RT @Thomas1774Paine: Unemployment Rate Falls to Lowest Since 2000 https://t.co/w6Z95xpFml</t>
  </si>
  <si>
    <t>RT @Smartassy4now: RIP A TRUE AMERICAN HERO🙏🙏🇺🇸🇺🇸🇺🇸🇺🇸🇺🇸🇺🇸🇺🇸
RT  https://t.co/XLtepEzA2u</t>
  </si>
  <si>
    <t>RT @Jamierodr10: We Need More Kids Like This Young Man! Will Riley: “ It’s Not About Me Having Guns. I Don’t Own Any. It’s About People’s R…</t>
  </si>
  <si>
    <t>RT @NevadaJack2: Actor Tim Allen sent out a Tweet Thursday suggesting his canceled hit TV series “Last Man Standing” may return to cable.…</t>
  </si>
  <si>
    <t>RT @Tony19542: London Hospital Admits Trump Right on Knife Crime Epidemic, But Disagrees with Second Amendment Stance https://t.co/QK5J7Zpg…</t>
  </si>
  <si>
    <t>RT @Tony19542: White House Correspondents' Association Exposed: Regularly Spends About 85% of WHCD Revenue on Annual Party, Not Scholarship…</t>
  </si>
  <si>
    <t>RT @LarrySchweikart: Holy cow.  
CIA=Colossally Incompetent Assholes https://t.co/xI0GXODLYz</t>
  </si>
  <si>
    <t>RT @NRATV: "On November 5th a madmen came into the church in Sutherland Springs and I responded. I responded for what God told me to do. Th…</t>
  </si>
  <si>
    <t>RT @USAHotLips: 9 MINUTES......9 Minutes of TRUTH‼️
This is a MUST WATCH👀👀👀
@AlanDersh breaks everything down &amp;amp; ppl need to LISTEN‼️
#De…</t>
  </si>
  <si>
    <t>RT @realDonaldTrump: Thank you Cleveland, Ohio! https://t.co/ROEFRLY7jP</t>
  </si>
  <si>
    <t>RT @historylvrsclub: Young John F. Kennedy https://t.co/JWt6N6bwHw</t>
  </si>
  <si>
    <t>RT @ScottPresler: BLUE TO RED: Tuesday, May 8th, is primary day in IN, OH, NC, &amp;amp; WV.
IN 🔵🔜🔴
OH 🔵🔜🔴
WV 🔵🔜🔴
These 3 states have vulnerable de…</t>
  </si>
  <si>
    <t>RT @tedcruz: "Full endorsement for this man: Ted Cruz!"
Let's #KeepTexasRed: https://t.co/rzQF953OZx #TXSen #NRA #2A https://t.co/A76PPyOX…</t>
  </si>
  <si>
    <t>RT @ElahElam1: https://t.co/grh18dz1hE</t>
  </si>
  <si>
    <t>RT @NRATV: Benghazi hero @MarkGeistSWP talks about his experience during the 13-hour firefight and about how it was all done for his family…</t>
  </si>
  <si>
    <t>RT @NRATV: "Hit us with everything you've got. Throw every punch, every insult, every ounce of venom you've got right at us. We'll come rig…</t>
  </si>
  <si>
    <t>RT @PressSec: There is no one more qualified to be the first woman to lead the CIA than 30+ year CIA veteran Gina Haspel. Any Democrat who…</t>
  </si>
  <si>
    <t>RT @BBCWorld: North Korea changes its time zone to match South https://t.co/bOnSqFCNrr</t>
  </si>
  <si>
    <t>RT @TheLastRefuge2: FBI Faced ‘Conundrum’ In Its Investigation Of Michael Flynn https://t.co/BHG18BhA33 via @dailycaller</t>
  </si>
  <si>
    <t>RT @1Romans58: EVERYBODY doing all this Illegal activity and the great @genflynn is the one who gets screwed.  Ridiculous! 
Newly Unredact…</t>
  </si>
  <si>
    <t>RT @DineshDSouza: Terrific move by @realDonaldTrump . Get this debate right out into the open https://t.co/yDMiVkYi7g</t>
  </si>
  <si>
    <t>RT @FoxNews: TONIGHT: Rudy Giuliani joins @JudgeJeanine at 9p ET on Fox News Channel! https://t.co/Q7G1SZxtH3</t>
  </si>
  <si>
    <t>RT @TomFitton: The court transcript is devastating.  And shows that Rosenstein set loose an anti-@realDonaldTrump special counsel to invest…</t>
  </si>
  <si>
    <t>RT @prayingmedic: I just uploaded “Q Anon May 5 - Justice Has Come” to #Vimeo: https://t.co/GQo8ibpCM2</t>
  </si>
  <si>
    <t>RT @SiddonsDan: “Lines to see President Trump and Vice President Pence that the Media didn’t show you Yesterday, at the NRA’s Annual Meetin…</t>
  </si>
  <si>
    <t>RT @IWillRedPillU: New York Magazine's Liberal Reporter Olivia Nuzzi Burglarized Corey Lewandowski’s Home, Bragged- Posting Photos on Twitt…</t>
  </si>
  <si>
    <t>RT @DLoesch: Shannon, this is a lie. I’m having lunch with my family right now outside of Dallas. Shame on you. https://t.co/rY6KIMvdJE</t>
  </si>
  <si>
    <t>RT @davis1988will: Some sad news to share.  Terre Haute, Indiana Police Officer Rob Pitts was shot and killed in the line of duty last nigh…</t>
  </si>
  <si>
    <t>RT @jcpenni7maga: 15k Patriot 🇺🇸Bikers from across the country are heading to Washington DC to demand the #MuellerWitchHunt be SHUTDOWN!  L…</t>
  </si>
  <si>
    <t>RT @SaraCarterDC: FLASHBACK: This is the first story I broke on Baker last year. On Friday FBI announced his resignation and that of FBI at…</t>
  </si>
  <si>
    <t>RT @WhiteHouse: A closer look at the White House gardens past and present: https://t.co/tkN2cUA9wd</t>
  </si>
  <si>
    <t>RT @Avenger2Toxic: And you tell me they don't have a left wing agenda? 
Project Veritas: Teachers Union Presidents Suspended for Alleged C…</t>
  </si>
  <si>
    <t>RT @TrumpsDC: Rush Limbaugh;
"If this great Reckoning of these corrupt Democrat is ever going to take place, the people that voted for Don…</t>
  </si>
  <si>
    <t>RT @realDonaldTrump: I want to thank all of our friends and patriots at the @NRA. We will never fail, and we will always protect your Secon…</t>
  </si>
  <si>
    <t>RT @DevinNunes: Good thread here to analyze new declassified information we received tonight...Friday night fun!!! https://t.co/4bKGC8HOue</t>
  </si>
  <si>
    <t>RT @brithume: Here is the redacted version of Rosenstein’s August 2, 2017 memo outlining the  scope of the Mueller investigation. It doesn’…</t>
  </si>
  <si>
    <t>RT @prayingmedic: Moves and Countermoves https://t.co/RcQVI2zevP</t>
  </si>
  <si>
    <t>RT @FoxNews: "33,000 emails requested by Congress with a subpoena and they get burned, they get deleted, and nobody says anything. Give me…</t>
  </si>
  <si>
    <t>RT @yogagenie: Lisa Page has resigned.   https://t.co/xnInpYuWT1</t>
  </si>
  <si>
    <t>RT @TheLastRefuge2: BREAKING: Former FBI Chief Legal Counsel James Baker Resigns from FBI – Granular Detail Indicates “No Immunity”… https:…</t>
  </si>
  <si>
    <t>RT @prayingmedic: Judge Ellis has given prosecutors two weeks to show what evidence they have that Manafort was complicit in colluding with…</t>
  </si>
  <si>
    <t>RT @realDonaldTrump: Going to Dallas (the GREAT State of Texas) today. Leaving soon!</t>
  </si>
  <si>
    <t>RT @prayingmedic: Your President. https://t.co/UXVnEI0yVH</t>
  </si>
  <si>
    <t>RT @TomFitton: FITTON: New Memo Leak Details Are Further Evidence of FBI Corruption Under Comey 'This Wasn't the First Time Leaks Occurred'…</t>
  </si>
  <si>
    <t>RT @TrumpsBIonde: The “rest of the @kanyewest video” @TMZ did not release.  Nice try #LeftistPropaganda   Keep speaking, Mr.West.   It’s ab…</t>
  </si>
  <si>
    <t>RT @Thomas1774Paine: LEGALLY! — Melania’s Parents Are Becoming Americans The Right Way https://t.co/2kV25ypWnF</t>
  </si>
  <si>
    <t>RT @prayingmedic: #NationalDayOfPrayer https://t.co/e5ClrF5edc</t>
  </si>
  <si>
    <t>RT @realDonaldTrump: #NationalDayOfPrayer https://t.co/nFUc3uyQL8</t>
  </si>
  <si>
    <t>RT @SoCal4Trump: Hillary Clinton: "Being a capitalist probably hurt me because so many Democrats are socialists." https://t.co/RTBh2stnEN</t>
  </si>
  <si>
    <t>RT @wolfehunter01: My youngest daughter turns 23 this Friday,  when her mother was pregnant with her we were told she would be severely ret…</t>
  </si>
  <si>
    <t>RT @FlynnJack515: https://t.co/YomWW0AX6X now more than ever.  https://t.co/Jje5ufUegh</t>
  </si>
  <si>
    <t>RT @charliekirk11: A Reuters poll taken on April 22, 2018 had Trump’s approval rating among black men at 11%, while the same poll on April…</t>
  </si>
  <si>
    <t>RT @brithume: Rudy Giuliani tells @seanhannity POTUS reimbursed the $130,000 lawyer Michael Cohen paid Stormy Daniels, which would mean it…</t>
  </si>
  <si>
    <t>RT @thebradfordfile: Rod Rosenstein: You work for us, not Queen Hillary.
#ObamaGate https://t.co/n4pg6uw3CO</t>
  </si>
  <si>
    <t>RT @NevadaJack2: A South Korean activist said three Americans held by North Korea have been transferred from a labor camp to a hotel outsid…</t>
  </si>
  <si>
    <t>RT @RealMAGASteve: Please help me honor the sacrifice of US Army Spc. Kerry M.G. Danyluk, 27, of Cuervo, TX. Kerry was K.I.A. on April 12,…</t>
  </si>
  <si>
    <t>RT @historylvrsclub: Goodyear's illuminated tires that were developed in 1961 but never went into production. https://t.co/kWgOcwD2KR</t>
  </si>
  <si>
    <t>RT @Talboys21: Rudy Giuliani “All the crimes now ha e been committed by the government.” #Boom</t>
  </si>
  <si>
    <t>RT @DonaldJTrumpJr: Kind of a big deal. If you’re giving up leverage points before a negotiation you’re probably ready to do business. 
No…</t>
  </si>
  <si>
    <t>RT @historylvrsclub: Steve McQueen, Faye Dunaway and Paul Newman https://t.co/F1eAESuIwF</t>
  </si>
  <si>
    <t>RT @TocRadio: NEW - Rudy Giuliani tells Sean Hannity Trump personally reimbursed Michael Cohen for $130,000 Stormy Daniels payment - "He di…</t>
  </si>
  <si>
    <t>RT @VP: I grew up working in a small family business where I learned the value of hard work &amp;amp; lived the American dream. This #SmallBusiness…</t>
  </si>
  <si>
    <t>RT @AnnaApp91838450: https://t.co/OmnC9LOhHj
KARMA'S A BI**H JEFF 
YOU SHOULD NEVER UNDER
ESTIMATE POWER OF THE AMERICAN PATRIOTS
THAT💯STAN…</t>
  </si>
  <si>
    <t>RT @TheLastRefuge2: Joe diGenova Discusses Rod Rosenstein…. https://t.co/x2H5BzYxkJ https://t.co/np5b2A7HKF</t>
  </si>
  <si>
    <t>RT @JenNongel: AG Sessions Sends 18 Judges, 35 Prosecutors to the Border 🇺🇸💪🏻🇺🇸
https://t.co/vrXXMbCIAh</t>
  </si>
  <si>
    <t>RT @ScottPresler: Trump is the Free Prisoners President: 
✔️Freed Aya Hijazi &amp;amp; family from Egyptian prison
✔️Freed 3 black students from…</t>
  </si>
  <si>
    <t>RT @SecPompeo: Honored to be joined by @POTUS and @VP for my swearing-in at the @StateDept today. Ready to lead America's diplomats to deli…</t>
  </si>
  <si>
    <t>RT @realDonaldTrump: As everybody is aware, the past Administration has long been asking for three hostages to be released from a North Kor…</t>
  </si>
  <si>
    <t>RT @thenationsrage: #Texas and 6 other states sue to end #DACA
@KenPaxtonTX @GregAbbott_TX
@tedcruz @SenTedCruz @GovAbbott #KeepingTexasGr…</t>
  </si>
  <si>
    <t>RT @intheMatrixxx: Out to dinner and LQQK what I spotted! 
@POTUS #QArmy #QAnon #MAGA #WWG1WGA #TheRainmakers #Q https://t.co/gbNfnXfueX</t>
  </si>
  <si>
    <t>RT @RepLeeZeldin: May is #MilitaryAppreciationMonth. Let's always cherish to the max the sacrifice of our military men &amp;amp; women in defense o…</t>
  </si>
  <si>
    <t>RT @CovfefeRegina: Thank you @SecPompeo for thanking God &amp;amp; acknowledging that this is who we worship &amp;amp; answer to...NOT Washington🇺🇸 https:/…</t>
  </si>
  <si>
    <t>RT @GlennFHoward: https://t.co/XAMjPEmE4o</t>
  </si>
  <si>
    <t>RT @prayingmedic: Congress seeks to end aid to Palestinians
Demands disclosure of U.S. taxpayer payments to terrorists 
https://t.co/gzWk08…</t>
  </si>
  <si>
    <t>RT @1Romans58: Trump just keeps #WINNING  
Still not tired, Keep it up. #MAGA
Another Trump Win: North Korea Releases Three US Prisoners f…</t>
  </si>
  <si>
    <t>RT @realDonaldTrump: Congratulations @SecPompeo! https://t.co/ECrMGkXMQF</t>
  </si>
  <si>
    <t>RT @TRUMPMOVEMENTUS: Photo of the Day
President Donald J. Trump and the crew members and passengers of Southwest Airlines Flight 1380 - May…</t>
  </si>
  <si>
    <t>RT @SebGorka: Congratulations @GreggJarrett! https://t.co/4qpnLcVC1i</t>
  </si>
  <si>
    <t>RT @StandingDarrell: “How do you negotiate with people who want to enact policies that will literally destroy America? You don’t.”
Even mi…</t>
  </si>
  <si>
    <t>RT @DSanchez1669: Congratulations to Mike Pompeo on your official swearing in for Secretary Of State! 🇺🇸          #Swagger #ExecuteTheMissi…</t>
  </si>
  <si>
    <t>RT @Thomas1774Paine: BREAKING -- FBI: Comey Removed Classified Documents From FBI &amp;amp; Stored Them At Home; Investigated Hillary For Same Offe…</t>
  </si>
  <si>
    <t>RT @GrrrGraphics: #Moonbeam #Governor #jerryBrown 's "Gimmegrants" #IllegalAliens #california #SanctuaryState 
#BuildTheWall #WednesdayWisd…</t>
  </si>
  <si>
    <t>RT @SebGorka: How did @JohnBrennan get a job with the CIA after voting Communist? https://t.co/T1RAy3HIeJ</t>
  </si>
  <si>
    <t>RT @FoxNews: Moments ago, Rep. Diane Black released her and several other members of Congress's nomination of President Donald J. Trump to…</t>
  </si>
  <si>
    <t>RT @LoriinUtah: This is why @RealJamesWoods remains one of my most valued followers! Thank you James! Maxine Waters is pathetic. To say she…</t>
  </si>
  <si>
    <t>RT @FoxNews: NEWS ALERT: @POTUS makes first trip to @StateDept for swearing-in of Mike Pompeo as Secretary of State. https://t.co/4NvnDkpXTW</t>
  </si>
  <si>
    <t>RT @McNaughtonArt: I painted this as a remembrance of Andrew Breitbart. It is titled, "No Fear."
https://t.co/lrt1pNWMsQ https://t.co/Upfzc…</t>
  </si>
  <si>
    <t>RT @OANN: At Least 14 Caravan Migrants Allowed into U.S., While 11 Others Charged for Entering Illegally - https://t.co/xQjG1lFHap #OANN #M…</t>
  </si>
  <si>
    <t>RT @Boyd_2650: https://t.co/fFXiCVk66M⚖️When John Kerry was Secretary of State, he sent his own dossier with classified info to Sen. Ben Ca…</t>
  </si>
  <si>
    <t>RT @Joe_America1776: "Seven states, led by the Texas AG, are suing the Trump administration to end DACA"  https://t.co/rZMBaV1jiZ #TCOT #MA…</t>
  </si>
  <si>
    <t>RT @dbongino: We still haven’t heard back from @facebook why they labeled my podcast content “spam.” They’re not even hiding their anti-con…</t>
  </si>
  <si>
    <t>RT @realDonaldTrump: There was no Collusion (it is a Hoax) and there is no Obstruction of Justice (that is a setup &amp;amp; trap). What there is i…</t>
  </si>
  <si>
    <t>RT @tammy_coldwell: #BREAKING
'Tehran terrified, US expert says' #Iran regime is "humiliated" 
After a daring #Mossad operation seized sco…</t>
  </si>
  <si>
    <t>RT @RealJamesWoods: Build. The. Wall.  https://t.co/JnrBjpoGq9</t>
  </si>
  <si>
    <t>RT @prayingmedic: All successful global peace campaigns include memes. 
Here's to peace on the Korean Penninsula. 
https://t.co/T8b6YqmIfl</t>
  </si>
  <si>
    <t>RT @ColumbiaBugle: God Bless Texas!
The State of Texas is suing to End President Obama's Unconstitutional DACA Amnesty.
Hopefully we can…</t>
  </si>
  <si>
    <t>RT @DevinNunes: Myth busting by @ByronYork from November 2017... https://t.co/hzfllMGBvu</t>
  </si>
  <si>
    <t>RT @RepMarkMeadows: If he believes being asked to do his job is ‘extortion,’ then Rod Rosenstein should step aside and allow us to find a n…</t>
  </si>
  <si>
    <t>RT @historylvrsclub: 1983: а 747 piggybacking Space Shuttle Enterprise (the first Space Shuttle) visits England's Stanstead Airport. https:…</t>
  </si>
  <si>
    <t>RT @GrizzleMeister: 🚨 HERO DOWN 🚨 
US Army SPC Gabriel David Conde, 22, was killed while conducting a combat operation in Afghanistan. RIP…</t>
  </si>
  <si>
    <t>RT @ScottPresler: VICTORY: Congratulations to @SangYi on winning his race for Fairfax City Council, Virginia! 
This is a huge, colossal, m…</t>
  </si>
  <si>
    <t>RT @SBelle1950: The NRA came up with a great idea. Cover the "Yeti" name on your coolers, etc with an "I Stand with the NRA Foundation" sti…</t>
  </si>
  <si>
    <t>RT @Thomas1774Paine: DNC Officials Tell Hillary Clinton They Want Their Money Back https://t.co/23XIlw5shl</t>
  </si>
  <si>
    <t>RT @Barnett20Todd: Asking you to do your job is not extortion Mr. Rosenstein!
Rod Rosenstein: Justice Dept. Won't Be 'Extorted' by Congress…</t>
  </si>
  <si>
    <t>RT @Pickles0201: PENNSYLVANIA ❤
Please VOTE for #AMERICAFIRST #MAGA candidate @louforsenate
🇺🇸 LOU BARLETTA SENATE
⬇⬇ Check✔☑ out ⬇⬇
Gui…</t>
  </si>
  <si>
    <t>RT @Thomas1774Paine: Report: U.S. Confirmed Iran Nuclear Files Seized by Israel as ‘Authentic’ https://t.co/sdH6wUzbZL</t>
  </si>
  <si>
    <t>RT @FernBrackens: 🐍🐍About Term Limits🐍🐍
"...lost touch with their constituents and are beholden to lobbyists and other special interest gro…</t>
  </si>
  <si>
    <t>RT @Golfinggary522: Yessir!
AG Jeff Sessions and DOJ Files Federal Charges Against Illegals in Caravan. As he should! No more catch and rel…</t>
  </si>
  <si>
    <t>RT @Thomas1774Paine: Members of migrant caravan remain defiant after US again denies border entry https://t.co/rEwAkOVGAc</t>
  </si>
  <si>
    <t>RT @charliekirk11: Your gender or color of your skin should not dictate what ideas you have or political party you support</t>
  </si>
  <si>
    <t>@DallasIrey America's Ride</t>
  </si>
  <si>
    <t>RT @Ola_Salem: This guy, Muntazar al-Zaidi, is running for president of Iraq and if you're not excited about that, you may not be used to s…</t>
  </si>
  <si>
    <t>RT @1Romans58: What an embarrassment!  Cuomo interrupts the Prime Minister multiple times, acting like a belligerent fool.   
WATCH: CNN's…</t>
  </si>
  <si>
    <t>RT @LarrySchweikart: Flynn sentencing delayed again.
Why?
Problems with the evidence, maybe?</t>
  </si>
  <si>
    <t>RT @RepMattGaetz: My new furry friend Saber showed me around Bob Sikes Airport facilities 🐶✈️ https://t.co/xl2oH8r6MI</t>
  </si>
  <si>
    <t>RT @GregAbbott_TX: Texas ranks as one of the most FUN states in America. But we knew that already. #txlege  https://t.co/KqQ0rO8Lfo</t>
  </si>
  <si>
    <t>RT @SebGorka: As they say in the UK:
        “Goodnight Vienna!” https://t.co/jWM0gxBMHN</t>
  </si>
  <si>
    <t>RT @SecPompeo: I'm grateful to @POTUS for the honor to serve as our nation's 70th Secretary of State. So many matters of global importance…</t>
  </si>
  <si>
    <t>RT @TexasCruzer: We enjoyed getting to meet students in between classes last week at Abilene Christian University! Good Luck on Finals!!!!!…</t>
  </si>
  <si>
    <t>RT @michaelbeatty3: ♡ BOOM ♡
"We here at the White House 
try NEVER to be concerned with anything dealing with ADAM SCHIFF :)
- SARAH SANDE…</t>
  </si>
  <si>
    <t>RT @WiredSources: BREAKING: Kim Jong-un agrees to meet Trump at DMZ, will likely require US troops on North Korean soil to keep President s…</t>
  </si>
  <si>
    <t>RT @seanhannity: https://t.co/EBI5V5gn4X</t>
  </si>
  <si>
    <t>RT @prayingmedic: 1) This is my #Qanon thread for April 30, 2018. 
Q posts can be found here: https://t.co/rjRgcHS7yO
This thread begins a…</t>
  </si>
  <si>
    <t>RT @WhiteHouse: Last week, CIA Deputy Dir. Gina Haspel assumed the role of Acting Dir. upon Mike Pompeo’s swearing-in as America’s 70th Sec…</t>
  </si>
  <si>
    <t>RT @JackPosobiec: Who did this https://t.co/XAmVU17Eoh</t>
  </si>
  <si>
    <t>RT @marklevinshow: Iran’s lies https://t.co/K99DVjsp67</t>
  </si>
  <si>
    <t>RT @realDonaldTrump: So disgraceful that the questions concerning the Russian Witch Hunt were “leaked” to the media. No questions on Collus…</t>
  </si>
  <si>
    <t>RT @IWillRedPillU: AG Jeff Sessions and DOJ Files Federal Charges Against Illegals in Caravan
#StopTheCaravan #Moonbeam #LockThemAllUp #QAn…</t>
  </si>
  <si>
    <t>RT @SebGorka: Clearly something to hide. 
https://t.co/WaPX4XdZp0</t>
  </si>
  <si>
    <t>RT @AllenWestRepub: Looks like they took a page right out of the Clinton Crime Family Handbook. https://t.co/DLwwpZMN36</t>
  </si>
  <si>
    <t>RT @VP: Important visit to our southern border today. WALLS WORK. And the border wall is not only necessary to support the men &amp;amp; women on t…</t>
  </si>
  <si>
    <t>RT @1Romans58: Don't bother deleting your old tweets, we saved them for you... 
Obama Bros. Speechless After Netanyahu Exposes Iran Deal L…</t>
  </si>
  <si>
    <t>RT @michaelbeatty3: 🕸️JOY REID🕸️
✔️Tweets bad things
🕸️Lies about it
✔️Claims she was hacked
🕸️NBC supports her as she calls on the FBI
✔️L…</t>
  </si>
  <si>
    <t>RT @RNRKentucky: Iran Falsified All Reports
"#Netanyahu didn't present just  a smoking gun but a smoking bomb." 
##RNRKentucky 
#RedNati…</t>
  </si>
  <si>
    <t>RT @adjunctprofessr: 🔊🔊🔊 Check out this thread from
.@prayingmedic!
The Iran deal exposed.
#MAGA
#WWG1WGA
#KAG
#Trump
#WeThePeople
#RedWave…</t>
  </si>
  <si>
    <t>RT @IsraelUSAforevr: RETWEET IF YOU AGREE WITH PM NETANYAHU https://t.co/YcvQmlYRqG</t>
  </si>
  <si>
    <t>RT @thehill: New York Times obtains list of questions Mueller wants to ask Trump https://t.co/Gq4zF4J9nq https://t.co/AnwL5MmKD5</t>
  </si>
  <si>
    <t>RT @John_KissMyBot: Bibi Netanyahu EXPOSES Iran And Their NUKES In His Press Conference 
💥 Watch: Netanyahu – 100,000 Secret Files Prove I…</t>
  </si>
  <si>
    <t>RT @jerome_corsi: I just posted on my YouTube channel jrlcorsi Jerome Corsi Live Stream Monday, April 30- Current Events Update https://t.c…</t>
  </si>
  <si>
    <t>RT @KryptoniteDragn: @KingDoug_I
  @icare4america16
  @MAGAMOTHERof3
  @wishit2
  @cdkoct
  @wouterhoetink
  @Murlgirl1
  @JBruman55
  @Ber…</t>
  </si>
  <si>
    <t>RT @SebGorka: Care to comment on this tweet @BarackObama?
And your “legacy?” https://t.co/y6bcvzJZ4n</t>
  </si>
  <si>
    <t>RT @hero4hire4: https://t.co/bXzogfjkFx</t>
  </si>
  <si>
    <t>RT @seanhannity: Clapper under fire... https://t.co/dGi6iHP7VH</t>
  </si>
  <si>
    <t>RT @RealMAGASteve: Today's Non-Political Tweet: 3-year-old Lennox Salcedo was told to “run home as fast as he can” during a baseball game.…</t>
  </si>
  <si>
    <t>RT @RealJamesWoods: The Obama administration is like a stain on American history. How could he and his henchmen have been so gullible, with…</t>
  </si>
  <si>
    <t>RT @bud_cann: In a press conference aimed at the international community, Prime Minister Netanyahu unveiled a cache of secret files obtaine…</t>
  </si>
  <si>
    <t>RT @FedupWithSwamp: "Iran has a robust, clandestine nuclear weapons program that it has tried and failed to hide from the world and from it…</t>
  </si>
  <si>
    <t>RT @dekdarion: What do we have here???  #QAnon https://t.co/aiDBxTIMlZ</t>
  </si>
  <si>
    <t>RT @Thomas1774Paine: BREAKING: Big Media Company Withholds FBI Investigative Bombshell For Months; Shielding Mueller, Hillary &amp;amp; FBI Brass f…</t>
  </si>
  <si>
    <t>RT @TRUMPMOVEMENTUS: Photo of the Day
President Donald J. Trump and the 2018 USA Olympic and Paralympic Teams - April 27, 2018 https://t.co…</t>
  </si>
  <si>
    <t>RT @WhiteHouse: Today, President Trump will welcome President Buhari of the Federal Republic of Nigeria to the White House.
Watch the join…</t>
  </si>
  <si>
    <t>RT @RealMAGASteve: George Washington took the oath on this day in 1789 as the 1st president of the U.S.
While liberals are attacking the h…</t>
  </si>
  <si>
    <t>RT @TrumpsBlonde: "He's a master negotiator. President Trump is very good at what he does…" Watch @RichardGrenell, our new ambassador to Ge…</t>
  </si>
  <si>
    <t>RT @historylvrsclub: Survivors of the Titanic row to the Carpathia 1912 https://t.co/2K4TS5jCSl</t>
  </si>
  <si>
    <t>RT @Jamierodr10: Everyday I Am Amazed By This Incredible Lady! She’s Strong, Intelligent, Deals With So Much Everyday And Always Keeps Her…</t>
  </si>
  <si>
    <t>RT @foxandfriends: President Trump skips #WHCD for Michigan rally. The dinner host, comedian Michelle Wolf, used the opportunity to go afte…</t>
  </si>
  <si>
    <t>RT @RodStryker: “We’ve had no president in my lifetime enforce the immigration laws and talk about improving immigration like President Tru…</t>
  </si>
  <si>
    <t>RT @2christian: #DeepState operatives McCabe &amp;amp; Strzok blindsided Flynn on 1/24/17, with an unannounced ?? of @realDonaldTrump official. Typ…</t>
  </si>
  <si>
    <t>RT @JudicialWatch: Following JW's filing of a FOIA lawsuit w/ the FBI, JW announced that the FBI has now agreed to actually go back&amp;amp; review…</t>
  </si>
  <si>
    <t>RT @DanCovfefe1: We love @PressSec 🇺🇸
#MAGA https://t.co/wWwewa9MVq</t>
  </si>
  <si>
    <t>RT @lmchristi1: Ask yourselves:
🗣Why don’t these illegals stay in Mexico where they have been granted asylum already?
🗣Why are they not at…</t>
  </si>
  <si>
    <t>RT @truckerbooman: When asking Americans about @POTUS @realDonaldTrump performance 
They come back and said
“ why isn’t he Draining the S…</t>
  </si>
  <si>
    <t>RT @TheNoahRing: If the election were today would you vote for Trump? 
(Rt so we have an accurate poll)</t>
  </si>
  <si>
    <t>RT @ptmarigan: California has more than a “few” problems with homessness &amp;amp; drugs, this morning Caltrans workers are seeking more protection…</t>
  </si>
  <si>
    <t>RT @smithton_m: Knock ,knock. Who is there? Oh Lawdy, Joy it’s your written words from the past coming back to bite you in the butt.👇 https…</t>
  </si>
  <si>
    <t>RT @IngrahamAngle: Here Are Three Scary FBI Scandal Factors You Must Know https://t.co/Zl7pThIQa2 via @LifeZette</t>
  </si>
  <si>
    <t>RT @RealEagleWings: .@netanyahu says Iran must be
stopped. Its quest for nuclear bombs must be stopped. Its aggression must be stopped, and…</t>
  </si>
  <si>
    <t>RT @1776Stonewall: The migrants from the caravan did one great thing yesterday, they proved how easy it is to climb over the existing fence…</t>
  </si>
  <si>
    <t>RT @Dawn_DeMore1: #StopTheCaravan #BuildThatWall
ICE Director on Caravan Arriving On Border Wall: Congress Must Close 'Legislative Loophol…</t>
  </si>
  <si>
    <t>RT @MilitaryEarth: HEARTWARMING: A North Dakota airman’s surprise homecoming brought his 8-year-old son to tears. https://t.co/IKA4gwfCua</t>
  </si>
  <si>
    <t>RT @JewhadiTM: Resonant Syria strike suggests coordinated US-Israel message to Russia and Iran 
Overnight attack comes with Pompeo in the…</t>
  </si>
  <si>
    <t>RT @KatiePavlich: White House says reports about Dr. Ronny Jackson leaving his position as Trump’s physician are false and that there are n…</t>
  </si>
  <si>
    <t>RT @seanhannity: From the swamp to the gutter... https://t.co/3SeDLK7wJx</t>
  </si>
  <si>
    <t>RT @Thomas1774Paine: FBI: Comey Colluded with Mueller Hours After He Was Fired as FBI Director; Mueller Appointed Special Counsel Days Late…</t>
  </si>
  <si>
    <t>RT @MAGANinaJo: Poll finds millennials 18-24 are supporting Republicans; Dem support down by 9 percentage points. #Winning #KAG! @WayneDupr…</t>
  </si>
  <si>
    <t>RT @Thomas1774Paine: Details emerging on Big Media cover up story of FBI blowout. Paper has sat on story for months; Stay tuned. Developing…</t>
  </si>
  <si>
    <t>RT @RealJamesWoods: One hundred percent concur. I hadn’t seen it in a few years and to my surprise I had still memorized every hilarious se…</t>
  </si>
  <si>
    <t>RT @mitchellvii: Just read that suburban women don't like Trump's "divisiveness."
Well, God said to, "divide the wheat from the chaff." Tr…</t>
  </si>
  <si>
    <t>RT @historylvrsclub: Police patrolling during fires following the San Francisco Earthquake in 1906. Photograph by Stewart &amp;amp; Rogers. https:/…</t>
  </si>
  <si>
    <t>RT @battleofever: Good morning and happy Monday, Patriot #2ADefenders!
Thank God today, for the right to protect ourselves, against enemie…</t>
  </si>
  <si>
    <t>RT @TXRedPilled: 🚨🚨 FEDS DROP BOMBSHELL: Comey &amp;amp; Lynch Colluded with Clinton Campaign to Entrap, Wiretap Trump; Illegal Scheme Involved Ent…</t>
  </si>
  <si>
    <t>RT @RickBarrientos3: Sharp TPN is the perfect for for the MSM scums. That said he had his butt handed to him by this pastor!
Sharpton is t…</t>
  </si>
  <si>
    <t>RT @BillOReilly: Joy Reid needs a safe space.  The hard left MSNBC commentator stands accused of making a variety of anti-LGBT comments inc…</t>
  </si>
  <si>
    <t>RT @TrumpSupport13: #MondayMotivation @TPUSA #MAGA https://t.co/5guYyUJe4k</t>
  </si>
  <si>
    <t>RT @The_Trump_Train: Please share this picture with as many people as possible. We must sweep the midterms! https://t.co/1XGXabF4uI</t>
  </si>
  <si>
    <t>RT @TempusSpiritus: #MondayMotivation ☕️🇺🇸🌞😎
My Monday motivation is having one person on America’s side in Washington. 
#MAGA 🇺🇸 #KAG ht…</t>
  </si>
  <si>
    <t>RT @WhiteHouse: Loopholes in our immigration system created by judicial rulings have made it nearly impossible to remove many criminal alie…</t>
  </si>
  <si>
    <t>RT @Chicago1Ray: "A week ago @RealCandaceO was praised by @kanyewest seems to have broke the Internet,Just [7] words 'I like the way Candac…</t>
  </si>
  <si>
    <t>RT @EricTrump: Great picture of @LaraLeaTrump at Saturday’s Trump rally in #Michigan! @realDonaldTrump #MAGA 🇺🇸🇺🇸 https://t.co/uC43tZMXT8</t>
  </si>
  <si>
    <t>RT @realDonaldTrump: The White House Correspondents’ Dinner was a failure last year, but this year was an embarrassment to everyone associa…</t>
  </si>
  <si>
    <t>RT @TerranceCreamer: 1) Forty-three years ago today, Charles McMahon (10 May1953 - 29 April 1975) and Darwin Lee Judge (16 February 1956 -…</t>
  </si>
  <si>
    <t>RT @Thomas1774Paine: Dems fear GOP wins in California because of state’s primary system, Hoyer says https://t.co/rlkHq6if2T</t>
  </si>
  <si>
    <t>RT @RealJamesWoods: I can’t disagree! Seriously I am humbled and thank you, Governor. What pride you must feel to have such a fine American…</t>
  </si>
  <si>
    <t>RT @Thomas1774Paine: We'll be pouring gasoline on the FBI dumpster fire early on Monday. And expect more news as the day progresses. Just a…</t>
  </si>
  <si>
    <t>RT @carold501: Trump expected to speak at NRA meeting in Dallas: report https://t.co/VK3dOoi99d</t>
  </si>
  <si>
    <t>RT @TerranceCreamer: Let us remember and honor U.S. Army PFC Christian Jake Chandler, 20 of Trenton, Texas, assigned to 2nd Battalion, 87th…</t>
  </si>
  <si>
    <t>RT @ShowboatBob: #BobsTrumpTrain
@ShowboatBob
@Soonertrayner
@Kevindogluver
@HoeCake83Backup
@ClaraLouiseBro1
@OneNationJFA
@RPCovit
@Billy…</t>
  </si>
  <si>
    <t>RT @wikileaks: Giant explosion in #Syria, measuring over 2 on the Richter scale, which local press are reporting as an Israeli air strike o…</t>
  </si>
  <si>
    <t>RT @RealJamesWoods: If Trump walked on water, they’d say he couldn’t  swim. I think liberal fatigue is sweeping the nation. Nobody in his o…</t>
  </si>
  <si>
    <t>RT @steingal2: A male friend of Sarah’s who was at the so called correspondents dinner, headed by “comedy” THIS is a very strong and determ…</t>
  </si>
  <si>
    <t>RT @historylvrsclub: Mickey and Minnie Mouse costumes, 1930s https://t.co/gVCGoz2Dwq</t>
  </si>
  <si>
    <t>RT @BossSquirrel72: REPORT: Members of Migrant Caravan 'Marrying' https://t.co/noKPuVLAUd</t>
  </si>
  <si>
    <t>RT @SecondLady: These lilacs Barbara Bush had planted here at the Vice President's Residence when she was second lady. They are in full blo…</t>
  </si>
  <si>
    <t>RT @Big_Ahlers: Right On James https://t.co/FkoNOOAvfn</t>
  </si>
  <si>
    <t>RT @Thomas1774Paine: Scalise One Year After Baseball Shooting: ‘God Performed Real Miracles’ (VIDEO) https://t.co/MmSjimIwS2</t>
  </si>
  <si>
    <t>RT @LisaMei62: WTH?!! https://t.co/M5jxiLD8gC</t>
  </si>
  <si>
    <t>RT @GregAbbott_TX: For all those facing challenges, lean on God. https://t.co/VouPs1H0ub</t>
  </si>
  <si>
    <t>RT @prayingmedic: @ Jack
Nervous?
Twitter Sold Information to the Researcher Behind the Facebook Data Scandal. https://t.co/uCdKOdtXe7</t>
  </si>
  <si>
    <t>RT @kelliwardaz: .@michelleisawolf was a classless bully last night to @PressSec Sarah Sanders &amp;amp; @KellyannePolls &amp;amp; should apologize. Moreov…</t>
  </si>
  <si>
    <t>RT @BretBaier: Maybe this week —the #WHCA should announce that there will be NO dinner in 2019.  Take the year off.  Instead -use the year…</t>
  </si>
  <si>
    <t>RT @MaRaeBates: Senator Feinstein was quiet for a reason - More Secrets
#QAnon .#TrueLiesQNN .#WeThePeople  .#MAGA
.@seanhannity .@realDona…</t>
  </si>
  <si>
    <t>RT @realDonaldTrump: Great evening last night in Washington, Michigan. The enthusiasm, knowledge and love in that room was unreal. To the m…</t>
  </si>
  <si>
    <t>RT @syqau: Sessions Tells Border Sheriffs We Have Your Back and Calls for Prosecuting All Illegal Crossings https://t.co/4IL3ZVqDAO</t>
  </si>
  <si>
    <t>RT @IsraelUSAforevr: Love it. @McNaughtonArt  you are the best! https://t.co/eOhKCHyd3A</t>
  </si>
  <si>
    <t>RT @SusanStormXO: @KellyannePolls 
Simply GORGEOUS DARLIN 
Dear Kellyanne , 
   Once again your Power to rise above is wonderful. Pure Cla…</t>
  </si>
  <si>
    <t>RT @Hoosiers1986: #Sunday Morning
Sarah Sanders vs. Michelle Wolf
RT if you think Sarah is a great ROLE MODEL &amp;amp; Michelle is just a disgus…</t>
  </si>
  <si>
    <t>RT @Perch313: Trump is right...
WE NEED THE WALL.
Why are our elected officials ignoring the law and the Constitution?
🔴People 'associate…</t>
  </si>
  <si>
    <t>RT @John_KissMyBot: John Bolton, (National Security Advisor) ~People Around The World Are Giving #Trump CREDIT For The Progress In North Ko…</t>
  </si>
  <si>
    <t>RT @Dogman1013: Imagine you are in High School. The year is 2099. In History class you are learning about how people were living at the 'tu…</t>
  </si>
  <si>
    <t>RT @TheLastRefuge2: An Updated Review of Details Within Lisa Page and Peter Strzok Text Messaging... https://t.co/rcWfmB1IdQ via @thelastre…</t>
  </si>
  <si>
    <t>RT @SusanStormXO: @PressSec @GovMikeHuckabee
Magnificent
GORGEOUS
Beautiful Couple
Dear Sarah , 
   You rise above them all w/your Poise &amp;amp;…</t>
  </si>
  <si>
    <t>RT @DonaldJTrumpJr: 60 years of failures using the same conventional tactics by feckless bureaucrats led to ZERO in NK... not even a meetin…</t>
  </si>
  <si>
    <t>RT @DevinNunes: LOL!!!  NYT busted again for Fake News!!!  Great Sunday read for people in search of real news and fact based reporting...…</t>
  </si>
  <si>
    <t>RT @KamVTV: I stand with Sarah Sanders #WHCD https://t.co/AdohRJougd</t>
  </si>
  <si>
    <t>RT @tbailey5477: 💥Smallville’ Star ALLISON MACK has CONFESSED that she SOLD CHILDREN to the ROTHSCHILDS and CLINTON'S during her time in th…</t>
  </si>
  <si>
    <t>RT @charliekirk11: Sarah Huckabee Sanders is a beautiful, strong, accomplished mother and leader 
She stands her ground against the media,…</t>
  </si>
  <si>
    <t>RT @ColumbiaBugle: #BREAKING The Migrant Caravan is preparing to breach our border!
Look to our defenses President Trump!!!! #StopTheCarav…</t>
  </si>
  <si>
    <t>RT @MichaelDelauzon: Check this out. This was the line of vehicles heading to President Trump's rally.  https://t.co/8NtXTfoaOT</t>
  </si>
  <si>
    <t>RT @GOPChairwoman: Senator Jon Tester made outrageous allegations and assumptions against Admiral Jackson. Voters needs to stand up to him…</t>
  </si>
  <si>
    <t>RT @TRUMPMOVEMENTUS: Secretary of State Mike Pompeo is greeted by Saudi Foreign Minister Adel al-Jubeir, upon arrival in Riyadh, SaudiArabi…</t>
  </si>
  <si>
    <t>RT @StateDept: Secretary Pompeo departs #Belgium after participating in the @NATO #ForMin. The Secretary will travel to the #MiddleEast thr…</t>
  </si>
  <si>
    <t>RT @cjnice: #SimplyTheBest   @realDonaldTrump https://t.co/I54iAzkWoK</t>
  </si>
  <si>
    <t>RT @Tony19542: Steve Hilton: Trump’s triumphs are driving his critics crazy https://t.co/5P23kIS1kW #FoxNews</t>
  </si>
  <si>
    <t>RT @Patrici15767099: Trump Rally in Michigan🇺🇸 https://t.co/Su4vR5dJ6e</t>
  </si>
  <si>
    <t>RT @DFBHarvard: Trump continues to hit them out of the Park!
If this is going to continue, We Must Support Him.
I sent in another check t…</t>
  </si>
  <si>
    <t>RT @nridenour42: About 50,000 people showed up for a speech that can only hold about 6,000. These are all the protestors that showed up aga…</t>
  </si>
  <si>
    <t>RT @LisaMei62: Q appears to be directing this msg at DS Clowns lurking on the boards. Wondering if this is in ref to the shared Gmail accou…</t>
  </si>
  <si>
    <t>RT @Thomas1774Paine: Federal appeals court restores Texas voter-ID law https://t.co/EFAdPLDZai</t>
  </si>
  <si>
    <t>RT @TheLastRefuge2: FBI Never Investigated Abedin/Clinton Lap-Top Emails In October 2016… https://t.co/WPTAlXUOyS https://t.co/Wo7QK21IPx</t>
  </si>
  <si>
    <t>RT @prayingmedic: #Qanon Reveals the Plan to #MAGA https://t.co/Q7ghVUtic9</t>
  </si>
  <si>
    <t>RT @VictorEriceira: 🇺🇸 #US MEETS #FRANCE 🇫🇷
#BrigitteMacron wife of Pres #Macron said she is "really fun" about her US counterpart #Melani…</t>
  </si>
  <si>
    <t>RT @KokeReport: Does Trump deserve a Noble Peace Prize?</t>
  </si>
  <si>
    <t>RT @SiddonsDan: 🚨🚨🚨🚨🚨🚨🚨
PLEASE HELP GET MY FRIEND TO 55K TODAY!!! SHE IS SO CLOSE!!
👉 @RubyRockstar333 👈
🔴 YUGE @realDonaldTrump SUPPORT…</t>
  </si>
  <si>
    <t>RT @JDemaestri: Off to Trump rally! 2 miles out bumper to bumper!  #Michiganlovestrump! https://t.co/3zHTU41S2h</t>
  </si>
  <si>
    <t>RT @lbcbreaking: 23 month-old Alfie Evans has died, more than four days after his life support was withdrawn by doctors at Alder Hey childr…</t>
  </si>
  <si>
    <t>RT @NevadaJack2: A police officer in Nogales, Arizona was shot and killed by a suspected carjacker who used an AK-47.
 https://t.co/IHLUA91…</t>
  </si>
  <si>
    <t>RT @FoxNews: Happening Now: Awaiting @POTUS departure for Michigan rally - For full live coverage of the rally, tune in to Fox News Channel…</t>
  </si>
  <si>
    <t>RT @AnthemRespect: ⚔️Facebook Bans California GOP Senate Candidate #ErinCruz over years-old post⚔️
#Zuckerberg, if you prefer another cand…</t>
  </si>
  <si>
    <t>RT @TroyDowningMT: The culture in D.C. is to smear first and ask questions later. Jon Tester is leading that effort. We are going to defeat…</t>
  </si>
  <si>
    <t>RT @Belle4DJT: Fitton: Has Justice Finally Caught Up with Andrew McCabe? Let’s hope so...bring on the handcuffs! #FBICorruption #ClintonCri…</t>
  </si>
  <si>
    <t>RT @Thomas1774Paine: CONFIRMED: Former Feinstein Staffer Raised $50 Million, Hired Fusion GPS And Christopher Steele After 2016 Election ht…</t>
  </si>
  <si>
    <t>RT @SusanStormXO: OUTSTANDING 🥊TEXAS 
Magnificent 
JUST IN: TEXAS APPEALS COURT Decision On Voter ID Is A HUGE Victory For Voter Integrity…</t>
  </si>
  <si>
    <t>RT @RepMarkMeadows: We wrote this in an op-ed yesterday. All the evidence points in one direction: Comey and Clapper set up a briefing with…</t>
  </si>
  <si>
    <t>RT @Thomas1774Paine: FBI NIGHTMARE: Supreme Court orders release of audio, video from Las Vegas shooting massacre https://t.co/W6XT8dQlWz</t>
  </si>
  <si>
    <t>RT @WhiteHouse: "So today, on behalf of the United States, I want to thank every Olympian and Paralympian... To every member of @TeamUSA, I…</t>
  </si>
  <si>
    <t>RT @JulianAssange: Notably, Kristol's Washington Free Beacon was the initiator of the Fusion GPS dodgy dossier https://t.co/M8vSMDx4XF</t>
  </si>
  <si>
    <t>RT @ArthurSchwartz: Tester’s smear campaign is going to cost him. #bigly https://t.co/l33IgJIF1H</t>
  </si>
  <si>
    <t>RT @Irwoodstock56: Its time to clean up my State. Vote Red Texas. Borders full of illegals voting. #VoterID 
 https://t.co/fBLdqn9zVD</t>
  </si>
  <si>
    <t>RT @Thomas1774Paine: BREAKING -- White House Intel: John McCain Expected to Retire from U.S. Senate https://t.co/hsfl8Gx3Pz</t>
  </si>
  <si>
    <t>RT @foxandfriends: “This is one of the most disgusting, horrifying, putrid episodes of swamp character assassination.” -@dbongino on Ronny…</t>
  </si>
  <si>
    <t>RT @JohnMcGeever70: GET ON BOARD ! 
Welcome #MAGA patriots to the #TCU Trump Conductors United #TrumpTrain . 
Engineer @JohnMcGeever70 
Let…</t>
  </si>
  <si>
    <t>RT @prayingmedic: 23) An anon posted an article about the latest texts which prove that agent Strzok was buddies with Rudy Contreras, the o…</t>
  </si>
  <si>
    <t>RT @prayingmedic: 1) This is my #Qanon thread for April 27, 2018.
Q posts can be found here:
https://t.co/yeNLF0baB0
https://t.co/rjRgcHS7…</t>
  </si>
  <si>
    <t>RT @ChristineMAGAMD: @Golfinggary522 @KatTheHammer1 @jcpenni7maga @lilbulli1031 @smartiekat123 @_L_o_r_i_ @ArizonaKayte @Ollyoxinfree @Jami…</t>
  </si>
  <si>
    <t>RT @prayingmedic: Don't look for a MOAB in the texts that have been made public.
But don't believe they're a nothing burger.
The texts were…</t>
  </si>
  <si>
    <t>RT @DailyCaller: Read The Strozk – Page Texts In Full https://t.co/9H7GndPfrK https://t.co/N0TShjy8Ak</t>
  </si>
  <si>
    <t>RT @JenNongel: 🚨NO COLLUSION       FOUND🚨
House Intelligence Committee releases Russia report
https://t.co/J5fkoKuoJq</t>
  </si>
  <si>
    <t>RT @Rumfolo: Life is not that sweet down on the Democrat Plantation.  Run @kanyewest 💛 https://t.co/6ez2o8DOqq</t>
  </si>
  <si>
    <t>RT @DineshDSouza: WE’LL GET HIM YET DEPT: Trump unites North and South Korea! Time for the Left to send Stormy and Comey on another round o…</t>
  </si>
  <si>
    <t>RT @President1Trump: The two leaders of North Korea and South Korea hold a tree planting ceremony at the demilitarized zone to commemorate…</t>
  </si>
  <si>
    <t>RT @johnnysoko: Q says it's time for us to make some noise and ASK for the texts with no redactions. Let the government know. Push this all…</t>
  </si>
  <si>
    <t>RT @bigleaguepol: Diamond and Silk literally brought down the House yesterday while testifying before Congress.
MUST WATCH &amp;gt;&amp;gt;&amp;gt; https://t.c…</t>
  </si>
  <si>
    <t>RT @realDonaldTrump: Just Out: House Intelligence Committee Report released. “No evidence” that the Trump Campaign “colluded, coordinated o…</t>
  </si>
  <si>
    <t>RT @McNaughtonArt: My new painting, "Teach a Man a Fish." --- "You can give a man a pole. It doesn't mean he will use it." ---JonMcNaughton…</t>
  </si>
  <si>
    <t>RT @Nigel_Farage: South Korea’s Foreign Minister telling CNN that “clearly credit goes to President Trump” is priceless. https://t.co/expJS…</t>
  </si>
  <si>
    <t>RT @watspn1013: Where We Go One We Go All
💥RELEASE THE TEXTS💥
💥NO REDACTIONS💥
💥We Want The Whole Truth💥
#MAGA
#ReleaseTheTexts 
#NoRed…</t>
  </si>
  <si>
    <t>RT @GartrellLinda: VIDEO: Famous Artist Jon McNaughton Paints Another Trump Masterpiece
Zoom in to see his tiny message about the bankrupt…</t>
  </si>
  <si>
    <t>RT @Headsnipe011: Statement from the Press Secretary on the Inter-Korean Summit
@drawandstrike @ThomasWictor @HNIJohnMiller @jihadaeon1 @M…</t>
  </si>
  <si>
    <t>RT @silverado6060: This is NOW Mexico's Problem not our's.
DHS Chief: Caravan Migrants Must Seek Asylum in Mexico
https://t.co/rozXrLNGH6</t>
  </si>
  <si>
    <t>RT @Thomas1774Paine: Trump administration to cancel temporary residency permits for 9,000 Nepalese immigrants https://t.co/7KxuC1jAvS</t>
  </si>
  <si>
    <t>RT @wikileaks: JUST NOW:  North Korean leader Kim Jong Un and South Korean leader Moon Jae-in meet in person for the first time for histori…</t>
  </si>
  <si>
    <t>RT @Judekarma909: #Releasethetexts https://t.co/RZW3Vr2EJU</t>
  </si>
  <si>
    <t>RT @Lilbabyrn: #MakeCaliforniaGoldenAgain https://t.co/227Xxf9Nfl</t>
  </si>
  <si>
    <t>RT @gal_deplorable: We are witnessing history here Patriots!
#QAnon https://t.co/9RAGXpYSWX</t>
  </si>
  <si>
    <t>RT @NatGreene76: New #Qanon states #StrzokPageTexts weren't only comms used
1 Gmail account can be logged into by multiple people w/ the s…</t>
  </si>
  <si>
    <t>RT @flybull1: James Comey, the man with the greatest investigative machine in the history of civilization literally at his fingertips, says…</t>
  </si>
  <si>
    <t>RT @Bahamajoe0: Peter Strzok is Clintons Fixer &amp;amp; Hired Gun ! Was on Every HRC-Trump Case! Every One (1)HRC Email Case &amp;amp; Office RAID &amp;amp; FBI H…</t>
  </si>
  <si>
    <t>RT @therealcornett: North Korea meets South Korea and CNN is still talking about Stormy Daniels! 😂 https://t.co/09B16TUz4p</t>
  </si>
  <si>
    <t>RT @KamVTV: FYI : House Chaplain Rev. Patrick J. Conroy was asked to resign by Paul Ryan and he still doesn’t know why. 
His final day wil…</t>
  </si>
  <si>
    <t>RT @KyleKashuv: Happy birthday @FLOTUS! Can't wait to see you again soon. You're the definition of classy. https://t.co/CO03HuOBnC</t>
  </si>
  <si>
    <t>RT @Thomas1774Paine: I was right. Redacted, selected texts released. ONLY. Another Jeff Sessions production. https://t.co/wRBqfFtDw0</t>
  </si>
  <si>
    <t>RT @LadyKnightFury: [187] plans for our PRESIDENT?! #ReleaseTheTexts #NoRedactions #LyinComey @POTUS https://t.co/AlQAF4bh5y</t>
  </si>
  <si>
    <t>RT @Tokaise: BREAKING: Thousands of Strzok-Page Texts Have Just Been Delivered to Congress "We Hear It Could Be Explosive Stuff" https://t.…</t>
  </si>
  <si>
    <t>RT @KamVTV: JUST IN : Broward County sheriff's officers give overwhelming vote of NO confidence against Sheriff Scott Israel. 
85% voted a…</t>
  </si>
  <si>
    <t>RT @Fuctupmind: Illegal immigrant cop killer again booted from court over profane outburst before receiving death penalty
https://t.co/3SF…</t>
  </si>
  <si>
    <t>RT @deborahjuanita4: Another senseless shooting #LawEnforcement #BacktheBlue  We send comfort to Family #10934  Dallas Police Family we are…</t>
  </si>
  <si>
    <t>RT @tictoc: “They’ve been messing with our money:” Watch this exchange between @RepHankJohnson and @DiamondandSilk about how much money the…</t>
  </si>
  <si>
    <t>RT @Thomas1774Paine: WATCH: Sarah Sanders Rips Reporter’s ‘Tone’ in Press Briefing, Calls it ‘Completely Unnecessary” https://t.co/r557NVEi…</t>
  </si>
  <si>
    <t>RT @JacobAWohl: MIKE POMPEO CONFIRMED</t>
  </si>
  <si>
    <t>RT @ChristiCraddick: It's no surprise that Texas is home to 9 of the best cities to live in the country when our state provides every oppor…</t>
  </si>
  <si>
    <t>RT @coffeeownsme: The Senate Judiciary Committee approved legislation that would shield special counsel Robert Mueller from any attempted f…</t>
  </si>
  <si>
    <t>RT @GregAbbott_TX: Human smuggling is a crime that leads to prison. Don’t do it. #txlege  https://t.co/1mW2uU0KHU</t>
  </si>
  <si>
    <t>RT @JFNYC1: Anyone not following @RealCandaceO needs to. She is a free thinking black conservative lady who has clearly seen the Democrats…</t>
  </si>
  <si>
    <t>RT @USNatArchives: 19,045 documents subject to the President John F. Kennedy Assassination Records Collection Act of 1992 have been posted…</t>
  </si>
  <si>
    <t>RT @gal_deplorable: Are you ready?
#ReleaseTheTexts
#JFK
#QAnon https://t.co/XxMoSMaYuN</t>
  </si>
  <si>
    <t>RT @FoxNews: In an interview on @foxandfriends, @POTUS wished @FLOTUS a happy birthday. https://t.co/xskpvauacA</t>
  </si>
  <si>
    <t>RT @GrrrGraphics: #ThursdayThoughts    kicking back in the old stomping grounds Austin Texas #staytooned. gonna be fun today!  #BenGarrison…</t>
  </si>
  <si>
    <t>RT @FoxNews: STARTING NOW: @POTUS welcomes wounded veterans to the @WhiteHouse - Fox News has full coverage right now. https://t.co/6sizVo2…</t>
  </si>
  <si>
    <t>RT @yogagenie: Trump says Democrat Jon Tester will 'have a big price to pay' over Ronny Jackson stance https://t.co/zE7g1wnu1n</t>
  </si>
  <si>
    <t>RT @dawg_lb: "Pompeo will be Secretary of State, yes"!
@SenateMajLdr on Pompeo nomination for Secretary of State: "We'll be confirming him…</t>
  </si>
  <si>
    <t>RT @ArthurCSchaper: VICTORY! LA County for Trump joins with Ventura County for Trump, and Point of View East and West in Camarillo, CA. The…</t>
  </si>
  <si>
    <t>RT @President1Trump: #BREAKING: Catherine Herridge reports: James @Comey leaked memos to more people then he told congress and the American…</t>
  </si>
  <si>
    <t>RT @GartrellLinda: John Bolton says National Security Council staff changes are coming, and some employees aren't happy
#DrainTheSwamp is t…</t>
  </si>
  <si>
    <t>RT @LucySullivan888: Happy Birthday...
Beautiful Melania ❤️ https://t.co/pe42jPeQhB</t>
  </si>
  <si>
    <t>RT @JewhadiTM: Hillary’s Money Laundering Scheme 
Why is the media ignoring the DNC’s new $84 million campaign finance scandal?
https://t…</t>
  </si>
  <si>
    <t>RT @thejointstaff: Tune in today at 9:30 a.m. ET here on our Twitter account for live coverage of #GenDunford and @DeptofDefense Sec. Matti…</t>
  </si>
  <si>
    <t>RT @MAGANinaJo: Happy Birthday to our beautiful @FLOTUS!  Wishing her a day filled with love and laughter! https://t.co/FGaleaMBOG</t>
  </si>
  <si>
    <t>RT @nowthisnews: Mother and activist Leeanne Walters is responsible for exposing the water crisis in Flint, Michigan. She’s been awarded th…</t>
  </si>
  <si>
    <t>RT @SenTedCruz: These events remind us of the tragic case of Charlie Gard last year.
It is a sad irony that while the people of the UK are…</t>
  </si>
  <si>
    <t>RT @dekdarion: This made me smile.  Army Lt. Gen. Paul Nakasone with Adm. Rogers.  #QAnon #WhiteHats https://t.co/vqepOLD1Q1</t>
  </si>
  <si>
    <t>RT @Thomas1774Paine: THEY’RE COMING: 600 More Refugees In ‘Caravan’ Nearing U.S.-Mexico Border https://t.co/plea0VZvt1</t>
  </si>
  <si>
    <t>RT @USFreedomArmy: Unlike the socialist armies the unpaid people speak louder. Enlist with us at https://t.co/oSPeY48nOh. Stand up for Amer…</t>
  </si>
  <si>
    <t>RT @chuckwoolery: JUDICIAL WATCH: New Hillary Emails Reveal Classified Documents, Clinton Foundation Pay-to-Play https://t.co/RpFBnY4qPQ ht…</t>
  </si>
  <si>
    <t>RT @TheLastRefuge2: Devin Nunes and Mark Meadows Discuss *NEW* Upcoming Page/Strzok Text Messages… https://t.co/xzKkPdzuVq https://t.co/OgV…</t>
  </si>
  <si>
    <t>Whoo hoo! I just bought tickets! https://t.co/3YeSWdt0GS</t>
  </si>
  <si>
    <t>RT @NevadaJack2: The thought police are still at it. https://t.co/DN0vY5LVLi</t>
  </si>
  <si>
    <t>RT @RedNationRising: ICYMI The most important moments from Mark Zuckerberg's congressional testimony... via @BadLipReading Full video: http…</t>
  </si>
  <si>
    <t>RT @NevadaJack2: AG Jeff Sessions has announced an investigation into the use of federal money to fund radical leftwing advocacy groups.  H…</t>
  </si>
  <si>
    <t>RT @jerome_corsi: Posted now on my YouTube Channel (jrlcorsi) #QAnon DECODE April 25 EVENING Dr. Jerome Corsi Decodes Latest QANON Posts  #…</t>
  </si>
  <si>
    <t>RT @MikePenceVP: "Liberty lies in the hearts of men and women. When it dies there, no constitution, no law, no court can save it" 
We Cons…</t>
  </si>
  <si>
    <t>RT @Fox35DerrolNail: EMPLOYEES CONCEAL CARRY: Brevard County Commission votes 5-0 approving county employees with concealed carry permits t…</t>
  </si>
  <si>
    <t>RT @TomFitton: .@realDonaldTrump should give May a call about this.... https://t.co/DX8MSZyzbm</t>
  </si>
  <si>
    <t>RT @CodeOfPatriots: R.I.P PFC John Edwin Lutze, US Army 🇺🇸🙏🏼 Vietnam Warrior
https://t.co/jztpabmd4G https://t.co/O2a2KTP1fS</t>
  </si>
  <si>
    <t>RT @DallasIrey: #Trumpville
❦@RonnieStand3
❦@bud_cann
❦@SAMISOMETIMEZ
❦@blazed1993
❦@DallasIrey
❦@Bom_Boza
❦@joey_beavers 
❦@suprdupe
❦@pjb…</t>
  </si>
  <si>
    <t>RT @davis1988will: Dallas Police Officer Rogelio Santander passed away earlier today from injuries he sustained from a shooting at the @Hom…</t>
  </si>
  <si>
    <t>RT @FoxNews: Michael Cohen, @realDonaldTrump's personal attorney, is expected to plead the Fifth in Stormy Daniels lawsuit  #TheStory https…</t>
  </si>
  <si>
    <t>RT @RealJamesWoods: Clearly he’s the right guy for this... https://t.co/u3B0pbUoNn</t>
  </si>
  <si>
    <t>RT @ericbolling: GREAT NEWS!!
I’m proud to announce a partnership I’ve made with NASCAR’s Rick Ware Racing and Kevin O’Connell to raise Opi…</t>
  </si>
  <si>
    <t>RT @RealJamesWoods: She’s a treasure. Treat her that way. https://t.co/r3jxcxlEuv</t>
  </si>
  <si>
    <t>RT @WBAP247NEWS: Two Dallas officers shot in the line of duty, along with a third working off duty. Listen as the car chase comes to an end…</t>
  </si>
  <si>
    <t>RT @Thomas1774Paine: BREAKING: Congressman Louie Gohmert Just Absolutely Wrecked Robert Mueller With Epic 48-Page Investigative Blowout; We…</t>
  </si>
  <si>
    <t>RT @kasmouse: Sessions Slams Door On $6 Billion Slush Fund For Ultra Left Groups – Lunch Alert! https://t.co/48PZFIG0Z3</t>
  </si>
  <si>
    <t>RT @lukerosiak: Dept of Veterans Affairs: "Under VA’s new leadership, which is now firmly aligned with President Trump and his priorities,…</t>
  </si>
  <si>
    <t>RT @luluHru: Follow, Retweet, Reply,Followback 
🗽@BaracudaDebbie 
🗽@TiffanyMM94 
🗽@Daphene23058240 
🗽@luluHru 
🗽@pbogue99 
🗽@lgmichael1 
🗽@…</t>
  </si>
  <si>
    <t>RT @GregAbbott_TX: RT to tell Blake Farenthold to pay for the special election that had to be called to fill the seat he resigned from beca…</t>
  </si>
  <si>
    <t>RT @President1Trump: #ObstructionOfJustice: According to sources Andrew McCabe actually issued a ‘Stand-Down’ order in the early phases the…</t>
  </si>
  <si>
    <t>RT @RealMAGASteve: The Supreme Court will hear oral arguments in the case of President Trump's travel ban today and many believe they will…</t>
  </si>
  <si>
    <t>RT @SteveForbesCEO: .@EPAScottPruitt is restoring objectivity and fairness to his agency’s scientific research, which will help protect our…</t>
  </si>
  <si>
    <t>RT @GunsandHosesTX: Please Say A Prayer Of Strength For Our Brothers &amp;amp; Sisters In Blue Of @DallasPD. We Thank Y’all For The Courage &amp;amp; Brave…</t>
  </si>
  <si>
    <t>RT @MegKinnardAP: COLUMBIA, S.C. (AP) — Federal grand jury indicts South Carolina prison guards and workers in contraband ring weeks after…</t>
  </si>
  <si>
    <t>RT @antischool_ftw: Earthquake strikes Iran... near NUKE PLANT https://t.co/GoddPIhFDJ</t>
  </si>
  <si>
    <t>RT @MarkMeuser: Los Angeles County has 144% voter registration. In fact, 11 counties in California have over 100% voter registration https:…</t>
  </si>
  <si>
    <t>RT @RealJamesWoods: We pray for their survival. Can’t imagine anything so dangerous or challenging. Three very brave women! https://t.co/CX…</t>
  </si>
  <si>
    <t>RT @DineshDSouza: Today this little dude—seen here with his parents and younger brother &amp;amp; sister—turns 57. It’s been quite a journey! https…</t>
  </si>
  <si>
    <t>RT @Mike_Press19: ICE Director Wants To Lock Up California Gov. Jerry Brown &amp;lt; America Fans https://t.co/7KSFvKk5MD via @Mike_Press19</t>
  </si>
  <si>
    <t>RT @Mike_Press19: Queen Elizabeth Says: “Muslim Refugees Are Dividing Nationality, I Fully Agree With Donald Trump We Should Deport… https:…</t>
  </si>
  <si>
    <t>RT @GartrellLinda: Armchair quarterbacks have no idea of the actual facts surrounding military situations &amp;amp; decisions.
So, these opinions a…</t>
  </si>
  <si>
    <t>RT @LizCrokin: Update: Mack released on $5 million bail!
#QAnon #Pizzagate #Pedogate
https://t.co/2YqaY0rvDU</t>
  </si>
  <si>
    <t>RT @Cook4USHouse: I believe We the People have spoken and we want our guns and our gun rights upheld #AMERICAFIRST #Grassroots candidates a…</t>
  </si>
  <si>
    <t>RT @JackPosobiec: Comey’s leaking friend just admitted he had security clearance as a “special government employee” for Comey. Well guess w…</t>
  </si>
  <si>
    <t>RT @rsultzba: Well if anyone is wondering what Trump has been up against and why when he says something happened and Dems deny it and then…</t>
  </si>
  <si>
    <t>RT @TuckerCarlson: #ICYMI check out part of my interview with an anti-gun control Parkland teen who says he was interrogated "like a crimin…</t>
  </si>
  <si>
    <t>RT @Dawn_DeMore1: Treasonous, Lying Criminals! It's Way Past Time👇 #LockThemAllUp! 
NOT A Shock!👇👇 We All Know!
SHOCK: New Texts Between A…</t>
  </si>
  <si>
    <t>RT @LivePdFans: We are standing vigil with you @DallasPD! We #BackTheBlue so we'll keep your Officers in our thoughts &amp;amp; prayers! 💙
#WeStan…</t>
  </si>
  <si>
    <t>RT @AIIAmericanGirI: SCOTUS Will Hear Oral Argument on Travel Ban Wednesday https://t.co/GGETjFl8eW @BreitbartNews #AAG</t>
  </si>
  <si>
    <t>RT @yceek: Apple Will Start Paying Billions in Back Taxes to Ireland https://t.co/jQ86YsL7QI</t>
  </si>
  <si>
    <t>RT @NC4COS: This week, we’re launching a five day polling blitz to get your thoughts on a series of critical issues. Over the weekend, we’l…</t>
  </si>
  <si>
    <t>RT @DRUDGE_REPORT: Obama DOJ's attempts to influence probes exposed... https://t.co/qaoQ8sje2U</t>
  </si>
  <si>
    <t>RT @RitaPanahi: Good Samaritan foils armed robbery. 
via @abc #take2  https://t.co/fvs0DMfdoz</t>
  </si>
  <si>
    <t>RT @Dawn_DeMore1: BREAKING: DOJ Will Turn Over Thousands Of New FBI Texts Between Strzok And Page... Tonight  https://t.co/LkdURDJrmf</t>
  </si>
  <si>
    <t>RT @league2734: That all you GOT?! Ted Cruz MOCKS Liz Warren ‘going on the warpath’ to help Beto O’Rourke defeat him https://t.co/JjJpADRnA…</t>
  </si>
  <si>
    <t>RT @GatesRobin: @MAGANinaJo @ScottPresler Still supports Trump Agenda and Fights with Social Media for Conservative Rights! 
What has your…</t>
  </si>
  <si>
    <t>RT @yojudenz: Researcher in Facebook scandal says: my work was worthless to Cambridge Analytica https://t.co/45fW0AYnzn</t>
  </si>
  <si>
    <t>RT @NothingYouHear: 😱 😱 😱
Can you hear me now!
All the chatter we do on Twitterville doesn't mean sh*t if we don't get off our asses and v…</t>
  </si>
  <si>
    <t>RT @bhweingarten: If we didn't have the internet you'd probably never know a thing about the massive scandal with dire national security im…</t>
  </si>
  <si>
    <t>RT @SheriffClarke: With new @NASA Chief Jim Bridenstine near Washington D.C. Recently sworn in to lead NASA. Former Congressman and Navy fi…</t>
  </si>
  <si>
    <t>RT @FoxNews: Comey's memo leak contact had 'special government employee' status at FBI https://t.co/AWp7U35vwu</t>
  </si>
  <si>
    <t>RT @PaulaLanier54: Oh OK, Sessions Declines to Recuse Himself From Probe Into Trump Lawyer
https://t.co/afHqZ6OjIG</t>
  </si>
  <si>
    <t>RT @Mike___Harris: #SimiValley becomes the first city in #VenturaCounty to come out against #California’s #sanctuary state law. City Counci…</t>
  </si>
  <si>
    <t>RT @yashar: 13. Sarah Sanders arrives with her husband Bryan. https://t.co/4zPHMQES7W</t>
  </si>
  <si>
    <t>RT @yashar: 12. The VP and Second Lady arrive at the State Dinner. https://t.co/rOI2NMCnMh</t>
  </si>
  <si>
    <t>RT @yashar: State Dinner Guests 
1. RNC Chairwoman Ronna Romney McDaniel 
2. Chairman and CEO of LVMH, Bernard Arnault 
3. Senator Kennedy…</t>
  </si>
  <si>
    <t>RT @w_terrence: What if I get suspended from Twitter and Facebook? How will we stay in touch? If you follow me can you PLEASE subscribe jus…</t>
  </si>
  <si>
    <t>RT @Mike_Press19: ABC to Give Joy Behar The Boot from ‘The View’ &amp;lt; America Fans https://t.co/5kqhlQVuPI via @Mike_Press19</t>
  </si>
  <si>
    <t>RT @HPhotographed: Construction workers building the Empire State Building. https://t.co/GOLelRQDg1</t>
  </si>
  <si>
    <t>RT @StacyBrewer18: Twitter automatically unfollowed me from 100's of people I follow. I will try and follow everyone back asap. Please let…</t>
  </si>
  <si>
    <t>RT @Kimbraov1: Far Left Goons Vandalize NRA Lobbyist's Home - Frighten His Wife and Children https://t.co/U3lcZzwlC9</t>
  </si>
  <si>
    <t>RT @paydirt22rt: @FLOTUS
Thank you for making us Proud. https://t.co/YJX9uHTKlA</t>
  </si>
  <si>
    <t>RT @BlakesRonald: Offender who shot 2 Police Officers in Dallas TX had been arrested . Juarez 29 has been awaiting formal charges against h…</t>
  </si>
  <si>
    <t>RT @MAGAUSATX: Houston police make major human trafficking bust https://t.co/YY9LsS4QDK</t>
  </si>
  <si>
    <t>RT @SaraCarterDC: Did McCabe issue ‘Stand-Down’ order on FBI Clinton Email Investigation? via @SaraCarterDC https://t.co/rjJhKztNab</t>
  </si>
  <si>
    <t>RT @DeplorableNews: Fifty are here...and more on the way https://t.co/Mfg6UAVUWB</t>
  </si>
  <si>
    <t>RT @ZibaLady1: Melania Trump, created a breathtaking elegant #StateDinner. It brings us, the American people, such pride, that our country…</t>
  </si>
  <si>
    <t>RT @TheLastRefuge2: April 25th – 2018 Presidential Politics – Trump Administration Day #461 https://t.co/wwSYcMxkIZ https://t.co/k6CXFDyZIU</t>
  </si>
  <si>
    <t>RT @BondHedden: Women are the Fastest Growing Group Getting Their Concealed Carry Licenses Since Parkland Shooting https://t.co/7evcpGaAcd</t>
  </si>
  <si>
    <t>RT @BaileyForAG: #Breaking! The City Council of Lake Elsinore is southwest Riverside County voted unanimously to oppose #SB54, #California…</t>
  </si>
  <si>
    <t>RT @justlucky190: I'm sure nobody will be surprised by this.  Barry, you and your bud Comey will be going down!
#ObamaGate 
#LockThemUp 
#O…</t>
  </si>
  <si>
    <t>RT @yceek: Trump orders top-to-bottom review of welfare programs President Trump signed an executive order Tuesday for a government-wide re…</t>
  </si>
  <si>
    <t>RT @PradRachael: WHITE HOUSE STATE
DINNER RECEPTION 
https://t.co/pKGnus0pfi
GOD BLESS YOU AMEN</t>
  </si>
  <si>
    <t>RT @WalshFreedom: A district Trump won by 21pts, the GOP candidate wins by only 5pts. This overwhelmingly Republican district should NEVER,…</t>
  </si>
  <si>
    <t>RT @IvankaTrump: Memories from a wonderful State Dinner 🇺🇸 🇫🇷 https://t.co/XIKFgMcpGq</t>
  </si>
  <si>
    <t>RT @PolNewsupdates: 91 Percent Drop in Muslim Refugees since 2016: https://t.co/SGNweksznA</t>
  </si>
  <si>
    <t>RT @BuckSexton: It’s like the Deep State all star team https://t.co/BmCvXmau3A</t>
  </si>
  <si>
    <t>RT @bestnaunieever: This is unreal. Tex messages between 2 lovers reveals a #TresureTrove of a conspiracy to undermine a fully elected @POT…</t>
  </si>
  <si>
    <t>RT @NRATV: .@dbongino has a message for the DC establishment trying to tarnish VA Secretary Nominee Ronny Jackson. “You wanna start naming…</t>
  </si>
  <si>
    <t>@Shar_n_Shar Follow and RT</t>
  </si>
  <si>
    <t>RT @Shar_n_Shar: 🔴I'm sooo close!🔴
Can I get my MAGA 🇺🇸 community to get me over the hump?
I FOLLOW BACK THE MAGA MOVEMENT 💯 https://t.co/n…</t>
  </si>
  <si>
    <t>RT @mitchellvii: New Jersey's new governor is giving America a great glimpse into Democrat leadership style. Taxes are being raised and san…</t>
  </si>
  <si>
    <t>RT @GemMar333: 💥Man Who Wrestled Gun Away from Waffle House Shooter Raises over $45,000 for Victims’ Families.....
So, Where is #JayZ #Bey…</t>
  </si>
  <si>
    <t>RT @FoxBusiness: .@RandPaul explains why he is now backing Pompeo: "I wanted [@POTUS] to be surrounded by advisers who also agree with the…</t>
  </si>
  <si>
    <t>RT @MichDeplorable: #PatriotsUnite
Car#4. @007jorgeEnrique
@4TrumpMovement
@MarcelThorn
@ShadyLadyMe
@Ginlefebvre
@MaryAnnforTrump
@iwasaw…</t>
  </si>
  <si>
    <t>RT @NovusVero: 100 Migrants From Infamous “Caravan” Prepare For Border Crossing After Arriving In Mexicali https://t.co/l1GiPxT59d</t>
  </si>
  <si>
    <t>RT @HeyTammyBruce: What a pleasant surprise! I just arrived at @JFKairport &amp;amp; @FoxNews is on in the @JetBlue terminal 👍🇺🇸🦊 @ShannonBream htt…</t>
  </si>
  <si>
    <t>RT @DallasIrey: #Trumpville
❦@d4man72453
❦@gurry_susan
❦@ronaldauman
❦@NevadaElJefe
❦@DallasIrey
❦@LisaHol71206360
❦@tomtjp01
❦@MikeRitt102…</t>
  </si>
  <si>
    <t>RT @kelliwardaz: Congratulations, @DebbieLesko! I worked with Debbie in the #AZLeg &amp;amp; know she represents the very best of #AZ08. Debbie wil…</t>
  </si>
  <si>
    <t>RT @MichDeplorable: #PatriotsUnite
Car#10. @Jeanniespeaches
@DandAExperts
@H2oVolk
@RARRRRR
@RonMyers98
@AnBeOnd
@DaniGibson2
@MAGAUSATX
@…</t>
  </si>
  <si>
    <t>RT @gr8tjude: Two beautiful and classy ladies❣️ https://t.co/zlAki1lopD</t>
  </si>
  <si>
    <t>RT @yceek: Facebook releases long-secret rules on how it polices the service https://t.co/kwpwWLNRwb</t>
  </si>
  <si>
    <t>RT @Jamierodr10: Trumps Administration Lawsuit Against Sanctuary cities is backed by these cities in California!! People are waking up 👏🏻👏🏻…</t>
  </si>
  <si>
    <t>RT @HISUNUSA: Our Thoughts &amp;amp; Prayers Are With The Friends &amp;amp; Families Of The Wounded @DallasPD Officers Shoot In The Line Of Duty Earlier To…</t>
  </si>
  <si>
    <t>RT @prayingmedic: 1) This is my #Qanon thread for April 24, 2018.
Q posts can be found here: https://t.co/yeNLF0baB0
My theme for this ser…</t>
  </si>
  <si>
    <t>RT @The_War_Economy: The tickenings have TOCKETHED. https://t.co/UvU2FlTDot</t>
  </si>
  <si>
    <t>RT @TiffanyDCross: Meet the woman preparing tonight's #StateDinner! She's the first person of color to hold the Executive Chef position at…</t>
  </si>
  <si>
    <t>RT @Peoples_Pundit: Race Call: Republican Debbie Lesko has won the special election Arizona’s Eighth Congressional District, defeating Demo…</t>
  </si>
  <si>
    <t>RT @RealMAGASteve: I love this guy! @RepDeSantis is the real deal. A great patriot &amp;amp; next governor of Florida.
When you have emails subpoe…</t>
  </si>
  <si>
    <t>RT @Thomas1774Paine: Romney will ‘wait and see’ whether to support Trump in 2020 https://t.co/7qoODCWbl2</t>
  </si>
  <si>
    <t>RT @davis1988will: BREAKING NEWS: @DebbieLesko has won the 8th Congressional Special Election!
#AZ08 https://t.co/9mFkcy44CM</t>
  </si>
  <si>
    <t>RT @RyanAFournier: Bombshell: FEC Records Indicate Hillary Campaign Illegally Laundered $84 Million https://t.co/SyDIDr8rfI</t>
  </si>
  <si>
    <t>RT @SenTedCruz: I was also glad to welcome an old friend, Mr. Heller, to our nation's capital this morning. As I fought for Mr. Heller’s co…</t>
  </si>
  <si>
    <t>RT @DevinNunes: More Russian collusion with Democrats... https://t.co/td8li2TXRC</t>
  </si>
  <si>
    <t>RT @markknoller: Pres and Mrs Trump emerge from WH to welcome the Macrons. https://t.co/qLZEqXfDwP</t>
  </si>
  <si>
    <t>RT @President1Trump: Our @FLOTUS is the most beautiful woman in the world! #StateDinner https://t.co/oWPTwBxhsg</t>
  </si>
  <si>
    <t>RT @FoxBusiness: .@RandPaul: "People are going to be surprised over the next year or two that I think there will be some ending of some of…</t>
  </si>
  <si>
    <t>RT @Vengeance_X2: Things are happening, liberals. Ya might wanna start thinking about how you’ll justify accusing Trump, when it was your b…</t>
  </si>
  <si>
    <t>RT @DavidWaddell5: 'Straight Out of James Bond': Reporter Explains New Details in Dem IT Staffer Scandal https://t.co/k5UMzlTPtf</t>
  </si>
  <si>
    <t>RT @AnthemRespect: Well, Well, Well - Looky Here Iran &amp;amp; All Dems:
👉France’s Macron Just Said: 
“We therefore wish from now on to work on a…</t>
  </si>
  <si>
    <t>RT @LionelMedia: #AllisonMack 
Time to sing. https://t.co/XLl6xA7O7z</t>
  </si>
  <si>
    <t>RT @MAGANinaJo: WATCH as Tom Fitton explains what happened 2 Sean Hannity. Judge Kimba Woods should not have disclosed his name in a public…</t>
  </si>
  <si>
    <t>RT @JasonCo85855729: Another  coincidence? https://t.co/RCYoA4NRlF</t>
  </si>
  <si>
    <t>RT @The_Trump_Train: Representing America with class 🇺🇸@FLOTUS @realDonaldTrump https://t.co/ViKxYPmJlx</t>
  </si>
  <si>
    <t>RT @wisdomforwomen: Why wait? If you have them, release them now. #EnoughIsEnough https://t.co/9BprryaHwI</t>
  </si>
  <si>
    <t>RT @wikileaks: An in-depth interview with lawyer Jennifer Robinson (@suigenerisjen) 
On @JulianAssange, free speech, human rights and her w…</t>
  </si>
  <si>
    <t>RT @FLOTUS: Thank you @NGADC for the beautiful tour among your many galleries.  The paintings are a testament to the influence art has amon…</t>
  </si>
  <si>
    <t>RT @Doodisgirl: Great News!
President Trump is About to Makeover the Most Liberal Court of Appeals in America.. the 9th Circuit Court! 👍🏼🇺🇸…</t>
  </si>
  <si>
    <t>RT @TimRunsHisMouth: LOL: Watch Macron's face after Trump calls a reporter out for a "stupid question." https://t.co/UrSMNJuo42</t>
  </si>
  <si>
    <t>RT @TheLastRefuge2: The closing remark by POTUS Trump toward President Macron was "exhibit A" [Wharton CEO school] in how to close the deal…</t>
  </si>
  <si>
    <t>RT @Tattoobear: #Trumpman
#TCU #MAGA
@d4man72453
@Tattoobear
@SeverePayne
@billof_right
@chip_brockhaus
@locotweetson
@dawn_0108
@SilenceKn…</t>
  </si>
  <si>
    <t>RT @thenationsrage: The best. Must follows.
#TrumpTrain
@Hoosiers1986
@Zola1611
@VFL2013
@amina_abusharif
@phoenixzeus3
@bonniemurphy
@sdc…</t>
  </si>
  <si>
    <t>RT @thebradfordfile: Melania Trump has style, grace and authentic love for America. The fashion world hates her for it.
They are controlle…</t>
  </si>
  <si>
    <t>RT @MichaelDelauzon: "Our two great republics are linked together by the timeless bonds of history, culture, and destiny. We are people who…</t>
  </si>
  <si>
    <t>RT @scali_gianna: This is what happens when you put a real hardworking president in power he gets it done God bless you Our POTUS ♥️♥️🇺🇸 ht…</t>
  </si>
  <si>
    <t>RT @BreitbartTexas: Three More Border Patrol Agents Assaulted in South Texas https://t.co/H7jFtuecaI</t>
  </si>
  <si>
    <t>RT @TruthMatters13: 5 ANOTHER BRICK IN THE WALL #BuildTheWall #MAGA
@DonHensarling
@NothingYouHear
@susandeame
@LeoDube
@LeeLore2
@ginger65…</t>
  </si>
  <si>
    <t>RT @PaulLee85: Melania looking like 🔥 as she watches POTUS takes on the enemies of the state! https://t.co/2FF0MxBtRw</t>
  </si>
  <si>
    <t>RT @Megavolts001: PWR IN NUMBERS, PLS FLLW THESE 2APATRIOTS &amp;amp; RETWEET
@Revmikeyt1234
@Megavolts001 
@nolo263
@IrishJoe99
@JB_0317
@javahed…</t>
  </si>
  <si>
    <t>RT @SonofLiberty357: GOP Lawmaker Sends Letter to AG Sessions Demanding Answers About His Involvement in FBI Raid of Trump's Lawyer https:/…</t>
  </si>
  <si>
    <t>RT @Perch313: 🇺🇸👍🇺🇸👍🇺🇸
GREAT AGAIN: GDP Smashes Expectations, HITS 15 Year HIGH https://t.co/prQIEbyt3Q</t>
  </si>
  <si>
    <t>RT @chfortrump: ❤️Can @FLOTUS Melania possibly get any more stunning. She's definitely the most beautiful, intelligent &amp;amp; class act Flotus i…</t>
  </si>
  <si>
    <t>RT @GovMikeHuckabee: We’re already seeing California cities and counties revolt against the “sanctuary state” law that’s releasing dangerou…</t>
  </si>
  <si>
    <t>RT @Mikeproudvet: #TrumpSuperTrain @Mikeproudvet
Car #227
@itsbekkabrooks
@covartsl
@Debbieh2257
@WeidnerRoger
@redmondartistry
@Deplorable…</t>
  </si>
  <si>
    <t>RT @Tony19542: WOW! Watch First Lady Melania Trump Come Out to Greet French President -- DROP DEAD GORGEOUS! (Video) https://t.co/goT5NB9FPj</t>
  </si>
  <si>
    <t>RT @historylvrsclub: African American citizens listening to Dr. Martin Luther King Jr. speaking. 1958 https://t.co/MNUteBHAlx</t>
  </si>
  <si>
    <t>RT @RealMAGASteve: Please help me honor the sacrifice of Corporal Dillon C. Baldridge, 22, of Youngsville, N.C. He was K.I.A. by an member…</t>
  </si>
  <si>
    <t>RT @foxandfriends: .@Varneyco: The Trump economy is a fully-employed economy and growing fast https://t.co/KEVFkmBAsw</t>
  </si>
  <si>
    <t>RT @SheriffClarke: The Senate’s power on advice and consent is being PERVERTED for PURELY POLITICAL PURPOSES. @realDonaldTrump nominee to b…</t>
  </si>
  <si>
    <t>RT @sxdoc: WINNING! Trump Economy Takes Off! 14 states hit record-low unemployment; Food Stamp Usage Down; Minorities Have JOBS! #BlacksFor…</t>
  </si>
  <si>
    <t>RT @mike_pence: PROUD to support our friend @VoteMarsha for US Senate representing Tennessee. Marsha Blackburn is a rock-ribbed conservativ…</t>
  </si>
  <si>
    <t>RT @DineshDSouza: If he got 50 years for this, think of what the Clintons deserve for selling access to US foreign policy https://t.co/HPXM…</t>
  </si>
  <si>
    <t>RT @FoxNews: .@POTUS and @FLOTUS Welcome the Macrons for Their First Formal State Visit https://t.co/NnvUyY10X9</t>
  </si>
  <si>
    <t>RT @FoxNews: .@POTUS and @FLOTUS participate in the arrival ceremony of French President @EmmanuelMacron and Mrs. Macron. https://t.co/yL6w…</t>
  </si>
  <si>
    <t>RT @stranahan: Headlines + The Political Fallout from #Skripal and #Syria w/ The Great @georgegalloway #FaultLines https://t.co/owdtP7thQ7</t>
  </si>
  <si>
    <t>RT @Tokaise: Trump Administration Deploys Immigration Judges, Prosecutors To Border Ahead Of Caravan Arrival https://t.co/1cQCesnidJ via @w…</t>
  </si>
  <si>
    <t>RT @Jamierodr10: 🚨BREAKING🚨 JUSTICE DEPARTMENT TO TURN OVER CLINTON EMAIL DOCUMENTS TO CONGRESS!! #Finally #Lockherupalready  https://t.co/…</t>
  </si>
  <si>
    <t>RT @LarrySchweikart: Kyle Duncan will be confirmed to the 5th Circuit this afternoon, making him Trump's 15th Circuit Court judge confirmat…</t>
  </si>
  <si>
    <t>RT @FoxNews: Awaiting welcome ceremony for @EmmanuelMacron https://t.co/nN2vtJaql1</t>
  </si>
  <si>
    <t>RT @TRUMPMOVEMENTUS: Photo of the Day
President Trump and the First Lady with President Macron and Mrs. Macron of France - April 23, 2018 h…</t>
  </si>
  <si>
    <t>RT @FoxNews: .@Scaramucci on @POTUS: “I think he’s surprising these European leaders…He can operate in a world of that intellectual elitism…</t>
  </si>
  <si>
    <t>RT @historylvrsclub: Above the clouds. https://t.co/AJzbRLFTF0</t>
  </si>
  <si>
    <t>RT @JDugudichi: Follow back all patriots
@JDugudichi
@Priyank66938210
@JamesBr68146064
@ladydshops
@CGQuilts
@bmfjbt
@johnnyjay21
@tohellwi…</t>
  </si>
  <si>
    <t>RT @Mmarty1230: YES GO FOR IT YOU WOULD BE GREAT !!! @Jim_Jordan @RepMattGaetz @DevinNunes @RandPaul @HouseGOP @SenateGOP @GOP @GOPLeader @…</t>
  </si>
  <si>
    <t>RT @WhiteHouse: .@FLOTUS has selected the dinner setting and décor for the Trump Administration's first State Visit to pay homage to the lo…</t>
  </si>
  <si>
    <t>RT @RodStryker: Thank you, @POTUS &amp;amp; @FLOTUS Trump for putting #AmericaFirst #MAGA🇺🇸, while regaining our respect on the world stage.
After…</t>
  </si>
  <si>
    <t>RT @CollinRugg: Mike Pompeo was approved by the Senate.
I would like to take a moment to remind everyone that Cory Booker would not vote t…</t>
  </si>
  <si>
    <t>RT @DailyCaller: Pompeo’s Nomination Clears Key Senate Committee https://t.co/qPDwrF05Qn https://t.co/3CxSQsnK1f</t>
  </si>
  <si>
    <t>RT @Thomas1774Paine: Tom Steyer’s multimillion-dollar mission to impeach Trump falls flat https://t.co/K1b99StzKR</t>
  </si>
  <si>
    <t>RT @JDugudichi: Follow all patriots for an instant Follow back
@JDugudichi
@Tamaraw68415067 
@KyManInTheWoods 
@ColoradoGirl2A
@clivebushjd…</t>
  </si>
  <si>
    <t>RT @JDugudichi: Follow all patriots for an instant follow back
#MAGA
@JDugudichi
@kwilli1046
@zack_nola
@kevinkc5757
@donnalea1788
@DoreenP…</t>
  </si>
  <si>
    <t>RT @realDonaldTrump: Thank you to the incredible Law Enforcement Officers from the Palm Beach County Sheriff’s Office. They keep us safe an…</t>
  </si>
  <si>
    <t>RT @wht353: Flynn on the way BACK!
#qanon #POTUS https://t.co/YpYRUAN6z0</t>
  </si>
  <si>
    <t>RT @_SierraWhiskee: For months, our @FLOTUS, has been preparing the final preparations for the first State Dinner with #France. 
It makes…</t>
  </si>
  <si>
    <t>RT @KMGGaryde: OMG! No official intel used to start FBI probe into Trump campaign-Russia collusion: Rep. Nunes. America How can this stand?…</t>
  </si>
  <si>
    <t>RT @historylvrsclub: Medieval church door in Gloucestershire believed to be the inspiration for J.R.R. Tolkien's entrance to Moria https://…</t>
  </si>
  <si>
    <t>RT @GitSmarte: Imran Awan's father was giving data to Pakistani official Rehman Malik have you heard any of this on MSM? No... because Mock…</t>
  </si>
  <si>
    <t>RT @realDonaldTrump: Hard to believe Obstructionists May vote against Mike Pompeo for Secretary of State. The Dems will not approve hundred…</t>
  </si>
  <si>
    <t>RT @Vik4Trump: I prefer to focus on this young man, rather than the monster in #WaffleHouseShooting This is the man who stopped the shooter…</t>
  </si>
  <si>
    <t>RT @BisonCoolers: Don't worry, we're with you America.  Keep your #2ndAmendment rights safe and secure with #BisonCoolers. #MadeInUSA and p…</t>
  </si>
  <si>
    <t>@smartiekat123 @Golfinggary522 @jcpenni7maga @jimlibertarian @JohnMcGeever70 Jumping on. I follow back.</t>
  </si>
  <si>
    <t>RT @smartiekat123: Thank you, Deplorables!    To ride a future 
                             Monday Express Train
simply retweet this pag…</t>
  </si>
  <si>
    <t>RT @LarrySchweikart: The next shoe to drop is the revelation, as predicted here, that Brennan is a Russkie agent. https://t.co/Rzg5drBq3z</t>
  </si>
  <si>
    <t>RT @Fuctupmind: Love and admire the respect. 🇺🇸
https://t.co/9muZgAJU5U</t>
  </si>
  <si>
    <t>RT @Golfinggary522: BOOM! Devin Nunes (R-CA): No Official Intelligence Used in Witch Hunt Against Trump! No evidence of any basis for the #…</t>
  </si>
  <si>
    <t>RT @RealJamesWoods: With regard to the Utah primary, make of this what you will... https://t.co/ACxDnifYrm</t>
  </si>
  <si>
    <t>RT @RealMAGASteve: BUCKLE UP: ‘Unsafe’ Diamond &amp;amp; Silk to TESTIFY Before Congress 
Proud pro-Trump duo Diamond &amp;amp; Silk are heading to Washin…</t>
  </si>
  <si>
    <t>RT @Ontly: @cspanwj 
Documenting corruption of the Obama administration. https://t.co/J5bPm10rAt</t>
  </si>
  <si>
    <t>RT @DanielKnightPL: Comey thought he could escape being convicted by writing a book of lies and going on a book tour but after getting the…</t>
  </si>
  <si>
    <t>RT @thehill: JUST IN: Romney refuses to commit to backing Trump's reelection bid https://t.co/U4a73o3YFZ https://t.co/dG0ujFqTPw</t>
  </si>
  <si>
    <t>RT @FoxNews: .@DevinNunes: "We are investigating the @StateDept. We think there's some major irregularities at the State Department." #Sund…</t>
  </si>
  <si>
    <t>RT @FLOTUS: What a beautiful tribute to a wonderful woman who lived for God, family and country. https://t.co/sBKNmkgsI6</t>
  </si>
  <si>
    <t>RT @RealJamesWoods: You are a lady of such class. We are so lucky to have you. https://t.co/T3v6osESDw</t>
  </si>
  <si>
    <t>RT @realDonaldTrump: ....We are a long way from conclusion on North Korea, maybe things will work out, and maybe they won’t - only time wil…</t>
  </si>
  <si>
    <t>RT @KennedyForUtah: If you're tired of the old, establishment politicians kicking the can down the road and never getting anything done, th…</t>
  </si>
  <si>
    <t>RT @TheLastRefuge2: Giddy up.  #MAGA2018 https://t.co/obV7K11bJQ</t>
  </si>
  <si>
    <t>RT @Gone2theBeach: @LisaMei62  https://t.co/P5Mlmla4aa</t>
  </si>
  <si>
    <t>RT @wikileaks: Techdirt: Analysis of Democratic National Committee (DNC) lawsuit against @WikiLeaks et al https://t.co/syhg6i8RN6</t>
  </si>
  <si>
    <t>RT @wikileaks: The Democrats are suing @WikiLeaks and @JulianAssange for revealing how the DNC rigged the Democratic primaries. Help us cou…</t>
  </si>
  <si>
    <t>RT @MZHemingway: Comey memos indicate that briefing of Trump was part of a setup to enable CNN to go public w/ unverified dossier. https://…</t>
  </si>
  <si>
    <t>RT @RepKayGranger: On this day in 1836, the Texas militia famously shouted “Remember the Alamo!” while attacking Santa Anna’s Army. The Bat…</t>
  </si>
  <si>
    <t>RT @dekdarion: THIS is @maggieNYT , a tried and true shill for Hill.  Over 303 emails in the @Wikileaks #PodestaEmails carry her name.  #Qa…</t>
  </si>
  <si>
    <t>RT @Jamierodr10: LIBERAL CALIFORNIA Lawmakers Propose Bill to Ban Sale Of Bibles! Liberals won’t be satisfied until Christianity has been S…</t>
  </si>
  <si>
    <t>RT @welshdragon2015: This was the moment in the Republican debates that I decided to support Donald J Trump. This is also the moment I real…</t>
  </si>
  <si>
    <t>RT @true_pundit: WikiLeaks fires back at Democrat lawsuit – and they want to take action: ‘discovery is going to be amazing fun’ https://t.…</t>
  </si>
  <si>
    <t>RT @GrizzleMeister: President Trump taking time out from a busy schedule to meet with WWII Marine Veteran George Skoko on his 97th Birthday…</t>
  </si>
  <si>
    <t>RT @Thomas1774Paine: McCabe: The Inspector General is a Joke and There’s No Way I’m Getting Prosecuted https://t.co/DwGrU9hWVh</t>
  </si>
  <si>
    <t>RT @JackPosobiec: Rare photo of President Trump dropping truth bombs https://t.co/HuMrFbvwP6</t>
  </si>
  <si>
    <t>RT @Chicago1Ray: We c/d be on the cusp of the most significant diplomatic achievement since the[Marshall Plan] post [WW2] 
"The Bottom Lin…</t>
  </si>
  <si>
    <t>RT @Thomas1774Paine: Co-owners of Alfa Bank Sue Ex-Spy Steele for Phony Trump Dossier https://t.co/hHIarI74gW</t>
  </si>
  <si>
    <t>RT @realDonaldTrump: Join me in Washington, Michigan on Saturday, April 28, 2018 at 7:00pm! #MAGA Tickets: https://t.co/DISosdqBuu https://…</t>
  </si>
  <si>
    <t>RT @realDonaldTrump: The New York Times and a third rate reporter named Maggie Haberman, known as a Crooked H flunkie who I don’t speak to…</t>
  </si>
  <si>
    <t>RT @realDonaldTrump: ....non-existent “sources” and a drunk/drugged up loser who hates Michael, a fine person with a wonderful family. Mich…</t>
  </si>
  <si>
    <t>RT @realDonaldTrump: ....it means lying or making up stories. Sorry, I don’t see Michael doing that despite the horrible Witch Hunt and the…</t>
  </si>
  <si>
    <t>RT @Jamierodr10: Julian Assange has ‘Physical Proof’ that Russia didn’t hack the DNC- Congresswoman Dana Rohrabacher (R-Cal)    #Assange #D…</t>
  </si>
  <si>
    <t>RT @CarlosSimancas: This corrupt HRC loving POS should have been removed a long time ago.
He has blood on his hands.
#FireSheriffIsrael h…</t>
  </si>
  <si>
    <t>RT @DiamondandSilk: .@DiamondandSilk do a DROP IN on @SHSanders45 at the Press Briefing. Matthew had a question, Diamond &amp;amp;Silk had the answ…</t>
  </si>
  <si>
    <t>RT @TrumpsBlonde: https://t.co/qFz4qReqJe</t>
  </si>
  <si>
    <t>RT @TheLastRefuge2: It's not the *classification* per se, that will entrap Comey, it's the content therein.  The substance of the memos is…</t>
  </si>
  <si>
    <t>RT @RealJamesWoods: Interesting strategy by @POTUS, because civil court allows for greater latitude during discovery and low tolerance for…</t>
  </si>
  <si>
    <t>RT @TheLastRefuge2: North Korea Agrees To Unconditional Denuclearization, Suspends Missile Tests, Shuts Down Testing Facility… https://t.co…</t>
  </si>
  <si>
    <t>RT @Thomas1774Paine: Sen. Ted Cruz Looking To Make Individual Tax Cuts From GOP Bill Permanent https://t.co/CCJl6v6N7E</t>
  </si>
  <si>
    <t>RT @realDonaldTrump: A message from Kim Jong Un: “North Korea will stop nuclear tests and launches of intercontinental ballistic missiles.”…</t>
  </si>
  <si>
    <t>RT @JenNongel: Oh Dear God, this simply has to be a joke.
Democratic Party files federal lawsuit alleging conspiracy by Trump campaign, Ru…</t>
  </si>
  <si>
    <t>RT @LarrySchweikart: KEY THREAD to understanding classified procedures and why Combover just landed in the shitter. https://t.co/o43l5UoPlj</t>
  </si>
  <si>
    <t>RT @justlucky190: For those of you (Libs) knocking our #POTUS for not attending Barbara Bush's funeral, you need to read this article.  Fin…</t>
  </si>
  <si>
    <t>RT @BossSquirrel72: Was dossier briefing a set up? Report connects dots between Comey, CNN, Clapper and it’s not pretty https://t.co/85ZeEm…</t>
  </si>
  <si>
    <t>RT @Patriot_Tribune: Lying to federal investigators is punishable by up to five years. https://t.co/qwH8Zms8pU</t>
  </si>
  <si>
    <t>RT @GovAbbott: The state’s diversified economic base &amp;amp; resurgent oil &amp;amp; gas sector are driving a bright economic outlook for Texas. – Dallas…</t>
  </si>
  <si>
    <t>RT @TheLastRefuge2: 1) Guiliani joining team to negotiate exit of Mueller is confirmation of earlier analysis on Mueller "referee" intent.…</t>
  </si>
  <si>
    <t>RT @KatTheHammer1: The memorial for the Alfred P.Murray Federal Building [Oklahoma City OK] that was bombed by terrorists April 19, 1995. […</t>
  </si>
  <si>
    <t>RT @Thomas1774Paine: Netanyahu Silences Gun Grabbers with Perfect Definition of ‘Independence’ https://t.co/mM4wbKIAuL</t>
  </si>
  <si>
    <t>RT @realDonaldTrump: Looks like OPEC is at it again. With record amounts of Oil all over the place, including the fully loaded ships at sea…</t>
  </si>
  <si>
    <t>RT @WBEplantlady: Pelosi reveals classified information about her unauthorized illegal taxpayer funded trip to North Korea. She should resi…</t>
  </si>
  <si>
    <t>RT @tedcruz: Ted Cruz on Thursday became the sole Republican male to join the men of the Senate Democratic Caucus in calling for a vote on…</t>
  </si>
  <si>
    <t>RT @TomFitton: My plane from Dallas to DC transporting remains of WWII veteran to be buried in Arlington. Airport firetruck tribute. https:…</t>
  </si>
  <si>
    <t>RT @GregAbbott_TX: All Texas school districts and public junior college districts comply with state required safety and security audits. Bu…</t>
  </si>
  <si>
    <t>RT @KelemenCari: On his HOMETOWN TURF, Washington DC, James Comey's book signing only drew ONE book buyer. All the others present were MEDI…</t>
  </si>
  <si>
    <t>RT @jsolomonReports: Judiciary chairman questions whether Comey lied to Congress https://t.co/YhXjgvCawF</t>
  </si>
  <si>
    <t>RT @Uncle_Jimbo: It will really sting if #Trump settles the Korean War &amp;amp; de-nukes #NorthKorea and then the Mullahs fall in #Iran 
Talk abo…</t>
  </si>
  <si>
    <t>RT @davis1988will: Today is the tragic anniversary of the #OklahomaCityBombing. Rest in Peace to all the victims who died on that fateful d…</t>
  </si>
  <si>
    <t>RT @occulturalism: EXCLUSIVE: Hillary’s Deleted Emails Have Been Found, Court Orders Them RELEASED https://t.co/MueQD2o5Dw #qanon</t>
  </si>
  <si>
    <t>RT @mitchellvii: BREAKING: FBI Admits Comey Memos — That He Leaked — Were Classified Material! https://t.co/lhQLpEp7py</t>
  </si>
  <si>
    <t>RT @prayingmedic: 1) This is my #Qanon thread for April 19th 
Q posts can be found here: https://t.co/yeNLF0baB0
Today is the anniversary…</t>
  </si>
  <si>
    <t>RT @jcpenni7maga: #Giuliani is the best!  
#AmericasMayor
#MAGAlikeAmofo
#BreakingNews: Former NYC Mayor Rudy Giuliani to join @POTUS' le…</t>
  </si>
  <si>
    <t>RT @SaraCarterDC: https://t.co/JhbLf1KGvh</t>
  </si>
  <si>
    <t>RT @Dawn_DeMore1: We Are Sick And Tired Of The Corruption In D.C! #JeffSessions
Do Your Job Please! #DrainTheSwamp And #LockThemAllUp 
In…</t>
  </si>
  <si>
    <t>RT @MAGANinaJo: 🇺🇸North Carolina Primary May 8🇺🇸
US HOUSE: The two districts most competitive are Districts 3 and 9.  We need all seats RE…</t>
  </si>
  <si>
    <t>RT @lukerosiak: 🚨🚨🚨IMRAN AWAN FAMILY, WHO MADE 'UNAUTHORIZED ACCESS' TO CONGRESSIONAL DATA, GAVE USB TO PAKISTANI OFFICIAL, CLAIMED POWER T…</t>
  </si>
  <si>
    <t>RT @HCDotNet: Thank You Mr. President. 🇺🇸 https://t.co/fiZmhIXFeg</t>
  </si>
  <si>
    <t>RT @girl4_trump: I find this difficult to believe. They told us #TedCruz was in trouble months ago, he won #Bigly. Texans aren’t stupid. 
#…</t>
  </si>
  <si>
    <t>RT @KerenizKeren: @EricHolder @AGLynch need to be in jail. #SlushFund #sessions #DeepStateCorruption #ObamaGate #QAnon  https://t.co/UBQcer…</t>
  </si>
  <si>
    <t>RT @MZHemingway: Revealed: Mueller's FBI Repeatedly Abused Prosecutorial Discretion https://t.co/TP1tx1TbwQ</t>
  </si>
  <si>
    <t>RT @1Romans58: On this date in 1775
The American Revolution begins
The battle of Lexington started with the "shot heard around the world"…</t>
  </si>
  <si>
    <t>RT @UberDick: If they don't follow back withing a few days, please contact them politely.
@lindakight64
@harper334036
@locotweetson
@rdman…</t>
  </si>
  <si>
    <t>RT @1Romans58: Is there no end to this corruption?  I mean at this point it is easier to just list those who are not sell out criminals.…</t>
  </si>
  <si>
    <t>RT @GrandOpUSA: DEMOCRAT CORRUPTION: Obama and Lynch ordered the FBI to stand down on the Clinton Foundation investigation!
FBI's McCabe t…</t>
  </si>
  <si>
    <t>RT @Thomas1774Paine: Melania Proves Spring Has Sprung In Brilliant Green Dress For Tour At Flagler Museum (PHOTOS) https://t.co/1DaWVl9DT1</t>
  </si>
  <si>
    <t>RT @GregAbbott_TX: Tonight I joined the Consul General of Israel in Houston to celebrate Israel’s 70th Anniversary of its Independence. The…</t>
  </si>
  <si>
    <t>RT @TrumpsBlonde: I want to remind you of an ongoing investigation @jeffsessions is still working. SIX BILLION DOLLARS  the Obama Administr…</t>
  </si>
  <si>
    <t>RT @RealEagleWings: Old North Bridge &amp;amp; Minutemen 
The American Revolution begins
On this day in history, April 19, 1775, the American Rev…</t>
  </si>
  <si>
    <t>RT @trustrestored: THIS IS WHAT WE'RE UP AGAINST: New York Attorney General Seeks Power to Bypass Presidential Pardons https://t.co/NTzF8d8…</t>
  </si>
  <si>
    <t>RT @APCentralRegion: A former Houston 911 operator convicted of hanging up on callers told investigators she didn't want to talk to anyone…</t>
  </si>
  <si>
    <t>RT @Tia6sc: DemocRats.......
Schiff Goes Into Overdrive=&amp;gt; Introduces Bill to Make it Difficult For Trump to Grant Pardons in Russia Witch…</t>
  </si>
  <si>
    <t>RT @SaraCarterDC: Wasn’t that considerate of them... https://t.co/O3WNd7u799</t>
  </si>
  <si>
    <t>RT @Thomas1774Paine: Pay close attention to Facebook’s new passive-aggressive privacy settings https://t.co/3zxckIocFw</t>
  </si>
  <si>
    <t>RT @DjLots3: Now THIS is a Sancuary City I can get behind!! 
A Sancuary FOR GUN OWNERS!
We need more of them!
https://t.co/NC3TIxmzFU</t>
  </si>
  <si>
    <t>RT @DineshDSouza: Over a big pile of cash from a book deal would seem to be more accurate https://t.co/CEf1J58mD6</t>
  </si>
  <si>
    <t>RT @Thomas1774Paine: BREAKING: California Governor Backs Down — Announces Mobilization of 400 National Guard Troops, Per Trump’s Order http…</t>
  </si>
  <si>
    <t>RT @prayingmedic: POTUS weighs in on the Russia investigation 
His response to rumors about firing Mueller and Rosenstein is classic #Trum…</t>
  </si>
  <si>
    <t>RT @TheLastRefuge2: President Trump Will Hold MAGA Rally in Washington Michigan Night of WH Correspondents Dinner… https://t.co/cQhDYqkQYX…</t>
  </si>
  <si>
    <t>RT @Fuctupmind: @gatewaypundit @LauraLoomer COMEY ABSOLUTELY DESTROYED BY LAURA LOOMER
#Loomered 
https://t.co/p6dlBAeuot</t>
  </si>
  <si>
    <t>RT @TheLastRefuge2: They're only just now getting around to making inquires about "Stingray" use in DC?  Oh, c'mon, ...it was well known ye…</t>
  </si>
  <si>
    <t>RT @DFBHarvard: Nunes stuck to his values, weathered Adam Schiff's vicious attack on his ethics, &amp;amp; came back to lead an important, concluso…</t>
  </si>
  <si>
    <t>RT @tgradous: “[Power] says, ‘What did you do for this country?’ He says, ‘I took three bullets to the leg. I almost lost my life for this…</t>
  </si>
  <si>
    <t>RT @RealJamesWoods: “California isn’t the future, rather, it’s what America’s 2016 election of Donald Trump saved the nation from becoming.…</t>
  </si>
  <si>
    <t>RT @MAGANinaJo: Funeral arrangements for Barbara Bush.  We will remember her for many contributions to our country, but most of all, those…</t>
  </si>
  <si>
    <t>RT @Lilsunshinegurl: Ty https://t.co/t56S79W0wH</t>
  </si>
  <si>
    <t>RT @RepMarkMeadows: I sent the below letter to @GOPoversight Chairman @TGowdySC, regarding multiple troubling inconsistencies in the commen…</t>
  </si>
  <si>
    <t>RT @shadowfax_82: If any of you find this interesting and or informative, would you help a brother out by RT-ing? I would sure like to join…</t>
  </si>
  <si>
    <t>RT @ColumbiaBugle: Unlike Obama, President Trump never forgets about our citizens who have been captured. https://t.co/iUdmFWtlIF</t>
  </si>
  <si>
    <t>RT @DFBHarvard: IRS overhaul passed by House - https://t.co/3SjyS1FiWr - @washtimes
"Oh, East is East, and West is West, and never the twa…</t>
  </si>
  <si>
    <t>RT @PersistenceTee: https://t.co/md8pJp58jR</t>
  </si>
  <si>
    <t>RT @MarcGriff89: JUST LET THIS SINK IN SNOWFLAKES ❄️! 🤣 #MAGA 🇺🇸 https://t.co/bkggcGfPCj</t>
  </si>
  <si>
    <t>RT @KatTheHammer1: The Hoof Code of Civil War Statues:
A statue that has all 4 of the horse's hooves on the ground means the soldier survi…</t>
  </si>
  <si>
    <t>RT @IsraelUSAforevr: The birthday of the State of Israel is a blessed day and those who bless Israel will be blessed
#Israel70 https://t.co…</t>
  </si>
  <si>
    <t>RT @ColumbiaBugle: #BREAKING President Donald Trump announcing he will be meeting with Rocket Man in the coming weeks! https://t.co/6p3G96m…</t>
  </si>
  <si>
    <t>RT @almostjingo: 🍿Grab your popcorn, cage match time Comey VS McCabe and the left is out for blood. https://t.co/yHf1dAPosB</t>
  </si>
  <si>
    <t>RT @JackPosobiec: Fist bumps for peace https://t.co/vOjniWj2na</t>
  </si>
  <si>
    <t>RT @CHIZMAGA: Trump playing golf with Japanese Prime Minister Abe today...👇🏻
This is how you build relationships! Media doesn’t get it...…</t>
  </si>
  <si>
    <t>RT @TheLastRefuge2: Congress Sends Criminal Referral To Sessions, Wray and Prosecutor Huber… https://t.co/JR8uAKVRJd https://t.co/GRLbmic4ic</t>
  </si>
  <si>
    <t>RT @almostjingo: 💥What’s this? Trump Corporation giving $151,470.00 as a gift to the United States Treasury In February. As @realDonaldTrum…</t>
  </si>
  <si>
    <t>RT @realDonaldTrump: Prime Minister @AbeShinzo of Japan and myself this morning building an even deeper and better relationship while playi…</t>
  </si>
  <si>
    <t>RT @MikeTokes: BREAKING: Lawmakers have just sent criminal referrals to the Department of Justice for: 
-Former FBI Director James Comey
-…</t>
  </si>
  <si>
    <t>RT @unseen1_unseen: Sorry liberals this picture does not show an unhappy marriage..... https://t.co/nWsYG0jQ2n</t>
  </si>
  <si>
    <t>RT @thehill: Alabama governor defends Confederate monuments: We don't need "out-of-state liberals" telling us what to do https://t.co/PVB3T…</t>
  </si>
  <si>
    <t>RT @realDonaldTrump: While Japan and South Korea would like us to go back into TPP, I don’t like the deal for the United States. Too many c…</t>
  </si>
  <si>
    <t>RT @realDonaldTrump: There is a Revolution going on in California. Soooo many Sanctuary areas want OUT of this ridiculous, crime infested &amp;amp;…</t>
  </si>
  <si>
    <t>RT @unseen1_unseen: OMG. My winninitus is going to send me to the hospital tonight. 👇👇👇👇👇👇👇👇👇👇👇👇👇
BREAKING: Mexico Agrees To Pay for Wall…</t>
  </si>
  <si>
    <t>RT @Peoples_Pundit: "Olugbenga Omopariola, 61, engaged in sexual contact with a 7-year-old minor, which he admitted and was later convicted…</t>
  </si>
  <si>
    <t>RT @TomCottonAR: Very disappointing from @SenatorShaheen. She expressed admiration for Director Pompeo at his hearing, now she opposes a Se…</t>
  </si>
  <si>
    <t>RT @Shar_n_Shar: https://t.co/iOc396rw1B
You'll find legislation in your state with a quick search.
You'll have an option to fill in your c…</t>
  </si>
  <si>
    <t>RT @jgm41: Statement by the Office of @GeorgeHWBush on the passing of Barbara Pierce Bush this evening at the age of 92. https://t.co/c6JU0…</t>
  </si>
  <si>
    <t>RT @RealMAGASteve: BOMBSHELL: Washington Post: Pompeo secretly met with Kim Jong Un over Easter weekend!!! 
https://t.co/snll19MXRO</t>
  </si>
  <si>
    <t>RT @commonpatriot: MUST READ: This thread spells out explicitely the left's tactics &amp;amp; how we've likely already lost seats~ get coffee, get…</t>
  </si>
  <si>
    <t>RT @historylvrsclub: Times Square, New York, USA. 1972. https://t.co/JmTkIJluc3</t>
  </si>
  <si>
    <t>RT @seal50555: RETWEET THIS. https://t.co/ARKJxRY0KZ</t>
  </si>
  <si>
    <t>RT @luluHru: Follow,Retweet, Reply, Followback!
🗽@Mongo444444 
🗽@NidaTrump2016 
🗽@Karenwilltweet 
🗽@luluHru 
🗽@PIRATEDANTRAIN 
🗽@Willow_won…</t>
  </si>
  <si>
    <t>RT @AP: BREAKING: The IRS extends tax-filing deadline for all filers to midnight Wednesday, April 18, due to glitch with agency's website.</t>
  </si>
  <si>
    <t>RT @RuthieRedSox: Fair Winds and Following Seas
Barbara Bush 
June 8, 1925 - April 27, 2018 https://t.co/t46ocT20us</t>
  </si>
  <si>
    <t>RT @GrandOpUSA: C-Span created a poll last night asking who people trusted more, President Trump or Comey. After 116,000 votes they cancell…</t>
  </si>
  <si>
    <t>RT @JenNongel: One person is dead after Southwest Airlines Incident.
The woman partially pulled through plane window suffering head injurie…</t>
  </si>
  <si>
    <t>RT @IngrahamAngle: We pray for the repose of the soul of the always witty and upbeat Barbara Bush and for the entire Bush family tonight. G…</t>
  </si>
  <si>
    <t>RT @TheLastRefuge2: White House Press Briefing – U.S. Japan Summit at Mar-a-Lago (Audio and Transcript)… https://t.co/TzKk5nVWjC https://t.…</t>
  </si>
  <si>
    <t>RT @andylassner: Look at the date. 
2017. 
This is an official statement from the @WhiteHouse. https://t.co/aRWLSQRsbL</t>
  </si>
  <si>
    <t>RT @LisaSmith4680: BREAKING NEWS: Mitch McConnell REFUSES to hold a floor vote on bill to protect Mueller! FINALLY, @GOP is showing some st…</t>
  </si>
  <si>
    <t>RT @TribeTrump: Nice, Abe &amp;amp; DJT get along well. 👍#winning https://t.co/8ULSca2aqo</t>
  </si>
  <si>
    <t>RT @luluHru: Follow, Retweet, Reply, Followback 
🗽@sophiesmom1018 
🗽@Rikki_Ric 
🗽@Nerdygal27 
🗽@unconcious0 
🗽@SumatraSue 
🗽@luluHru 
🗽@Rav…</t>
  </si>
  <si>
    <t>RT @W7VOA: Asked if he's spoken with Kim Jong Un, @POTUS replies "yes." https://t.co/JwFxEH1mFh</t>
  </si>
  <si>
    <t>RT @PressSec: Flags from all 50 states line the entrance to Mar-a-lago to welcome Prime Minister of Japan @AbeShinzo. https://t.co/V7AD5TJK…</t>
  </si>
  <si>
    <t>RT @RightWingAngel: Condolences &amp;amp; Prayers to the Bush family, friends as well as many who loved Barbara Pierce Bush over the years. WH staf…</t>
  </si>
  <si>
    <t>RT @DallasIrey: Heavenly Father please embrace this amazing woman on her next journey with you.  
Please watch over her family here on eart…</t>
  </si>
  <si>
    <t>RT @SenTedCruz: Today @SenRonJohnson and I sent a letter to Secretary Mnuchin encouraging the @USTreasury to allow individuals and families…</t>
  </si>
  <si>
    <t>RT @Thomas1774Paine: WATCH: Audience at Donald Trump Hispanic Business Event Chant ‘Four More Years’ https://t.co/L2XIkxK0jP</t>
  </si>
  <si>
    <t>RT @RealMAGASteve: Ivanka Trump hosts a Tax day event in New Hampshire to tout the benefits of the tax cut plan.
Ivanka doesn't get much p…</t>
  </si>
  <si>
    <t>RT @SheriffClarke: Gorsuch: "Today's vague laws...can invite the exercise of arbitrary power all the same -- by leaving the people in the d…</t>
  </si>
  <si>
    <t>RT @OliverMcGee: BREAKING NEWS: San Diego County supervisors vote to support Trump administration lawsuit against California’s so-called sa…</t>
  </si>
  <si>
    <t>RT @seanhannity: I just want to say thank you to all my irredeemable deplorable friends on twitter and elsewhere. The support you show me i…</t>
  </si>
  <si>
    <t>RT @MAGANinaJo: My friend, @Kimbraov1 is 59 followers away from 25k.  Please follow her and let’s get her to 25k today.  She is an awesome…</t>
  </si>
  <si>
    <t>RT @DutyOfAPatriot: Bill O’Reilly - Analysis Open Video! Premium Membership Not Required On This One...
Highly Recommended👇👇👇👇👇 https://t.…</t>
  </si>
  <si>
    <t>RT @historylvrsclub: Berlin in 1937 https://t.co/ukK9aVWLi0</t>
  </si>
  <si>
    <t>RT @JDugudichi: Follow all Patriots for an instant follow back
@JDugudichi
@Obamaboozled
@tracey_vinsand
@chromadka60
@dbsconservative
@Phy…</t>
  </si>
  <si>
    <t>RT @TheLastRefuge2: Stunning – An Official End To The Korean War Planned for Next Week… https://t.co/K4HbRG7OLm https://t.co/GYZo0MPxkH</t>
  </si>
  <si>
    <t>RT @LuanneBlair: Fox gives Hannity fell support and rightly so! https://t.co/BQhoqmqm8J</t>
  </si>
  <si>
    <t>RT @1Romans58: Wow!  Mark is about to go broke.  Make sure you get a piece of this pie if it applies to you.  I was never on FB so I can't…</t>
  </si>
  <si>
    <t>RT @TheLastRefuge2: Robert Mueller Office Warns “Many Stories About our Investigation Have Been Inaccurate”… https://t.co/7tVlpYkpwt https:…</t>
  </si>
  <si>
    <t>RT @ScottAdamsSays: If North Korea denuclearizes during Trump’s first term . . . while the U.S. economy expands as quickly as ISIS shrinks…</t>
  </si>
  <si>
    <t>RT @JusticeOIG: IG Horowitz to testify tomorrow (4/18, 10 am) at House Oversight and Government Reform Committee hearing on "Top Management…</t>
  </si>
  <si>
    <t>RT @CBSDFW: Southwest emergency landing: passenger from Dallas describes "chaos," flight attendant "crying hysterically": https://t.co/uRBV…</t>
  </si>
  <si>
    <t>RT @Thomas1774Paine: WATCH: Cuban Journalist Tries To Intimidate Rubio. Rubio Reduces Journalist And Cuban Regime To Rubble. https://t.co/E…</t>
  </si>
  <si>
    <t>RT @Thomas1774Paine: Especially the stories Mueller leaks to MSM. https://t.co/qdpkYehHLs</t>
  </si>
  <si>
    <t>RT @historylvrsclub: Cаstro lights a cigar as Khrushchev is amused looking at him wearing two Rolex watches, at the Kremlin, 1963. https://…</t>
  </si>
  <si>
    <t>RT @chuckwoolery: President Trump Furious At California Gov. Jerry Brown: “The High Crime Rate Will Only Get Higher” Without National Guard…</t>
  </si>
  <si>
    <t>RT @tracybeanz: When folks read this article they miss a very key point. It appears Jim Comey is currently embroiled in an ongoing investig…</t>
  </si>
  <si>
    <t>RT @Thomas1774Paine: BREAKING: FBI agent pleads guilty to leaking to media; Faces years behind bars https://t.co/JOZWajIVeq</t>
  </si>
  <si>
    <t>RT @realDonaldTrump: Welcome Prime Minister Abe! https://t.co/538EYyfWDq</t>
  </si>
  <si>
    <t>RT @VP: Last night, I spoke w/ Rosa María Payá, a Cuban dissident fighting for Cuba’s freedom. I made clear the Trump Admin stands w/ the C…</t>
  </si>
  <si>
    <t>RT @RightWingAngel: Dozens of flights into and out of Colorado Springs Airport are canceled  because of a fire that started in the roof and…</t>
  </si>
  <si>
    <t>RT @GitSmarte: ANYONE GOT ANSWERS TO THIS ONE? https://t.co/yZ0ICz8UaU</t>
  </si>
  <si>
    <t>RT @IsraelUSAforevr: 🔎🔎James Comey is a liar❔❓
⤵Please vote &amp;amp; RT 📊🔦⤵</t>
  </si>
  <si>
    <t>RT @1Romans58: Cali has a chance!  Keep up the good fight.
More California cities may join fight against state’s pro-illegal immigrant pol…</t>
  </si>
  <si>
    <t>RT @AIIAmericanGirI: Pollak: Gorsuch's Ruling in Immigration Case is Solid Conservative Originalism https://t.co/IW4E9uVwhY @BreitbartNews…</t>
  </si>
  <si>
    <t>RT @AIIAmericanGirI: With Everyone Focused On Comey, Trump Reformed Welfare https://t.co/PvJiA6fAzc @weaselzippers #AAG</t>
  </si>
  <si>
    <t>RT @dennis55218750: Vote Ted Cruz in November, keep Texas red https://t.co/9b9BRTgWDY</t>
  </si>
  <si>
    <t>RT @charliekirk11: Income tax: the fine you pay for being a productive member of society.
Welfare: the reward you get for being an unprodu…</t>
  </si>
  <si>
    <t>RT @DineshDSouza: Progressives out to lunch department: https://t.co/lNSAu8Hkr7</t>
  </si>
  <si>
    <t>RT @glassic131: Huuuummmm read the whole thread! 😳😮 https://t.co/opvpj9Hqnt</t>
  </si>
  <si>
    <t>RT @historylvrsclub: The oldest known dictionaries are cuneiform tablets from the Akkadian empire, 2nd millennium BC. https://t.co/CdeNz7bG…</t>
  </si>
  <si>
    <t>RT @DFBHarvard: In a Democracy, you don't always get the government you deserve. 
It's way past time to throw the Derelicts out.
RINOs ar…</t>
  </si>
  <si>
    <t>RT @pjbowles4: #TrumpTrain
@SandraTXAS
@SandraHearne2
@sandman5962
@CAS5050 *
@YodaJaxNme3
@sweetrtweetrD
@DallasIrey
@MichaelDadiego
@jcpe…</t>
  </si>
  <si>
    <t>RT @BackThePolice: Drop a like! https://t.co/bAzvfeXELZ</t>
  </si>
  <si>
    <t>RT @GrrrGraphics: #SlimeBallComey #Trump #SlimeBuster!  #TinaToon #TuesdayThoughts #TaxDay  
Read the post at https://t.co/KWun7zR0ca
help…</t>
  </si>
  <si>
    <t>RT @Thomas1774Paine: UPDATE: At Least Nine Injured -- AIR NIGHTMARE: Woman Partially Sucked Out of Jet When Engine Shrapnel Breaks Window M…</t>
  </si>
  <si>
    <t>RT @1Romans58: Income tax was introduced to the public in 1913.
Tax Rate: 1% tax for all except 6% tax on those making 500k+
These low ra…</t>
  </si>
  <si>
    <t>RT @historylvrsclub: Ruins at the Great Temple of Ramses II near the Nile River, Abu Simbel, Egypt. Fallen Pharaoh by Jarrod Castaing. http…</t>
  </si>
  <si>
    <t>RT @Mikeproudvet: #TrumpSuperTrain @Mikeproudvet
Car #241
@Konagalvo
@PurpleDragon333
@lance_macthrust
@CathrynSadowski
@GulfGypsy
@William…</t>
  </si>
  <si>
    <t>RT @JenNongel: BREAKING NEWS 🚨
Southwest Airlines plane's engine explodes; passenger reportedly hit with shrapnel
https://t.co/y3BdLhtlnf</t>
  </si>
  <si>
    <t>RT @HrrEerren: Muellar law firm client, Justin Cooper, set up and destroyed Clinton #CheatMailServer. Are we this stupid, as to just let th…</t>
  </si>
  <si>
    <t>RT @1776Stonewall: Rush Limbaugh is racking off one conflict of interest after another, exposing the liberal media hypocrisy for nearly an…</t>
  </si>
  <si>
    <t>RT @GartrellLinda: Federal Judge Drops the Hammer on Facebook with New Ruling 
The class action lawsuit alleging FB violated IL state law b…</t>
  </si>
  <si>
    <t>RT @GartrellLinda: MUST WATCH VIDEO: John Ratcliffe interview with Maria Bartiromo
He's 1 of the few members of Congress who read all 5 of…</t>
  </si>
  <si>
    <t>RT @MeowTrump: @FoxNews @adidas  Wow!  Committing Suicide!  If you sign on #Kaepernick , your business is done! There will be such a #Boyco…</t>
  </si>
  <si>
    <t>RT @JaySekulow: Radio: Urgent Update on Imprisoned #PastorAndrew. https://t.co/SW9P6dpLVL</t>
  </si>
  <si>
    <t>RT @Thomas1774Paine: Now you know why they are ALL so nervous. From Comey to Yates to Clapper to Brennan ... https://t.co/kfREfHXcTU</t>
  </si>
  <si>
    <t>RT @Truthseeker126: Awesome! Why has the party of identity politics not acknowledged this achievement? 🤔https://t.co/kkMaNZC1o4</t>
  </si>
  <si>
    <t>RT @IvanTrumpovic1: The deep state is well entrenched. It has had decades to infiltrate all branches of government. President Trump is figh…</t>
  </si>
  <si>
    <t>RT @lukerosiak: The hearing also confirmed my story that 44 Democrats exempted the Awans from background checks. All 44 refused to validate…</t>
  </si>
  <si>
    <t>RT @The2ndA: #VETERAN
#TrumpTrain
@alaniz779100 
@camogary 
@CarlPar80787825 
@ChuckMetallides  
@dobalina69  
@Donnalee222  
@edwabuck…</t>
  </si>
  <si>
    <t>RT @AMike4761: CALIFORNIA:  Not being viewed as an ‘Enemy of the People’ behind a Cali Company to move to TEXAS says CEO !    #ma4t  https:…</t>
  </si>
  <si>
    <t>RT @CharlieDaniels: You can claim that a fetus in its mothers womb is not a baby 
But the God that created everything, even you, says He kn…</t>
  </si>
  <si>
    <t>RT @jamesirving2: 🇺🇸🇺🇸🇺🇸🇺🇸🇺🇸🇺🇸RT if your desire is to see #DonaldJTrump and #Melania grace the #WhiteHouse for eight years. 🇺🇸🇺🇸🇺🇸🇺🇸🇺🇸🇺🇸🇺🇸…</t>
  </si>
  <si>
    <t>RT @Thomas1774Paine: Hannity Excoriates Comey in Sunday Night Scorched-Earth Tweet Fest https://t.co/aUd7FDB1FY</t>
  </si>
  <si>
    <t>RT @Agent4Trump: Huge... Must Read. How is Stormy Daniels a bigger story than this? We know the answer to that... #FakeNews 
HUGE! MAJOR S…</t>
  </si>
  <si>
    <t>RT @TrumpsBlonde: Your “likes” of my tweets are 👌🏻I appreciate them, but that just lets me know you’ve seen them, it doesn’t spread the #me…</t>
  </si>
  <si>
    <t>RT @KatTheHammer1: 🎉💯🎉💯🎉💯🎉💯🎉💯
PLEASE HELP MY FRIEND GET TO 60K FOLLOWERS! SHE'S SO CLOSE!! 
👉 @RealWolfAmerica 👈
🔴SHE'S #MAGA 💯
🔴 SUPER…</t>
  </si>
  <si>
    <t>RT @CHIZMAGA: What are the chances the Korean War would have ended with Hillary as President?
0.0%. https://t.co/f1et6xJjF6</t>
  </si>
  <si>
    <t>RT @TrumpsTrumpet2: #TrumpTrain #4 
@K_pfor
@Timesupjokers
@Truth24Patriot
@BlackmonJoe19
@Timsayswords
@KricketM
@BellaCeleste
@Chelle773…</t>
  </si>
  <si>
    <t>RT @TrumpsTrumpet2: 2nd #TrumpTrain All Aboard 
Follow All Then Retweet
@TrumpsTrumpet2
@NothingYouHear 
@GeorgiaDirtRoad
@APTT45Babe
@ji…</t>
  </si>
  <si>
    <t>RT @cyvault: @T_S_P_O_O_K_Y @realDonaldTrump South Korea's Moon says Trump deserves 'big' credit for North Korea talks
MSM: &amp;lt;Crickets&amp;gt;
ht…</t>
  </si>
  <si>
    <t>RT @RepKayGranger: 400+ companies expanding employee benefits.
4,000,000+ Americans receiving special bonuses.
83,000,000 Americans seeing…</t>
  </si>
  <si>
    <t>RT @2christian: Kroger CEO Rodney McMullen announced Monday that the Republican’s tax cut has allowed the company to raise wages and invest…</t>
  </si>
  <si>
    <t>RT @Reuters: U.S. top court rules that Microsoft email privacy dispute is moot https://t.co/dUXwe0tkP6 https://t.co/vhoDPjcWog</t>
  </si>
  <si>
    <t>RT @JaySekulow: After one day of trial in #Turkey, the situation took a bleak turn for innocent #PastorAndrew Brunson, who’s been wrongfull…</t>
  </si>
  <si>
    <t>RT @PSTeach4USFreed: Sara Carter and Sean Hannity Are Being Played By James Comey... https://t.co/7Dd9PkZHth via @thelastrefuge2</t>
  </si>
  <si>
    <t>RT @realDonaldTrump: I am in Florida and looking forward to my meeting with Prime Minister Abe of Japan. Working on Trade and Military Secu…</t>
  </si>
  <si>
    <t>RT @realJimRobinson: #ComeySlimeBall #FireMueller #ImpeachRosenstein #MAGA #KAG #Trump2020 #TrumpTrain #POTUS #DrainTheSwamp #Brexit #2A #L…</t>
  </si>
  <si>
    <t>RT @jerome_corsi: Self-Centered, Self-Serving Jackass": FBI Insiders Furious After Comey Interview | Zero Hedge https://t.co/YJwfGrzHgZ @re…</t>
  </si>
  <si>
    <t>RT @adjunctprofessr: 🔊🔊🔊 The Five Eyes Surveillance Alliance!
What does it mean?
What about privacy?
How are our US Constitutional rights i…</t>
  </si>
  <si>
    <t>RT @ReneeCarrollAZ: #TuesdayThoughts #TaxDay
#QAnon
.@EricTrump did a tweet about the Trump golf course in Washington DC. Look at the shap…</t>
  </si>
  <si>
    <t>RT @bocavista2016: CAN'T MAKE IT UP
#CNN says Sean Hannity has a conflict of interest reporting on #MichaelCohen
Yet denied #WolfBlitzer…</t>
  </si>
  <si>
    <t>RT @DutyOfAPatriot: BEST ECONOMY IN 2 DECADES
JOBS AT ALL TIME HIGH
STOCK MARKET ROCKING
DEMOCRATS VOW TO REPEAL TAX CUTS
WANT TO DESTROY…</t>
  </si>
  <si>
    <t>RT @trustrestored: CALIFORNISTAN San Diego County official: the outpouring of support AGAINST CA sanctuary laws FAR SURPASSES any support F…</t>
  </si>
  <si>
    <t>RT @2Chron169: .@DiamondandSilk TheDemocrats don't like the fact that they can't control us anymore &amp;amp; they can't keep us on what we call th…</t>
  </si>
  <si>
    <t>RT @DSanchez1669: On this day April 17, 1790, American statesman, printer, scientist, and writer Benjamin Franklin died in Philadelphia at…</t>
  </si>
  <si>
    <t>RT @KelemenCari: Hey, Department of Justice-
The Comey memos were due YESTERDAY. Where are they? 
#TuesdayThoughts https://t.co/6ibBU1prtA</t>
  </si>
  <si>
    <t>RT @Jamierodr10: ABC slammed for poor editing of Comey’s interview. It seems only 9.8 million wanted to watch compared to Stormy’s 22 milli…</t>
  </si>
  <si>
    <t>RT @SonofLiberty357: 💥💥 U.S. Air Campaign Destroys $42 Million Worth of Taliban Heroin Labs 
#MAGA
https://t.co/cdS6rvs0c8 via @BreitbartNe…</t>
  </si>
  <si>
    <t>RT @FoxNews: .@MarshaBlackburn: “When you allow sanctuary cities, first of all, it puts your citizens in peril.” https://t.co/K1qLrPx8Uz</t>
  </si>
  <si>
    <t>RT @2christian: On Sunday House Judiciary Bob Goodlatte told Maria Bartiromo on Sunday Morning Futures that the House was ready to take act…</t>
  </si>
  <si>
    <t>RT @nsfraudbuster: Watchdog calls out HUD for $500B-plus in accounting 'errors' |  https://t.co/Brhutwialf
These so called "accounting err…</t>
  </si>
  <si>
    <t>RT @kimUSAStrong: “This is the last time you’re going to fill up that long, complicated, horrible return.” —@realDonaldTrump 
 #TaxDay 🇺🇸…</t>
  </si>
  <si>
    <t>RT @chuckwoolery: WATCH=&amp;gt; GOP Lawmaker DESTROYS Comey, Hillary and McCabe From House Floor as He Lays Out Case For Second Special Counsel h…</t>
  </si>
  <si>
    <t>RT @starcrosswolf: LOOK! Public schools are indoctrinating kids with an anti-conservative agenda.  New high school history textbook teaches…</t>
  </si>
  <si>
    <t>RT @LisaMei62: Fantastic news!
https://t.co/rgKazGO3Xw</t>
  </si>
  <si>
    <t>RT @realDonaldTrump: Employment is up, Taxes are DOWN. Enjoy!</t>
  </si>
  <si>
    <t>RT @historylvrsclub: This was the original Ronald clown of McDonald's.. 1963 https://t.co/kPCfuU1hUh</t>
  </si>
  <si>
    <t>RT @seanhannity: In response to some wild speculation, let me make clear that I did not ask Michael Cohen to bring this proceeding on my be…</t>
  </si>
  <si>
    <t>RT @seanhannity: which dealt almost exclusively about real estate, not be made a part of this proceeding.</t>
  </si>
  <si>
    <t>RT @historylvrsclub: The last known Tasmanian Tiger, photographed in 1933. They are now extinct. https://t.co/lOjK4jf8sT</t>
  </si>
  <si>
    <t>RT @realDonaldTrump: Looks like Jerry Brown and California are not looking for safety and security along their very porous Border. He canno…</t>
  </si>
  <si>
    <t>RT @RealEagleWings: GOP Lawmaker to hold Special Order on House Floor Tonight Detailing Case for  Second Special Counsel to Investigate Oba…</t>
  </si>
  <si>
    <t>RT @Real_PeachyKeen: "Since election day we've created more than 3 million new jobs." President Trump
This is winning.
This is a President…</t>
  </si>
  <si>
    <t>RT @RealMAGASteve: RETWEET: The MSM doesn’t want you to hear the NRA is helping 31-teachers from TX to go through firearms training.
Their…</t>
  </si>
  <si>
    <t>RT @BrotherVet: Keep Texas Great 
Keep Texas Red 
#VoteRed2018 
#VoteGregAbbott
#VoteTedCruz
#VoteDanPatrick
#VoteKenPaxton https://t.co/…</t>
  </si>
  <si>
    <t>RT @Thomas1774Paine: Judge rules to unseal 11 cases of Investigations of Bill Clinton and Monica Lewinsky Torrid Affair https://t.co/kvYofx…</t>
  </si>
  <si>
    <t>RT @Fuctupmind: RETWEET IF YOU SUPPORT SEAN HANNITY https://t.co/bcdZ2PjAyG</t>
  </si>
  <si>
    <t>RT @TheLastRefuge2: Well, for those who were still doubtful, perhaps on the fence, about DOJ and Mueller motive of using investigation for…</t>
  </si>
  <si>
    <t>RT @Sgroberts121657: @michael__1776 @VoteMattMcCall @tedcruz  https://t.co/AvXAsRHk2V</t>
  </si>
  <si>
    <t>RT @PamelaGeller: Honduran Lawmakers Vote to Move Embassy to Jerusalem https://t.co/C2a9qbgnwu https://t.co/OQbuP0uRgc</t>
  </si>
  <si>
    <t>RT @disings: #Texas Republican #Congressman John Ratcliffe calls #ComeyInterview a "sad therapy session" https://t.co/3bnjVw0eyb</t>
  </si>
  <si>
    <t>RT @ablessedpatriot: Wishing you a Blessed Patriots Day... #MAGA https://t.co/ods5yJ539U</t>
  </si>
  <si>
    <t>RT @girl4_trump: Great... a limp wrist leader for a limp wrist organization. #Obama will Fuk it all up and do whatever he can to undermine…</t>
  </si>
  <si>
    <t>RT @TheLastRefuge2: "I never heard anyone on our team — not one — take a position that seemed driven by their personal political motivation…</t>
  </si>
  <si>
    <t>RT @MamaBearKrissie: #qanon tells us to reread all of the five eyes posts.  Looks like Obama was using his 5 Eyes partners to spy on us whe…</t>
  </si>
  <si>
    <t>RT @Doodisgirl: How can we ever thank them enough?
🙏🏼❤️🇺🇸
Prayers, support at home, letters, tweets, better pay &amp;amp; healthcare..
#MilitaryMon…</t>
  </si>
  <si>
    <t>RT @PSTeach4USFreed: #Clarity @realDonaldTrump https://t.co/1o5D5XkrxV</t>
  </si>
  <si>
    <t>RT @adjunctprofessr: US fights to safeguard its technology as companies build the country's 5G data network.
Treasury Dept has concerns abo…</t>
  </si>
  <si>
    <t>RT @FoxNews: .@POTUS: “We cut regulations at a level that nobody’s seen in the history of our country… and we’re not finished yet.” https:/…</t>
  </si>
  <si>
    <t>RT @BryonnyM: 🏛 Gowdy: 
"Comey's Memos 📝 are DEFENSE EXHIBIT A 📌
In an 👉OBSTRUCTION OF JUSTICE 
PROSECUTION👈" 
#ComeyForPrison 
#LockHimUp…</t>
  </si>
  <si>
    <t>RT @StandingDarrell: 🇺🇸 “Andrew McCabe and James Comey Deserve Each Other”🇺🇸
Just how much comes through loud and clear in Inspector Gener…</t>
  </si>
  <si>
    <t>RT @DRUDGE_REPORT: POLL: TRUMP APPROVAL 51%... https://t.co/F91gpf9DHO</t>
  </si>
  <si>
    <t>RT @SheriffClarke: This column can serve as a great re-energizer to conservative voters, independents. We can be our own worst enemies some…</t>
  </si>
  <si>
    <t>RT @tammy_coldwell: 'Trump Nominates First Black Woman to Serve at Brigadier General Rank'
Proud of this woman, again proving there is NO…</t>
  </si>
  <si>
    <t>RT @PAGOP: "The Court developed their map without any transparency, leaving more questions than answers. So we are using the proper, legall…</t>
  </si>
  <si>
    <t>RT @retireleo: Parkland school advisory board member likens David Hogg to a Nazi on Twitter: report https://t.co/SIyXh1hNjL via @thesarahdt…</t>
  </si>
  <si>
    <t>RT @TheresaPagano: My 16 year old son wants to join the #USAF when he graduates. I’m GLAD he doen’t want to go to college. https://t.co/bxr…</t>
  </si>
  <si>
    <t>RT @hrtablaze: Now that WW3 is over , we can get back to addressing the things that affect the average American.  
Check this out 🇺🇸👇
Nea…</t>
  </si>
  <si>
    <t>RT @nikkihaley: Prayers going up for a woman of great faith, great strength, and an unwavering love of country. Our country is better becau…</t>
  </si>
  <si>
    <t>RT @Golfinggary5221: TODAY IN History 
April 16, 1947 Texas City Disaster:  An explosion on board a freighter in port causes the city of Te…</t>
  </si>
  <si>
    <t>RT @2Chron169: .@Judgenap on Supreme Court looking into online retail taxation: "I think South Dakota's going to win and that's going to ch…</t>
  </si>
  <si>
    <t>RT @FoxNews: .@POTUS: “Tomorrow is tax day… and remember this, this is the last time you’re going to fill out the long, complicated, horrib…</t>
  </si>
  <si>
    <t>RT @PSTeach4USFreed: Trail of James Comey's Dirt on Loretta Lynch Discovered Within IG Report on Andrew McCabe... https://t.co/PkMm8dL3LK v…</t>
  </si>
  <si>
    <t>RT @PascoSheriff: Heroes come in all shapes and sizes! https://t.co/D6xrJfmtdB</t>
  </si>
  <si>
    <t>RT @cruzforever2018: .@BetoORourke wants to ban #Guns.
.@tedcruz? He will continue to fight every step of the way for our #2ndAmendmentRig…</t>
  </si>
  <si>
    <t>RT @TeamTrump: RECORD FUNDRAISING STREAK CONTINUES! 
READ: https://t.co/tKi6jM2ciT
#MAGA #Trump #TeamTrump</t>
  </si>
  <si>
    <t>RT @CuteBabyAnimals: you didn't need a video of an otter eating lettuce, but here you go https://t.co/RzmW1u3vCg</t>
  </si>
  <si>
    <t>RT @tedcruz: Barbara Bush is loved and admired across Texas and America, and we are all grateful for her unending contributions to our belo…</t>
  </si>
  <si>
    <t>RT @usacsmret: CR Top 25 RINOs - Scorecard - Conservative Review https://t.co/wqTmH7SXoq</t>
  </si>
  <si>
    <t>RT @satin_silkn: To all those RINOs https://t.co/WilDG6D0Ex</t>
  </si>
  <si>
    <t>RT @OathKeeper45: @Anon_decoder @StandUpNOW4usa  https://t.co/II4673NToj</t>
  </si>
  <si>
    <t>RT @DjLots3: McCabes attorney:
"Mr. McCabe’s recollection of discussions he had w/ Director Comey about this issue is extremely clear;Direc…</t>
  </si>
  <si>
    <t>RT @starknightz: QAnon responds to ANON &amp;gt;&amp;gt;1064287
23andMe.
Anne Wojcicki.
Spouse?
Why is this relevant?
Q
Google co-founder Sergey Brin's…</t>
  </si>
  <si>
    <t>RT @RoaroftheLion8: 🚨👉🏻2018 PRIMARY DATES👈🏻🚨 #VoteRed2018‼️ https://t.co/BYEpM3pzi1</t>
  </si>
  <si>
    <t>RT @Moosmania: I AM PLEADING THE BLOOD OF JESUS OVER MR. MICHAEL COHEN TODAY. THE LORD JESUS WILL BE HIS ATTORNEY. NO WEAPON FORMED AGAINST…</t>
  </si>
  <si>
    <t>RT @DaZipstahh: We 👇👇 would like to thank Everyone who have shouted us out in the past!!  Thank you so much!!
@DaZipstahh 
@Pixinamerica1
@…</t>
  </si>
  <si>
    <t>RT @WhiteHouse: Syrian President Bashar al-Assad’s April 7 attack on innocent civilians violated international law, the Chemical Weapons Co…</t>
  </si>
  <si>
    <t>RT @MilitaryEarth: Honoring Marine Cpl. Pablo V. Mayorga who selflessly sacrificed his life twelve years ago in Iraq for our great Country.…</t>
  </si>
  <si>
    <t>RT @CriticaSinMiedo: France’s U.N. ambassador says the priority of the three Western allies who attacked alleged Syrian chemical sites is t…</t>
  </si>
  <si>
    <t>RT @DailyCaller: Fewer People Watched Comey’s ABC Interview Than Country Music Awards, Stormy Daniels 60 Minutes Interview https://t.co/P01…</t>
  </si>
  <si>
    <t>RT @JonathanTurley: After The Inspector General Report, Questions Grow Over The Lack Of  A Criminal Referral For McCabe https://t.co/kieDb5…</t>
  </si>
  <si>
    <t>RT @bonniemurphy: Happy Monday Yall!!
Kindness Is Not An Act
It’s A Lifestyle. 
#MondayMotivaton https://t.co/DdXKbbC8Rh</t>
  </si>
  <si>
    <t>RT @Wildmanwings: PUBLIC NOTICE:
 Go Red State By State Is Happy To Announce The Vote To Endorse Tom Willis For US Senate WV  Was Unanimous…</t>
  </si>
  <si>
    <t>RT @HMLoeschMcK: Even @HillaryClinton s best "DEVOTEES" think she really stinks! @johnpodesta says she smells like #PissyBoiledCabbageGas .…</t>
  </si>
  <si>
    <t>RT @Fuctupmind: Russians https://t.co/oBtV6waOEf</t>
  </si>
  <si>
    <t>RT @FoxNews: President @realDonaldTrump to host roundtable on tax reform ahead of former FBI Director James @Comey’s book release https://t…</t>
  </si>
  <si>
    <t>RT @TheMarkPantano: Democrats need vote fraud.
It is a key component of their electoral strategy.
That is why they oppose all common sens…</t>
  </si>
  <si>
    <t>RT @JacobAWohl: Want to hear a funny joke?
The Russian Ministry of Defense says that their Pantsir-S1 system was 100% effective at stoppin…</t>
  </si>
  <si>
    <t>RT @JeanieForrester: Tomorrow is the last tax day under the old code - do you support @POTUS @realDonaldTrump's reforms? #nhpolitics #LeadR…</t>
  </si>
  <si>
    <t>RT @NameRedacted7: Comey's book rollout isn't going so well. It only gets worse from here on.</t>
  </si>
  <si>
    <t>RT @Dianestraley: Must Read: The 13 Most Outrageous Statements by Jim Comey 'About as far from "literary" as you can get' https://t.co/mbVt…</t>
  </si>
  <si>
    <t>RT @1Romans58: Time to call your friends and family that aren't signed up yet. 
NRA Announces Drive to Sign Up 100,000 New Members in 100…</t>
  </si>
  <si>
    <t>RT @Sharonk222: Inmate: 7 died, bodies 'stacked on top of each other' in South Carolina prison riot - USA TODAY https://t.co/wd9q2M9i7O</t>
  </si>
  <si>
    <t>RT @PatrickArnold77: Oops!  https://t.co/IhL9gk05XD</t>
  </si>
  <si>
    <t>RT @tracybeanz: 1. The most telling thing (for me) about this story, is that this is ALL open source journalism. This is information availa…</t>
  </si>
  <si>
    <t>RT @PatriotMAGA: #MAGA #AMERICAFIRST #PROUDAMERICAN #PatriotsUnited .@WhiteHouse 
The White House April 5, 2018 Official White House Photo…</t>
  </si>
  <si>
    <t>RT @DTrumpPoll: Do you approve of @realDonaldTrump's performance as @POTUS?
#TheResistance #MAGA #Trump
48hrs to vote &amp;amp; RT 😊</t>
  </si>
  <si>
    <t>RT @FoxNews: .@POTUS arrives in Miami, Florida ahead of a tax roundtable. (Courtesy: WSVN) https://t.co/73vFDimLgX</t>
  </si>
  <si>
    <t>RT @LaymanGeorge: https://t.co/R9IXliq1tH</t>
  </si>
  <si>
    <t>RT @AnthemRespect: Kudos To @WellsFargo
“...we do not believe that the American public wants banks to decide which legal products consumers…</t>
  </si>
  <si>
    <t>RT @TrumpsBlonde: Canadian humanitarian worker Peter Dalglish arrested in pedophile investigation in Nepal, police say.  He was formerly a…</t>
  </si>
  <si>
    <t>RT @Channi_Cooper: More insanity out of Canada! 
Parents may face charges after hogtying 'predator' they say wanted sex with their 13-year-…</t>
  </si>
  <si>
    <t>RT @RyanAFournier: The Founders weren’t concerned with specific types of weapons, they were concerned with specific types of governments.</t>
  </si>
  <si>
    <t>RT @ALLVETSADVOCATE: How A @GenFlynn Plea Reversal Could Uncover #FederalCorruption . #Vindication  flashback , Open the books back up @Gen…</t>
  </si>
  <si>
    <t>RT @ShowboatBob: #BobsTrumpTrain
@ShowboatBob
@Milbrat71
@cezhere
@jackmeo3
@LiberT4ever
@cryinglambs
@ActualValentine
@balchman
@kristyne3…</t>
  </si>
  <si>
    <t>RT @JaySekulow: Trial of Pastor Brunson Begins in Turkey https://t.co/Rf3dNv6IkM</t>
  </si>
  <si>
    <t>RT @JLOHouls: You make it sound like mentally ill people cannot be delusional, i'm voting for both. https://t.co/amXxQlUfRX</t>
  </si>
  <si>
    <t>RT @Ldaught2: Politicians assume they can hide so much corruption and never get caught 🙄
Always forget this little gem
👇👇
For there is not…</t>
  </si>
  <si>
    <t>RT @Tokaise: GOP Lawmaker: Rod Rosenstein Possibly Under Investigation For Supervising Uranium-One Deal (VIDEO) https://t.co/4GjBo4Eo5L</t>
  </si>
  <si>
    <t>RT @chuckwoolery: You probably wonder how the Clintons get away with all they do. They serve the corrupt State. Not you. And that corrupt s…</t>
  </si>
  <si>
    <t>RT @commonpatriot: via @WestJournalism: Talk of Comey Obstruction of Justice Begins Within Hours of First TV Interviews https://t.co/Z95kz5…</t>
  </si>
  <si>
    <t>RT @historylvrsclub: A Republican VS Democratic Snow Battle at the Capitol, Washington D.C. 1921. https://t.co/aIRlgpWc8Z</t>
  </si>
  <si>
    <t>RT @Golfinggary5221: GREAT WORK!
153 Arrested in Global Child-Sex Trafficking Operation! A huge success. Global ring broken up. Great repor…</t>
  </si>
  <si>
    <t>RT @KMGGaryde: Traditional Conservatives! 🇺🇸 Still Love &amp;amp; Want to Save Your Country⁉️  Don't expect others to do it for you. Get Engaged, L…</t>
  </si>
  <si>
    <t>RT @mitchellvii: HORRIBLE APPROVAL RATINGS:
1) Media
2) James Comey
3) Mark Zuckerberg
AWESOME APPROVAL RATINGS:
President Trump
We're #w…</t>
  </si>
  <si>
    <t>RT @DFBHarvard: These Folks Have Eyes Wide Open!
Get them on your team.
@SheilahBird
@HabuTroy7777777
@ARIFULHAQUE_17
@dsrobert_susan
@kob…</t>
  </si>
  <si>
    <t>RT @1776Stonewall: Wow, @GStephanopoulos , I underestimated you, you're even worse at your job than i thought you were https://t.co/EwTBNQT…</t>
  </si>
  <si>
    <t>RT @Thomas1774Paine: Weiner’s Alleged Child Pornography Victim Turns Nasty Against FBI: Comey “Victimized Me” and “Helped Abuse to Continue…</t>
  </si>
  <si>
    <t>RT @Thomas1774Paine: Worried James Comey Just Tossed Loretta Lynch and Obama Under the Bus For Hillary Clinton Investigation https://t.co/i…</t>
  </si>
  <si>
    <t>RT @TheLastRefuge2: If FBI Director of Counterintelligence Bill Priestap has told the truth to internal FBI investigators and Inspector Gen…</t>
  </si>
  <si>
    <t>RT @bbusa617: https://t.co/SCFcAzJyQe
PETITION TO PARDON DINESH D' SOUZA 👉"SIGN IT !!!"👈 EVERYONE!!</t>
  </si>
  <si>
    <t>RT @RealTT2020: @dihanshaw @RealErinCruz @FoxNews @seanhannity @JesseBWatters @foxandfriends @TuckerCarlson @OutnumberedFNC Listen to @Real…</t>
  </si>
  <si>
    <t>RT @Thomas1774Paine: Shots Fired: RNC Releases Video of Democrats Attacking Comey’s Credibility (VIDEO) https://t.co/6HlIOKHmYC</t>
  </si>
  <si>
    <t>RT @AMike4761: #SOROS Is Targeting District Attorney Races to Create Havoc Against Conservatives!  Why is he not being INVESTIGATED?…</t>
  </si>
  <si>
    <t>RT @marklevinshow: Sunday night at 10 PM eastern on Fox, I will NOT be interviewing Jim Comey on my show, Life, Liberty &amp;amp; Levin.  Please jo…</t>
  </si>
  <si>
    <t>RT @historylvrsclub: Inside the old New York City Metropolitan Opera House, 1937. https://t.co/3EbPITheyY</t>
  </si>
  <si>
    <t>RT @SonofLiberty357: DOD releases video of Syria Mission
#MAGA 
 https://t.co/l6SvIaugHD</t>
  </si>
  <si>
    <t>RT @Thomas1774Paine: FBI Director Officially Announces McCabe Replacement https://t.co/yGfQsYv3Fc</t>
  </si>
  <si>
    <t>RT @StandSecond: Quick video to introduce myself-
@StandSecond
@StandSecond 
@StandSecond 
🇺🇸🇺🇸🇺🇸🇺🇸🇺🇸🇺🇸
#2a
#standforthesecond
#Constitutio…</t>
  </si>
  <si>
    <t>RT @FLOTUS: Thank you to all the students who participated in an informative discussion at the @WhiteHouse! Children should be seen AND hea…</t>
  </si>
  <si>
    <t>RT @historylvrsclub: This illegal whiskey distillery near Detroit is put out of business. https://t.co/csvYPq7dcg</t>
  </si>
  <si>
    <t>RT @GregAbbott_TX: Thanks @TAMUSystem for hosting me today. https://t.co/tcW9RabLtK</t>
  </si>
  <si>
    <t>RT @AMike4761: Photos: Trudeau Waves To Empty Airport Tarmac.  There’s NOBODY there Justin!          #ma4t  https://t.co/h5JE6pGknD</t>
  </si>
  <si>
    <t>RT @1776Stonewall: These are the results of my approval polls so far
Jeff flake - 3%
Mitch McConnell - 4%
John McCain - 4%
Paul Ryan - 6%
L…</t>
  </si>
  <si>
    <t>RT @SebGorka: Impeachment. But not what the Dems were expecting! https://t.co/qceFJhYKgR</t>
  </si>
  <si>
    <t>RT @MagaApplePie: Have you ever wondered what in the world Iran is doing in Syria?
The answer is simple.
Iran is basing itself in Syria i…</t>
  </si>
  <si>
    <t>RT @ChicagosFines19: A #TrueHero 
God bless this young man! #GreatHeart
Apple doesn't fall that far from the tree.
#FutureLeader #StandU…</t>
  </si>
  <si>
    <t>RT @Thomas1774Paine: Google’s File On You Is 10 Times Bigger Than Facebook’s – Here’s How To View It https://t.co/GaLAfH59Ra</t>
  </si>
  <si>
    <t>RT @RealMAGASteve: The B1 bombers used in the Syrian air strikes have unique precision capability. They were equipped w/JASSM standoff miss…</t>
  </si>
  <si>
    <t>RT @polishprincessh: God be with our soldiers. Protect them. Give them courage in the fight. Let their efforts be successful in preventing…</t>
  </si>
  <si>
    <t>RT @TobieMcG: I trust our @POTUS is doing the right thing for our country.  If the air strikes in Syria are necessary then so be it. 
He dr…</t>
  </si>
  <si>
    <t>RT @greggutfeld: fan or not of air strikes - england &amp;amp; france led the cause &amp;amp; I doubt their desire was to push scandals off our front pages…</t>
  </si>
  <si>
    <t>RT @redsteeze: Mattis doesn’t hold briefings. He just starts talking and reporters show up out of fear</t>
  </si>
  <si>
    <t>RT @FoxNews: Earlier, @NancyPelosi released a statement on the military strikes in Syria. https://t.co/JWN4IQQqs7 https://t.co/uvwzsmRdJk</t>
  </si>
  <si>
    <t>RT @irishlass423: To all of the American Soldiers involved with the Syria strikes:
-We support you
-We are praying for you
-We need you
-G…</t>
  </si>
  <si>
    <t>RT @brookefoxnews: .@realDonaldTrump :”To Iran and to Russia I ask, what kind of a nation wants to be associated with a mass murder of inno…</t>
  </si>
  <si>
    <t>RT @KTHopkins: Theresa May. “British bombs are not designed to escalate further tensions in the area”.  Do they apologise for themselves as…</t>
  </si>
  <si>
    <t>RT @joann_pruett: Do not listen to MSM whoms Goal is to instill Fear &amp;amp; Misinformation. We went to Syria to Dismantle their Chemical Weapons…</t>
  </si>
  <si>
    <t>RT @SunflowerJoye: #PrayForOurMilitary #PrayForOurTroops https://t.co/Le5d6WDTQb</t>
  </si>
  <si>
    <t>RT @RealMAGASteve: RETWEET - if you believe Rod Rosenstein should be impeached. https://t.co/zxFDgu7Hon</t>
  </si>
  <si>
    <t>RT @ericbolling: Although I remain against the US getting involved in a Syrian civil war.. we must acknowledge that Syria became more inhum…</t>
  </si>
  <si>
    <t>RT @BrotherVet: Keep Texas Great 
#VoteRed2018 
#VoteGregAbbott
#VoteTedCruz
Texas is a Conservative State 
Let's Keep it that away https…</t>
  </si>
  <si>
    <t>RT @joshdcaplan: Footage shows moment U.S. cruise missiles hit research facility in Barzeh, Syria. https://t.co/Cdaq9Zk6zd</t>
  </si>
  <si>
    <t>RT @sonmanvb: IG Report Presents New Evidence Obama DOJ Sought to Shut Down FBI Investigation Into Clinton Foundation https://t.co/cUtX4R53…</t>
  </si>
  <si>
    <t>RT @dcexaminer: #BREAKING: Russia vows "consequences" for Syria strike https://t.co/uibRd70jYb https://t.co/QZPUInP03Q</t>
  </si>
  <si>
    <t>RT @bbusa617: @alozras411 @SebGorka @PhilMcCrackin44 @KMGGaryde @ArizonaKayte @FriendlyJMC @GartrellLinda @KatTheHammer1 @buzzman888 @codeo…</t>
  </si>
  <si>
    <t>RT @FoxNews: Moments ago, @SteveScalise praised President @realDonaldTrump's approval of military strikes in Syria against the country's le…</t>
  </si>
  <si>
    <t>RT @flightcrew: MUST WATCH!: Rod Rosenstein Is Behind EVERYTHING!!  https://t.co/zz7L0UzCML</t>
  </si>
  <si>
    <t>RT @TrumpsBlonde: .@POTUS Trump’s only stated reason for the strike on Syria is to deter the use of chemical weapons - not regime change or…</t>
  </si>
  <si>
    <t>RT @bbusa617: MONDAY IS APRIL 16TH The Deadline For Rosenstein To Hand Over Comey's Memos Unredacted To House Judiciary/Oversight...
#TheB…</t>
  </si>
  <si>
    <t>RT @vannsmole: 🚨BREAKING: Lawmakers Draft Articles Of Impeachment For Deputy AG Rod Rosenstein.
*Jim Comey makes a bigger ass out of himse…</t>
  </si>
  <si>
    <t>RT @RightWingAngel: DEVELOPING: Russian Ambassador responds to the U.S. on Syria strikes:  "The worst apprehensions have come true...We war…</t>
  </si>
  <si>
    <t>RT @LisaMei62: Red Sparrow, if based on the movie, implies a double agent involved in the chem attack. POTUS has solid intel. Missiles only…</t>
  </si>
  <si>
    <t>RT @historylvrsclub: Grand Canyon, 1914. https://t.co/Wy7hm9sdaN</t>
  </si>
  <si>
    <t>RT @SusanStormXO: 🔔💣💥”BIG FIND"=&amp;gt; 👹🤡👹
IG Report Reveals McCabe Reprimanded Senior FBI Officials For Leaks He Was Responsible For  https://t…</t>
  </si>
  <si>
    <t>RT @DiamondandSilk: Update:  After being contacted by Facebook via twitter on 4-12-18, we've contacted Facebook this morning (4-13-18) and…</t>
  </si>
  <si>
    <t>RT @charliekirk11: Can we officially end the “Trump is a Russian puppet” thing now?</t>
  </si>
  <si>
    <t>RT @SusanStormXO: BOOM! Nunes, Gowdy &amp;amp; Goodlatte Demand Rosenstein Turn Over Comey Memos BY MONDAY
✔️🎬🎥FBI Protecting "Unclassified" Comey…</t>
  </si>
  <si>
    <t>RT @FoxNews: Gen. Joseph Dunford: “We did not do any coordination with the Russians on the strikes, nor did we pre-notify them.” https://t.…</t>
  </si>
  <si>
    <t>RT @SusanStormXO: ✔️✔️🎬🎥VIDEO: Rosenstein Seen Leaving White House - Wasn't Skipping, Laughing and Joking This Time✔️✔️ https://t.co/LnrfED…</t>
  </si>
  <si>
    <t>RT @RampsNO_BSRants: 🇺🇸 It’s Go Time, H Hour 🇺🇸God Bless the American, French, And British troops currently engaging Syria.  God Speed! 🙏🏼…</t>
  </si>
  <si>
    <t>RT @VP: On night’s like tonight, I am mindful of the daily sacrifices our brave men and women in uniform — and their families — make everyd…</t>
  </si>
  <si>
    <t>RT @StratSentinel: General Mattis currently speaking from the Pentagon regarding #Syria airstrikes. Strikes targeted "Syrian Chemical Weapo…</t>
  </si>
  <si>
    <t>RT @5Strat: Please RT and make new Tweets. Special Prayer tonight at 11pm EST / 8pm PST for our Military in Harm's way. Tonight we pray for…</t>
  </si>
  <si>
    <t>RT @jamesplake721: I trust this man. He has seen actual battle. He doesn't take this lightly. https://t.co/P7gY1oCiDx</t>
  </si>
  <si>
    <t>RT @GodlessNZ: An outstanding communications job done by Sec Mattis and Gen Dunford tonight. Accurate, transparent secure, professional. So…</t>
  </si>
  <si>
    <t>RT @Kimbraov1: South Carolina becomes first state to pass landmark bill to confront campus anti-Semitism https://t.co/AIF1zqPs9Z via @JNS_o…</t>
  </si>
  <si>
    <t>RT @RightWingAngel: "There is no practicable alternative to the use of force to degrade and deter the use of chemical weapons by the Syrian…</t>
  </si>
  <si>
    <t>RT @historylvrsclub: Sharpshooter Annie Oakley while touring with Buffalo Bill's Wild West show in Italy, 1890. https://t.co/Zx9l8WYSSQ</t>
  </si>
  <si>
    <t>RT @prayingmedic: Holding them accountable?
Where have I heard that before? https://t.co/sTqFNvAOf2</t>
  </si>
  <si>
    <t>RT @SonofLiberty357: Pentagon officials speak on military strikes in Syria.
#MAGA 
 https://t.co/KYohTu5SWG</t>
  </si>
  <si>
    <t>RT @JenNongel: For our Troops
All-powerful and ever-living God, protect these soldiers. Be their constant companion and their strength in…</t>
  </si>
  <si>
    <t>RT @CROWENATION2016: For our men and women answering the @POTUS call tonight. May they all come home when they’re done — safe &amp;amp; sound! 
Go…</t>
  </si>
  <si>
    <t>RT @bud_cann: President Trump announces America, France, and together UK will strike Syria...Now! https://t.co/Gul1VnduuL</t>
  </si>
  <si>
    <t>RT @JacobAWohl: Worth every penny https://t.co/9ulDHVZQ9n</t>
  </si>
  <si>
    <t>RT @AMErikaNGIRLBOT: Our President calls it like it is , and this is no different. For 8 years the world has laughed at us . No more .US is…</t>
  </si>
  <si>
    <t>RT @SusanStormXO: 🦁🗣@POTUS addresses the nation amid reports of Syria decision.
#MAGA UNITED w/ Allies 
 https://t.co/ajOxhN0Bw3</t>
  </si>
  <si>
    <t>RT @JackPosobiec: Current situation in Syria, per https://t.co/HT4i8FYOqW
Most strikes appear to target Damascus area https://t.co/xQiigmT…</t>
  </si>
  <si>
    <t>RT @SonofLiberty357: BREAKING: Air defense systems being activated over Damascus now as U.S. starts striking targets in Syria.
 https://t.…</t>
  </si>
  <si>
    <t>RT @SebGorka: DAMNING. https://t.co/RUzVzKViE4</t>
  </si>
  <si>
    <t>RT @CaliConsrvative: Congrats to Westminster, CA for joining the fight against dangerous Sanctuary City policies!! 🇺🇸
10 California Cities…</t>
  </si>
  <si>
    <t>RT @TheLastRefuge2: I’m reading DOJ Inspector General Michael Horowitz Report on Andrew McCabe - April 13th, 2018 Release -&amp;gt; https://t.co/G…</t>
  </si>
  <si>
    <t>RT @SaraCarterDC: #BREAKING DOJ Inspector General releases report on fired FBI Deputy Director Andrew McCabe - he lied to IG, lied to Comey…</t>
  </si>
  <si>
    <t>RT @damartin32: DOJ OIG report is being released!! 
Woo Hoo ... I think it's released to Congress, not public at this time ... I'm followi…</t>
  </si>
  <si>
    <t>RT @DavidWaddell5: Comey Illegally Leaked His Memos to Prompt a Special Counsel Then Doubled Down and Used Them For His Memoir - Where's th…</t>
  </si>
  <si>
    <t>RT @jilliej26: Never stop praying. #PowerOfPrayer #FridayFeeling #Faith #Jesus https://t.co/PWk8eUW4Dv</t>
  </si>
  <si>
    <t>RT @IvanTrumpovic1: https://t.co/TPAgtAdsrQ</t>
  </si>
  <si>
    <t>RT @RampartNews: Right you are...and for this reason, among others, Rosenstein should recuse himself and if he doesn't Sessions should fire…</t>
  </si>
  <si>
    <t>RT @JDugudichi: #PatriotsEffectingChange pages of verified GREAT FOLLOWS!
They follow back all patriots instantly
@JDugudichi
@_Constitutio…</t>
  </si>
  <si>
    <t>RT @NBCNews: Trump lawyer Michael Cohen is expected to ask a federal judge Friday morning for a temporary restraining order to stop federal…</t>
  </si>
  <si>
    <t>RT @PIRATEDANTRAIN: Club Car 8
@BakersfieldBil
@bigdaddy50tree
@burginsteven006
@Cowboy091455
@crowet
@DallasIrey
@Danglers26
@DevinRouse4…</t>
  </si>
  <si>
    <t>RT @TheROCK7246: Thank God Trumps our President Train !!!! 💪🏼🇺🇸🙏🏼
@TheROCK7246 
@martinl30346020
@lmchristi1 
@KevinHu63682270 
@LIBS_GFY…</t>
  </si>
  <si>
    <t>RT @Perch313: 🔴POLL: Will you read Comey's book? https://t.co/46jpEMIS6W</t>
  </si>
  <si>
    <t>RT @MeedgeKnowsBest: Anyone wonder why the FBI is such a mess? https://t.co/6ZSKnAwPT4</t>
  </si>
  <si>
    <t>RT @JohnKStahlUSA: Comey has disgraced the FBI, their image and their credo. He has shown himself to be an incompetent, partisan buffoon. #…</t>
  </si>
  <si>
    <t>RT @FoxNews: Moments ago, President @realDonaldTrump made clear in a series of tweets that he is no fan of former @FBI Director James @Come…</t>
  </si>
  <si>
    <t>RT @GovMikeHuckabee: Congrats to @PressSec for being named one of the 10 most admired women in America (ahead of Elizabeth Warren and even…</t>
  </si>
  <si>
    <t>RT @kelly_but: French patriots interrupting Islamic street prayer
It brought a lump to my throat...and I’m not even French
Europe is in a s…</t>
  </si>
  <si>
    <t>RT @Aramaithea: This is more proof how our justice system fails. The killer of  a Massachusetts cop had 111 prior offenses. That animal sho…</t>
  </si>
  <si>
    <t>RT @AriFleischer: I’ve regularly defended Mueller.  But if the Cohen raid was about an FEC violation, it was entirely inappropriate. The pu…</t>
  </si>
  <si>
    <t>RT @JayChpJones: "Rep. Heck to Trump" https://t.co/e9L4fIoL98</t>
  </si>
  <si>
    <t>RT @bbusa617: Breaking: Referendum to Split Calif. Into 3 States Will Be on Ballot https://t.co/lROEcxvtaq
OVER 600,000 SIGNATURES HAVE BE…</t>
  </si>
  <si>
    <t>RT @ShowboatBob: #BobsTrumpTrain
@ShowboatBob
@nonnie_myers
@TheCynthiaJ
@got5150
@stevemcgrew
@dwatjr2
@MDissett
@ctpundit
@KentuckyKatFan…</t>
  </si>
  <si>
    <t>RT @WayneDupreeShow: Scott Pruitt's Suspected Leaker Had Troubled with his background check and when they were about to move him, he leaked…</t>
  </si>
  <si>
    <t>RT @DFBHarvard: Human Life is so Precious! #MAGA &amp;amp; Support #Prolife
@gforrest47
@JohnPFiori1
@LisaPenatzer
@JoyceEl27135651
@Belle3387
@Ri…</t>
  </si>
  <si>
    <t>RT @TheSentinel_New: Opinion: The Great American Experiment: To Rise Before the Fall #LibertarianPerspective https://t.co/ww5vvZy54Y</t>
  </si>
  <si>
    <t>RT @CB618444: 🤔Did youknow???
 - Backdoor Ban: Bank Of America Freezes Credit to Manufacturers of AR-15s 
#BoycottBankOfAmerica 
RETWEET T…</t>
  </si>
  <si>
    <t>RT @2Chron169: First panels of Santa Teresa Border Wall Replacement Project installed on the U.S.-Mexico border in New Mexico https://t.co/…</t>
  </si>
  <si>
    <t>RT @DFBHarvard: Donald Trump demands review of Postal Service finances in executive order - https://t.co/k2i8bKpMdw - @washtimes
When did…</t>
  </si>
  <si>
    <t>RT @Thomas1774Paine: RNC Releases Attack Strategy On ‘Lyin’ Comey’ In Advance Of Book Release https://t.co/MAZSosYIn5</t>
  </si>
  <si>
    <t>RT @KatTheHammer1: 🎉🎉🎉🎉🎉🎉🎉🎉🎉
LET'S GIVE MY FRIEND A PUSH TO 65K FOLLOWERS!!! HE'S SO CLOSE!!
👉 @BrotherVet 👈
🔴 Red white &amp;amp; blue PATRIOT!…</t>
  </si>
  <si>
    <t>RT @Thomas1774Paine: BREAKING: Trump to Pardon Ex-Cheney Aide Scooter Libby; Move Solidifies Precedent for Mike Flynn Pardon https://t.co/V…</t>
  </si>
  <si>
    <t>RT @TheLastRefuge2: The DOJ and FBI “Small Group” Motive Behind The Raid on Michael Cohen… https://t.co/vPf3mAc44q https://t.co/hvRqKbKwCz</t>
  </si>
  <si>
    <t>RT @Thomas1774Paine: Ryan may be forced to leave speakership by summer https://t.co/I8L1xNFtNG</t>
  </si>
  <si>
    <t>RT @realDonaldTrump: Good luck to Mike Pompeo during his Confirmation Hearing today. He will be a great Secretary of State!</t>
  </si>
  <si>
    <t>RT @Happyheart411: G U T S 
POMPEO SPITS IN THEIR EYE https://t.co/fFHu7jpya0</t>
  </si>
  <si>
    <t>RT @michaelbeatty3: That time Democrat senator #BenCardin of #Maryland whined about America pulling out of the Paris Accord &amp;amp; #MikePompeo h…</t>
  </si>
  <si>
    <t>RT @townhallcom: WATCH: Mike Pompeo's Confirmation Hearing Begins https://t.co/OFgwMAejNr</t>
  </si>
  <si>
    <t>RT @ByronYork: Rs &amp;amp; Ds on Senate Judiciary Committee had lots of questions for James Comey after he was fired. He refused to talk. Now, spe…</t>
  </si>
  <si>
    <t>RT @Surabees: Imagine a GOP Leadership that worked in tandem with the Freedom Caucus to reflect the will of GOP voters, instead of always b…</t>
  </si>
  <si>
    <t>RT @historylvrsclub: Chicago Rush Hour, 1909 https://t.co/ftLdl5psHd</t>
  </si>
  <si>
    <t>RT @1776Stonewall: I'm doing my approval polls on members of congress. I'll post the completed results in a comment below - Let's do Lindse…</t>
  </si>
  <si>
    <t>RT @TruthDefender18: .@tedcruz all the way! He's the ONLY choice!
Keep Texas safe &amp;amp; free! 
#StrongAsTexas #ChooseCruz #KeepTexasRed #CruzC…</t>
  </si>
  <si>
    <t>RT @SnowLover814: If I have to, I will use one challenge after another to dismantle governmental operations that I consider violations of t…</t>
  </si>
  <si>
    <t>RT @SenTedCruz: David Morales will make an outstanding federal judge. Having worked side-by-side with David in the Texas Attorney General’s…</t>
  </si>
  <si>
    <t>RT @SenTedCruz: I was proud to join @JohnCornyn in recommending that the President nominate David to this position. He should be swiftly co…</t>
  </si>
  <si>
    <t>RT @TexasCounties: County government is the most representative level of government, and it's under threat from a concentration of state po…</t>
  </si>
  <si>
    <t>RT @Thomas1774Paine: DOJ gives House Intel original document that prompted Russia investigation https://t.co/knGswZmfPI</t>
  </si>
  <si>
    <t>RT @TedDBexar: BREAKING: Malia Obama SUSPENDED by HARVARD After Racist Anti-White Attack Goes Viral: “Sometimes the only thing that keeps m…</t>
  </si>
  <si>
    <t>RT @drawandstrike: Amazing. It's Day Two since Trump signed an Executive Order reinstituting the Welfare To Work reforms that Obama ended,…</t>
  </si>
  <si>
    <t>RT @TheBadDadder: @DevinNunes 
May God go before you patriot‼️ https://t.co/jVqiX5wSnW</t>
  </si>
  <si>
    <t>RT @DFBHarvard: The Department of Injustice is at it again. 
They won't turn over documents to Congress but are out collecting more.
How…</t>
  </si>
  <si>
    <t>RT @SusanStormXO: 🗣@DevinNunes: "We will have a plan to hold in contempt and to impeach." 
🗣@IngrahamAngle: "To impeach Christopher Wray?"…</t>
  </si>
  <si>
    <t>RT @JenNongel: Lord, today I lift up to you our President Donald Trump, the leader you have appointed over the United States. I pray that h…</t>
  </si>
  <si>
    <t>RT @Sissy_USMC: Justice Department To Halt Legal-Advice Program For Illegal Aliens In Detention 
Its about time 
https://t.co/kK7QFTgbFb</t>
  </si>
  <si>
    <t>RT @gaye_gallops: RINO RYAN...GOOD RIDDANCE!You have been an advocate and cheerleader for the Democratic status quo. You have not pushed Tr…</t>
  </si>
  <si>
    <t>RT @AMErikaNGIRLBOT: Must Watch!⬇️Deplorable Choir has a song for Mark Zuckerberg! 😂
#WednesdayWisdom #Zuckerberg #PoliticalBias #censorsh…</t>
  </si>
  <si>
    <t>RT @Thomas1774Paine: We break out the flashing red siren on Wednesday, (tomorrow) sometime in the morning EST ... This will be one National…</t>
  </si>
  <si>
    <t>RT @MagaApplePie: Democrat candidate for Connecticut Governor refused to leave forum
Look what happened 🤣👇🤣👇🤣 https://t.co/STB3tHW58d</t>
  </si>
  <si>
    <t>RT @activist_mommy: Bam! 🔥 That’s what I’m talking about! A blow to @georgesoros and the social marxists! 👊🏻 #Resist 
https://t.co/6NM42g2…</t>
  </si>
  <si>
    <t>RT @historylvrsclub: Big tree https://t.co/iaEWrENq5U</t>
  </si>
  <si>
    <t>RT @CordaroSherry: @MrEdTrain @JohnWUSMC @BostonPatriot 😉👏👏 https://t.co/BSXmVYSvpM</t>
  </si>
  <si>
    <t>RT @FoxNews: T.J. Miller arrested at NYC airport after making false bomb threat on Amtrak train, officials say https://t.co/YuMd5KbZLG</t>
  </si>
  <si>
    <t>RT @DutyOfAPatriot: I Support My  🔴 PRESIDENT
I Support MY 🔵🔴 COUNTRY
I Support My  🔴⚪️🔵 CONSTITUTION https://t.co/Zfva2p18n8</t>
  </si>
  <si>
    <t>RT @Jamierodr10: Rosenstein Gave Mueller Permission to request a FBI raid of Michael Cohen’s office and home. Is it because Rosenstein misl…</t>
  </si>
  <si>
    <t>RT @TomFitton: The Constitution may require @RealDonaldTrump shut Mueller down. https://t.co/ZopErxFu9R</t>
  </si>
  <si>
    <t>RT @ABPatriotWriter: TRUMP JUDGES UPDATE! Huge dump of judicial nominations from President Trump. 3 Appeals Court Judges. One for the 11th…</t>
  </si>
  <si>
    <t>RT @JenNongel: More pressure for the President. He can handle it!! 
Homeland Security Adviser Tom Bossert resigns, White House says
https…</t>
  </si>
  <si>
    <t>RT @President1Trump: Joe DiGenova: “The Weissman thuggery came out to play today..Mueller, Rosenstein &amp;amp; Wray are never @realDonaldTrumper’s…</t>
  </si>
  <si>
    <t>RT @The____Guardian: @evanasmith @rossramsey Blue wave meet #WhitePrivilege 4 DIRTY DemocRATS 🙄
Court Records are AMAZING! Even .@TexasTri…</t>
  </si>
  <si>
    <t>RT @TheLastRefuge2: I'll just put this right here.... https://t.co/DsWWYi4MEc</t>
  </si>
  <si>
    <t>RT @wvufanagent99: Good morning to everyone except, you guessed it, Robert Swan Mueller III who has perpetrated "one of the most disgracefu…</t>
  </si>
  <si>
    <t>RT @IngrahamAngle: If by raiding the office of @realDonaldTrump’s attorney, the @fbi violated Trump’s attorney-client privilege, this is ab…</t>
  </si>
  <si>
    <t>RT @realDonaldTrump: Last night, it was my great honor to host America’s senior defense and military leaders for dinner at the White House.…</t>
  </si>
  <si>
    <t>RT @FoxNews: .@RandPaul: “Going after someone’s personal attorney is a great overstep, I think, in the authority of the prosecutor.” https:…</t>
  </si>
  <si>
    <t>RT @IWillRedPillU: I've got a priceless theory on Michael Cohen, and I'm going to go ahead and tweet it all out.
Pay attention, this is a…</t>
  </si>
  <si>
    <t>RT @enzorcapo: The double standards are just mind blowing... https://t.co/bRqRoy6GqE</t>
  </si>
  <si>
    <t>RT @Glorfindel2: BREAKING: The Arizona Supreme Court struck down allowing in-state tuition for illegal aliens. Right now ILLEGALS, from oth…</t>
  </si>
  <si>
    <t>RT @HyltonRobin: 🔴⚪️🔵 🇺🇸 🔴⚪️🔵
CALIFORNIA 
RE-ELECT 
✔️ Devin Nunes 
@DevinNunes 
✔️ FOR CONGRESS 
Devin Nunes has proven to be trustworth…</t>
  </si>
  <si>
    <t>RT @TobieMcG: Stop trying to undo the 2016 election! We the people have had enough of this witch hunt.
#WitchHunt 
#MuellerWitchHunt 
#Eno…</t>
  </si>
  <si>
    <t>RT @IWillRedPillU: Yep, in the article here you'll see Michael Cohen (who paid #StormyDaniels $130,000) billed Trump Campaign for that payo…</t>
  </si>
  <si>
    <t>RT @Fuctupmind: A NY judge https://t.co/XpqN0pEBsq</t>
  </si>
  <si>
    <t>RT @realDonaldTrump: What does the Department of Justice and FBI have to hide? Why aren’t they giving the strongly requested documents (unr…</t>
  </si>
  <si>
    <t>RT @RealMattCouch: RETWEET PATRIOTS If you've officially had enough.. 
The left has crossed the line and officially stepped in it as of to…</t>
  </si>
  <si>
    <t>RT @KateDaGreat1111: That was a short trade war. https://t.co/UQnMvV9UFK</t>
  </si>
  <si>
    <t>RT @SmythRadio: The accuracy of this post should trigger a second Revolution. #Trump's opposition is no longer hiding the fact that I have…</t>
  </si>
  <si>
    <t>RT @gr8tjude: 💥Report: Steve Scalise, Kevin McCarthy Vying to Replace Paul Ryan for Speaker....
 Breitbart https://t.co/LTiBvFAQ3H v</t>
  </si>
  <si>
    <t>RT @rodneyj36698832: Still winning https://t.co/LMvqEX7RUd</t>
  </si>
  <si>
    <t>RT @KimDotcom: The problem is Mueller already received the relevant data in Cohen’s office and the privileged communications with Trump fro…</t>
  </si>
  <si>
    <t>RT @DFBHarvard: Say Hello to the Texas Highway Patrol Patrolling the Border. 
Go Figure, Boats in Texas
@AZFireDude
@Lonestar357
@drew_be…</t>
  </si>
  <si>
    <t>RT @flightcrew: HANNITY: "Mueller &amp;amp; Rosenstein Have Declared War Against Donald Trump And A Source Close to President Trump Tonight Is Tell…</t>
  </si>
  <si>
    <t>RT @thelonelionessa: GO! 
FIGHT!
WIN! 
God Bless You POTUS and thank you for EVERYTHING you do and continue to do! 
Much respect. 🇺🇸 @realD…</t>
  </si>
  <si>
    <t>RT @Thomas1774Paine: Anyone who says Cohen FBI raid not linked to Mueller probe needs head examined. People need to wake up. Mueller here t…</t>
  </si>
  <si>
    <t>RT @BillOReilly: Looks to me like Trump will now fire Mueller after the FBI raided his lawyer’s office this afternoon. The Trump-appointed…</t>
  </si>
  <si>
    <t>RT @5Strat: Trump Attorney Michael Cohen's offices raided. All major news outlets publish exact same story within 6 minutes of each other.…</t>
  </si>
  <si>
    <t>RT @StefanMolyneux: Funny to watch Congress - which allowed the Awan brothers to ruthlessly pillage their computers for years - grill Zucke…</t>
  </si>
  <si>
    <t>RT @awaken_to_maga: This will be an interesting thing to watch: the traitors turning on each other as they scramble to cut plea deals.
NO…</t>
  </si>
  <si>
    <t>RT @RealJamesWoods: I predict that @facebook will be studied in future business schools as the single greatest business catastrophe in Amer…</t>
  </si>
  <si>
    <t>RT @SiddonsDan3: “All my friends up there in the press, you all know why in your hearts Trump won the Republican nomination. You know why h…</t>
  </si>
  <si>
    <t>RT @starcrosswolf: @SaraCarterDC is on top of it. FBI Director Christopher Wray &amp;amp; Deputy Attorney General Rod Rosenstein are responsible fo…</t>
  </si>
  <si>
    <t>RT @IngrahamAngle: I’m back. Tune in for a blistering Angle right now! @FoxNews https://t.co/CylaSzCGfR</t>
  </si>
  <si>
    <t>RT @dekdarion: DOJ finally releases https://t.co/34MmZZXQZO info. And it looks like it was one of our sealed docs! #QAnon
https://t.co/z23…</t>
  </si>
  <si>
    <t>RT @TomFitton: Don't be distracted by hysteria about "campaign finance violations" and "bank fraud." This decision to raid the home and off…</t>
  </si>
  <si>
    <t>RT @Thomas1774Paine: BREAKING: D.C. FBI Insiders Slam Raid of Trump Attorney; Hammer NY FBI as Rogue Clinton-Backed Operation https://t.co/…</t>
  </si>
  <si>
    <t>RT @1776Stonewall: What is the difference between Mueller and Rosenstein raiding the homes of their political opponents, destroying their l…</t>
  </si>
  <si>
    <t>RT @tracybeanz: This was the most beautiful and true speech I’ve ever heard. Please remember this speech when doubt creeps in and you are u…</t>
  </si>
  <si>
    <t>RT @Mikeproudvet: #TrumpSuperTrain @Mikeproudvet
Car #181
@TomD72009
@conservmia
@beguine2014
@tjlinch
@Bobbie14043840
@bbcregular
@Montana…</t>
  </si>
  <si>
    <t>RT @Belle4DJT: Be Clear...Everything Mueller Has Done &amp;amp; Does Has Been Approved By #Rosenstein With His Many Conflicts Of Interest...Make No…</t>
  </si>
  <si>
    <t>RT @TammyRushing4: People!!! Quit your panicking! Trump has been planning this Presidency for over 30 years. He's got this.
The opposition…</t>
  </si>
  <si>
    <t>RT @TheLastRefuge2: Fight back with massive doses of sunlight upon the DOJ and FBI.  Let the world see where this motive all began.... http…</t>
  </si>
  <si>
    <t>RT @trustrestored: Now, like never before #Pray4DJT https://t.co/871KAasFUq</t>
  </si>
  <si>
    <t>RT @AIIAmericanGirI: Levin: 'It's Time for the Attorney General to Step Aside' https://t.co/OaULTjl0KJ @BreitbartNews #AAG</t>
  </si>
  <si>
    <t>RT @CaliConsrvative: So they can raid the home of Trump's lawyer, Michael Cohen, but Hillary, Obama, Comey, McCabe, Strzok and Page still w…</t>
  </si>
  <si>
    <t>RT @kwilli1046: Alan #Dershowitz: Michael #Cohen cooperated completely, and what did they get for it? A raid on the office with everything…</t>
  </si>
  <si>
    <t>RT @PoliticalShort: The damage done by Mueller’s special counsel is irreversible. These are police state tactics &amp;amp; if you think this sort o…</t>
  </si>
  <si>
    <t>RT @johncardillo: Still don’t think #Mueller is engaged in a witchhunt?
Still think Jeff sessions can be trusted?
If your answer to eithe…</t>
  </si>
  <si>
    <t>RT @consmover: 🚨"For a long time, I've said Republicans could not win a state-wide election in California... It's no longer totally out of…</t>
  </si>
  <si>
    <t>RT @realPolitiDiva: God bless you, Anthony! #SundayThoughts https://t.co/GW9DgGqOto</t>
  </si>
  <si>
    <t>RT @RedNationRising: Yeah, but did she have a 32 oz Big Gulp?
De Blasio aide arrested with gun was riding in SUV that reeked of weed http…</t>
  </si>
  <si>
    <t>RT @Thomas1774Paine: Germany’s Die Welt Newspaper Proclaims Donald Trump ‘Most Successful Climate Protector in the World’ https://t.co/llmb…</t>
  </si>
  <si>
    <t>RT @CaroleFor45KAG: Take a look at this 👀
South Carolina reps introduce bill to allow debate on secession over gun laws https://t.co/QB63Mk…</t>
  </si>
  <si>
    <t>RT @Chicago1Ray: 🇺🇸 #Honoring 🇺🇸 The Nation's longest serving #USMarine who has retired after [43 Yrs] of service 🤝 #ThankYou for your Serv…</t>
  </si>
  <si>
    <t>RT @BreitbartNews: Exodus. https://t.co/JKE8nZ80rG</t>
  </si>
  <si>
    <t>RT @Sissy_USMC: Robert Wasinger Names Names, Denounces Anti-Trumpers in the Administration | Breitbart https://t.co/ngIkMMQxVl via @Breitba…</t>
  </si>
  <si>
    <t>RT @31Millerg: It’s not as if Facebook needs some more bad press right now. https://t.co/ImSKP79SFA</t>
  </si>
  <si>
    <t>RT @MarkRocon: Ted Cruse's challenge to his senate seat, Beto O'rourke  from the far left is for open borders increasing the Democrat voter…</t>
  </si>
  <si>
    <t>RT @Sissy_USMC: BREAKING REPORT: Airstrike Hits Military Base in Syria - Pentagon Sources Say US Has NOT Launched an Attack on Assad's Base…</t>
  </si>
  <si>
    <t>RT @mitchellvii: This is EXACTLY what we have been saying on YourVoice™ America for the past year.  This is all part of Operation #SlowWalk…</t>
  </si>
  <si>
    <t>RT @pricklypear12: @Daver2956 @MikeDiaz285 @_CFJ_ @Faye0226 @DarleneHBrook @The____Guardian @tgradous @BetoORourke @tedcruz @RedState @pjam…</t>
  </si>
  <si>
    <t>RT @InGodIDoTrust: Facebook tells Congress to go easy on Zuckerberg or else they will release their Messenger transcripts to their wives an…</t>
  </si>
  <si>
    <t>RT @realDonaldTrump: When a car is sent to the United States from China, there is a Tariff to be paid of 2 1/2%. When a car is sent to Chin…</t>
  </si>
  <si>
    <t>RT @JackPosobiec: Well this is awkward https://t.co/fexj41qGuN</t>
  </si>
  <si>
    <t>RT @CorrelA_B: This is a classic example of the #ignorance running rampant in the #guncontrol community. Literally nothing in this tweet is…</t>
  </si>
  <si>
    <t>RT @historylvrsclub: Inside а train, 19cent. https://t.co/GyQEimmhC7</t>
  </si>
  <si>
    <t>RT @Boyd_2650: https://t.co/zk14Be67My 🇺🇸Another one throws his hat in the ring. Governor Rick Scott is running for US Senator in Florida.…</t>
  </si>
  <si>
    <t>RT @foxandfriends: "When we signed up with Facebook they didn't say this platform was only for liberal views" -@DiamondandSilk slam Faceboo…</t>
  </si>
  <si>
    <t>RT @JulesKek1214: @SenJohnMcCain @POTUS #WeDontSayHisName #qanon</t>
  </si>
  <si>
    <t>RT @seanhannity: Just had this pop up. I am at a tournament with my daughter. I’ll have a full and comprehensive response tomorrow on Hanni…</t>
  </si>
  <si>
    <t>RT @O_IrishT: #WeAreTheStorm 
#WWG1WGA 
#ClearFlynnNow 👍🙏
#QAnon @realDonaldTrump 
#VoterFraud #StayWoke 
#THUNDER #MYPresident 
 @POTUS #M…</t>
  </si>
  <si>
    <t>RT @NJ_Optimist: CONGRATULATIONS GARY DeSANTIS @KMGGaryde FOR REACHING 50K FOLLOWERS &amp;amp; FRIENDS! A TRULY AMAZING PATRIOT WITH TREMENDOUS INS…</t>
  </si>
  <si>
    <t>RT @TruthMatters13: 5 You have first class ticket to #KAG #TrumpTrain
@hickorymtnman 
@TruthMatters13 
@wvufanagent99 
@Mom15411th 
@Imabit…</t>
  </si>
  <si>
    <t>RT @KatrinaPierson: Alert: The troops have arrived and have taken place, having already deterred a large portion of the “caravan” of illega…</t>
  </si>
  <si>
    <t>RT @prayingmedic: 156) See the spider web yet?
#Qanon https://t.co/0f2966AWn3</t>
  </si>
  <si>
    <t>RT @inittowinit007: 🔥🔥IT’S  HAPPENING 🔥🔥
 👇👇PAY ATTENTION 👇👇
.@realDonaldTrump  .@POTUS 
#QAnon  #TheGreatAwakening https://t.co/kll0wiJeSW</t>
  </si>
  <si>
    <t>RT @ShowboatBob: #BobsTrumpTrain
@ShowboatBob
@havasusun
@Carmie26
@gwpuffnstuff
@rickgarcelon
@MonaFishman
@NVWarden
@ednewbold
@Dmobrule…</t>
  </si>
  <si>
    <t>RT @ArchKennedy: The globalist progressive Jeff Bezos is not only looking more and more like “Dr. Evil,” he’s also acting like him. https:/…</t>
  </si>
  <si>
    <t>RT @United4Trump20: Ted Cruz U.S.Senate Texas https://t.co/U1LIDE9CEe</t>
  </si>
  <si>
    <t>RT @VP: .@POTUS &amp;amp; I closely monitoring likely chemical attack in Syria. We condemn in the strongest possible terms the assault on innocent…</t>
  </si>
  <si>
    <t>RT @raymondlipford: Billboard Pops Up On Busy California Highway Overnight — 4 Words Make Maxine Waters Panic - https://t.co/GDIf35CfKM</t>
  </si>
  <si>
    <t>RT @BrotherVet: Texas Has This Under Control 
RE-ELECT @GovAbbott 
The Right Man For Texas 
#TexasValues
#Honor
#Respect
#Integrity
#Vo…</t>
  </si>
  <si>
    <t>RT @Thomas1774Paine: GOP Rep Meadows: If Rosenstein Doesn’t Turn Over Docs, We Will Move to Impeach (VIDEO) https://t.co/evQFxy1R2W</t>
  </si>
  <si>
    <t>RT @solentgreenis: Am i really reading this right......So dont shut down a child prostitution site because hookers wont be able to make a l…</t>
  </si>
  <si>
    <t>RT @solentgreenis: I was thinking....Big accounts promote Trump should help small accounts and retweet their stuff more often....Just think…</t>
  </si>
  <si>
    <t>RT @SebGorka: DON’T be angry. DON’T be worried. The President will never give up.@realDonaldTrump#RealDonaldTrump#MAGA#save https://t.co/JO…</t>
  </si>
  <si>
    <t>RT @hickorymtnman: CONGRATULATIONS 
To my friend .@AmericanGirl815
She just hit that big milestone
15,000 FOLLOWERS 
She is a great pat…</t>
  </si>
  <si>
    <t>RT @Thomas1774Paine: Oklahoma doctor arrested at DFW Airport on child sex charges https://t.co/7ENrKuBnaw</t>
  </si>
  <si>
    <t>RT @sdc0911: 🚨Stop Trying To Make Beto Happen; Ted Cruz Will Trounce Him and Here's Why https://t.co/91YZSp2k7H</t>
  </si>
  <si>
    <t>RT @joannperrone15: Why are some on the Left cheering about the Trump Tower fire, what the hell is wrong with these people, 1 man died and…</t>
  </si>
  <si>
    <t>RT @ChiefNGB: Always Ready, Always There! Moving up to 500 #NationalGuard troops immediately on the SW border security mission. Vehicles, e…</t>
  </si>
  <si>
    <t>RT @DiamondandSilk: .....Lastly, didn't FB violate their own policy when FB stopped sending notifications to the Millions of people who lik…</t>
  </si>
  <si>
    <t>RT @AJ19844: When MSM &amp;amp; WEB kills news. Use alternative search engines. Those still using google etc. “WAKE-UP”.
#QAnon @intheMatrixxx @Lis…</t>
  </si>
  <si>
    <t>RT @JDugudichi: Follow all patriots for an instant follow back
@JDugudichi
@pop6627
@ravena68
@indraleelen
@JBruman55
@CPLcha500
@OldCrochi…</t>
  </si>
  <si>
    <t>RT @Tokaise: 99-Page FISA Court Report Finds James Clapper's NSA had Institutional "Lack of Candor" https://t.co/cQlR4dals0</t>
  </si>
  <si>
    <t>RT @thenationsrage: #Texas sends 250 National Guard troops to #Mexico border
#IStandWithTrump #ImWithAbbott #KAG2020 #Abbott2018
 @GovAbb…</t>
  </si>
  <si>
    <t>RT @HarryKindred5: Kick some ASS JOHN!!!! https://t.co/rk3UGmXIMl</t>
  </si>
  <si>
    <t>RT @SiddonsDan3: “We’ve got to stop being African-American or Hispanic-American. We’ve got to just start seeing ourselves... as Americans.”…</t>
  </si>
  <si>
    <t>RT @kylie_oneil75: House Considering Impeaching Rosenstein for Delaying and Not Providing Documents Requested by Congressional Oversight Co…</t>
  </si>
  <si>
    <t>RT @TakebackUSA2: Facebook says these two women are unsafe to the community. Says the company that sells your private information without y…</t>
  </si>
  <si>
    <t>RT @sonmanvb: Gun store owner stops planned mass shooting https://t.co/S0YVINKyob via @AmericanThinker</t>
  </si>
  <si>
    <t>RT @jenn_027: Good morning, #Patriots 🇺🇸
Praying for @POTUS as he continues on his path to save our great Nation.
Praying for our #Milita…</t>
  </si>
  <si>
    <t>RT @ShowboatBob: #BobsTrumpTrain
@4Mischief
@ShowboatBob
@Kirk_King
@candicecarley
@GuidinoGiuseppe
@ChrisP57053320
@wolfehunter01
@Thom448…</t>
  </si>
  <si>
    <t>RT @Thomas1774Paine: Mattis approves sending 4,000 National Guard troops to border https://t.co/w8bM7zhZTP</t>
  </si>
  <si>
    <t>RT @sxdoc: Diamond and Silk FURIOUS After Facebook Reveals Their Content Has Been Censored Because “Its Not Safe For the Community”; Global…</t>
  </si>
  <si>
    <t>RT @buffetbruce: Facebook has deemed Diamond &amp;amp; Silk content unsafe. Any conservative content on any liberal platform is unsafe for liberals…</t>
  </si>
  <si>
    <t>RT @Franklin_Graham: Please pray with us that many will come and hear the Gospel. https://t.co/3ng23p79a4</t>
  </si>
  <si>
    <t>RT @StandingDarrell: 🇺🇸 “Yesterday President Trump tweeted a curiously specific pair of tweets targeting the FBI, DOJ &amp;amp; FISA investigations…</t>
  </si>
  <si>
    <t>RT @dbongino: Given the increasingly troubling turn to the radical left by @twitter, it’s only a matter of time before conservatives like m…</t>
  </si>
  <si>
    <t>RT @RealMattCouch: John Bolton starts as National Security Adviser tomorrow.. He, aligned with General Kelly and Defense Secretary General…</t>
  </si>
  <si>
    <t>RT @Dogman1013: 85% of the Section 704 and 705(b) FISA searches  were non-compliant with applicable laws and therefore criminal. https://t.…</t>
  </si>
  <si>
    <t>RT @Sissy_USMC: Illegal Aliens Climb Border Wall into U.S. to Taunt Trump https://t.co/qgok1zXFMU via @BreitbartNews</t>
  </si>
  <si>
    <t>RT @LouisTabor3: Drip, drip, drip. The Title 1 FISA application to spy on the Trump campaign has been given to the intelligence committees…</t>
  </si>
  <si>
    <t>RT @tbailey5477: @POTUS
🔺️Another One Bites The Dust
▶️Texas GOP Rep Blake Farenthold Resigns From Congress!
☆Below Is Link That to 
#Resig…</t>
  </si>
  <si>
    <t>RT @mimiinftworth: I stand with President Trump about Scott Pruitt. Do not fire Mr Pruitt, that’s what they want you to do. It is their new…</t>
  </si>
  <si>
    <t>RT @IWillRedPillU: President Trump to Skip the ''So Fake'' Washington Correspondents Dinner 🤣
Liberals Losing Their Minds-
#AQuietPlace #Fr…</t>
  </si>
  <si>
    <t>RT @mitchellvii: Ruh Roh Romney has a PR nightmare. It appears an ex-staffer had a woman held as a sex slave...hate to have that on my plat…</t>
  </si>
  <si>
    <t>RT @BillOReilly: Chaos in Mexico presents a national security problem to the USA, drugs are pouring in here from Mexico and millions of peo…</t>
  </si>
  <si>
    <t>RT @RealJamesWoods: It already IS Venezuela. Drive through downtown Los Angeles sometime. https://t.co/AnDzRdjF5o</t>
  </si>
  <si>
    <t>RT @deeg25: .@tedcruz talking to a packed house of supporters Monday night at the Redneck Country Club:
"Texas is independent," he said. "T…</t>
  </si>
  <si>
    <t>RT @AlliedProgress: 🚨 PLEASE RETWEET 🚨
New six-figure ad buy on major Sinclair stations. @AlliedProgress will be honest with their viewers…</t>
  </si>
  <si>
    <t>RT @mitchellvii: Traits of DNC "rogue-agent" Trumpers:
1) Little activity prior to the election.
2) Huge followings very fast.
3) Many fol…</t>
  </si>
  <si>
    <t>RT @BreitbartTexas: Texas School District Pours $36M into Student Surveillance, Security https://t.co/XhJquK8hbv</t>
  </si>
  <si>
    <t>RT @AIIAmericanGirI: REVEALED: How YouTube shooter got her gun...and from where https://t.co/eOjIO5QO1B @trscoop #AAG</t>
  </si>
  <si>
    <t>RT @seanhannity: More of Disney’s @jimmykimmel being Harvey Weinstein Jr. https://t.co/TSvaqT5cPE</t>
  </si>
  <si>
    <t>RT @DFBHarvard: Seriously, These are great Folks &amp;amp; Honest People! 
Give them a Hello!
@SoCoolUSA
@LShslatin
@NotPC12
@louis3288
@peters55…</t>
  </si>
  <si>
    <t>@DFBHarvard @SoCoolUSA @LShslatin @NotPC12 @louis3288 @peters55 @lleoffled @Yoridoo @serye2015 @ReconmomC @marcella4401 @colofu4 @iwhiten Followe all</t>
  </si>
  <si>
    <t>RT @SiddonsDan3: “‘Make America Great Again’ is not about Nov. 8TH, or one person. It’s about -ALL OF US- our love of country. Mark along w…</t>
  </si>
  <si>
    <t>RT @RealJamesWoods: This is disgusting even for a heinous, greedy little weasel like #Zuckerberg.
#DeleteFacebook  https://t.co/Xt3LXJ9mNS</t>
  </si>
  <si>
    <t>RT @CaroleFor45KAG: Some info about our President-
John Trump, Donald’s Uncle: 5 Fast Facts You Need to Know https://t.co/l2E5rY5BRO via @h…</t>
  </si>
  <si>
    <t>RT @hatedtruthpig77: California AG Kamala Harris being pressured to resign, after raiding
#ProLife activists home.
America passed a "const…</t>
  </si>
  <si>
    <t>RT @kaykrys1: No doubt there are many embarrassing messages that need hiding.
https://t.co/jKNBSg7lzn</t>
  </si>
  <si>
    <t>RT @BradBartonDFW: #TXWX DALLAS, ROCKWALL, KAUFMAN, ELLIS Counties now INCLUDED in "ENHANCED RISK" area for severe weather this afternoon.…</t>
  </si>
  <si>
    <t>RT @SoCal4Trump: Wow! Gun owner Mark Robinson of Greensboro NC sets his city council straight after they propose stopping gun shows in the…</t>
  </si>
  <si>
    <t>RT @dekdarion: Whoa! 👇👇👇👇 #QAnon
New details about basis for Andrew McCabe's firing from FBI revealed https://t.co/wpKgjKbB5t #FoxNews</t>
  </si>
  <si>
    <t>RT @GartrellLinda: Three Teens Invade Home but Are Met With Homeowner’s AR-15
Now Family of Dead Teen says "the punishment didn't fit the c…</t>
  </si>
  <si>
    <t>RT @junogsp5: My nominee for best tweet of 
the day @SharylAttkisson 
who experienced Obama Admin weaponization of 
Intel &amp;amp; DOJ after repor…</t>
  </si>
  <si>
    <t>RT @Rosalea59: Here is the true witch hunt that America should be concerned about!
Evil is upon us by the same people that are suppose to b…</t>
  </si>
  <si>
    <t>RT @DutyOfAPatriot: Thank you for going the long haul!!! Checked this thread all night. 
Two more California Cities
Go Against Sanctuary S…</t>
  </si>
  <si>
    <t>RT @SiddonsDan3: “Standing next to one of the most corrupt and treasonous democrat politicians who introduced CA’S SB 54, the unconstitutio…</t>
  </si>
  <si>
    <t>RT @Thomas1774Paine: Facebook drops a bombshell and says most of its 2 billion users may have had their personal data scraped https://t.co/…</t>
  </si>
  <si>
    <t>RT @realDonaldTrump: The Fake News Washington Post, Amazon’s “chief lobbyist,” has another (of many) phony headlines, “Trump Defiant As Chi…</t>
  </si>
  <si>
    <t>RT @thebradfordfile: Trump declares:
"Cheatin' Obama." https://t.co/Xdn0md9myx</t>
  </si>
  <si>
    <t>RT @CHIZMAGA: So proud of this man! America loves Immigrants, Legal Immigrants!
https://t.co/v16ZM0LKLz</t>
  </si>
  <si>
    <t>RT @SiddonsDan3: PLEASE RETWEET- - THE BEST SONG I HAVE EVER HEARD ABOUT UNITING GREAT PATRIOTS FOR PRESIDENT DONALD J TRUMP!!  -.@pastorma…</t>
  </si>
  <si>
    <t>RT @truthcraving: https://t.co/wxhDVw2gtu</t>
  </si>
  <si>
    <t>RT @awaken_to_maga: Lord, we pray that you guide &amp;amp; protect @realDonaldTrump &amp;amp; all those in harm's way who are actively fighting to defend o…</t>
  </si>
  <si>
    <t>RT @AlBoeNEWS: DEVELOPING: Rudy Giuliani's wife files for divorce https://t.co/udQxwS5RdN</t>
  </si>
  <si>
    <t>RT @solentgreenis: sometimes they are just too young for such power...... https://t.co/yAuzicaQDK</t>
  </si>
  <si>
    <t>RT @TheUnitedFree: More #WINNING! #1A #MAGA
American colleges must respect free speech in order to receive grant funding from the Departme…</t>
  </si>
  <si>
    <t>RT @DFBHarvard: Sometimes, Sometimes it's just fun to give a shout out to Twitter Friends!
So here it is!
@RealJimPeterson
@juliedeplorab…</t>
  </si>
  <si>
    <t>RT @RealJamesWoods: Thank you, Mr. President, on behalf of all American citizens, and all LEGAL immigrants who have joined us to participat…</t>
  </si>
  <si>
    <t>RT @KamVTV: When Trump said “Law and Order” during the campaign, the Democrats never thought he would deploy National Guard at the border.…</t>
  </si>
  <si>
    <t>RT @FoxNews: JUST IN: @POTUS signs proclamation sending National Guard to Mexico border immediately https://t.co/q0sAjdXgtw</t>
  </si>
  <si>
    <t>RT @cjane53: HEADED TO BORDER, PICK YOUR SPOT!
@jimeh5
@kaykrys1
@My57ChevyBelAir
@eastendlights2
@luvs2laf
@MyPcool3066
@LadyTKnight
@Dion…</t>
  </si>
  <si>
    <t>RT @mitchellvii: Nolte: Ratings Dud CNN Fails to Place in Top 20 Shows of Q1 2018 https://t.co/txB8fWQZ7G</t>
  </si>
  <si>
    <t>RT @AnnCoulter: ANOTHER IMMIGRATION SUCCESS STORY!  SF student failed every class in high school - https://t.co/2EOWMyi2op</t>
  </si>
  <si>
    <t>RT @seanhannity: More missed flags https://t.co/4Wl9LgWycW</t>
  </si>
  <si>
    <t>RT @eehoback: Spotted at the MLK Memorial @SecretaryCarson https://t.co/3YuNdJ4xAC</t>
  </si>
  <si>
    <t>RT @Golfinggary5221: SIMPLY MAGNIFICENT!
Aren’t we blessed with a gracious, elegant and classy First Lady? Do you agree #MelaniaTrump is a…</t>
  </si>
  <si>
    <t>RT @BillOReilly: The tone was funereal last night in the media when the news broke that President Trump is not being investigated for crime…</t>
  </si>
  <si>
    <t>RT @FoxNews: .@mschlapp on Texas Senate race: "There is not one single fundamental dynamic in Texas that points to a @tedcruz loss other th…</t>
  </si>
  <si>
    <t>RT @ReneeCarrollAZ: #MLK50
#WednesdayWisdom
GREAT NEWS...
@pastormarkburns is running to replace @TGowdySC in Congress! We need to all get…</t>
  </si>
  <si>
    <t>RT @IngrahamAngle: The alternative to @realDonaldTrump’s hard line w/trade cheaters is what exactly? Turn our entire tech sector to China?…</t>
  </si>
  <si>
    <t>RT @LauraC_9691: Republicans Might Use Arcane Budget Rule to Slash Omnibus Spending | Breitbart https://t.co/Cu1z6FRjsh via @BreitbartNews</t>
  </si>
  <si>
    <t>RT @not2far2right: Migrant 'caravan' begins to splinter after Trump raises alarm 
https://t.co/16Q1OybUYd
Don't let us down @POTUS!  Defen…</t>
  </si>
  <si>
    <t>RT @TyEducatingLibs: Switzerland is not allowing immigrants to apply for citizenship if the applicant has been on welfare in the last three…</t>
  </si>
  <si>
    <t>RT @DFBHarvard: No reason we can't call this Shout Out #FollowBackWednesday!
Let's get started with these folks who charitably follow me!…</t>
  </si>
  <si>
    <t>RT @KamVTV: Looted nothing. 
Burned nothing.  
Attacked no one. 
Changed the world. 
#MLK50 #MartinLutherKingJr https://t.co/xXkESHYbl4</t>
  </si>
  <si>
    <t>RT @ColumbiaBugle: “We are scared, just like you,” Irineo Mujica, the head coordinator of the migrant caravan, told the assembled group thr…</t>
  </si>
  <si>
    <t>RT @TheLastRefuge2: When you plant your tree in someone else's orchard, don't be surprised when you pay for your own apples. https://t.co/4…</t>
  </si>
  <si>
    <t>RT @alozras411: .@GenFlynn was improperly targeted and ambushed by McCabe/Yates.  @RealDonaldTrump #POTUS should consider a pardon. This ev…</t>
  </si>
  <si>
    <t>RT @JackPosobiec: We have more troops defending the borders of the Middle East than our own border</t>
  </si>
  <si>
    <t>RT @AMike4761: Liberals Launch a SMEAR CAMPAIGN Against MyPillow For Refusing to Drop Ingraham.  Support Mike!  Beat the American haters!…</t>
  </si>
  <si>
    <t>RT @FoxNews: The grave of Dr. Martin Luther King Jr. in Atlanta stands amidst a reflecting pool at dawn on the 50th anniversary of his assa…</t>
  </si>
  <si>
    <t>RT @houstonusa6: It is time to vote this Farrakhan loving Dem out of District 9 in Texas. Join a group to help!
USF follow me and add #TX h…</t>
  </si>
  <si>
    <t>RT @AIIAmericanGirI: Oh- Mexican Authorities Are Disbanding The Caravan? Not So Fast... https://t.co/2BiKoZ5BlR @chicksonright #AAG</t>
  </si>
  <si>
    <t>RT @JackPosobiec: Photo of Nasim Aghdam from a PETA protest in 2009 https://t.co/5IOyGfRXNM</t>
  </si>
  <si>
    <t>RT @scali_gianna: NOT GOOD this can not keep happening please people wake up https://t.co/9mYH6X3LpD</t>
  </si>
  <si>
    <t>RT @AngeloRayGomez: .@HillaryClinton has done more to get Republicans elected than Danny Tarkanian who has lost 5 elections &amp;amp; gave Democrat…</t>
  </si>
  <si>
    <t>RT @JamesHasson20: The House obviously will be very difficult to hold in Nov. The key battle is the Senate—holding it allows GOP to continu…</t>
  </si>
  <si>
    <t>RT @210GOPTEJANA: Wahoo! 👍🏼👍🏼👍🏼Ted Cruz lands endorsement from Border Patrol union https://t.co/3wZZ8muXml</t>
  </si>
  <si>
    <t>RT @ChuckNASCAR: Carnac Chuck predicts this STUPID legislation NEVER leaves the House, it will be killed on the floor. ** Rep. Debbie Dinge…</t>
  </si>
  <si>
    <t>RT @kylie_oneil75: New York Pension Boss Demands Mark Zuckerberg Relinquish Facebook Chairman Role (VIDEO) https://t.co/iu9uvdboZO</t>
  </si>
  <si>
    <t>RT @ExDemLatina: .@LouDobbs was not letting @RepMcSally get away with not being honest! Tried to get her to answer simple questions and she…</t>
  </si>
  <si>
    <t>RT @President1Trump: Planned Parenthood in Wisconsin fined $6000 for not accurately reporting donations to Hillary Clinton‘s 2016 election!…</t>
  </si>
  <si>
    <t>RT @RealSaavedra: Army veteran Chuck Holton: "I was in Nicaragua, and I saw, essentially, a @CNN infomercial on how to come illegally into…</t>
  </si>
  <si>
    <t>RT @Thomas1774Paine: BREAKING: Parkland teen who was shot five times shielding classmates, speaks for first time, rejects ‘hero’ label http…</t>
  </si>
  <si>
    <t>RT @ericbolling: Dear @USPS 
You “mock” @realDonaldTrump saying you’re NOT taxpayer “funded”
Yet your pensions are “backed” by us, operate…</t>
  </si>
  <si>
    <t>RT @mpringlemn: Jason Chaffetz: 10 things Congress should do, but won't https://t.co/98mLy1ncOY #FoxNews</t>
  </si>
  <si>
    <t>RT @VSprus4trump: IT Security Expert Sounds The Alarm Over Debbie Wasserman Schultz's Role In Awan Brothers Scandal. #Debbie Wasserman Schu…</t>
  </si>
  <si>
    <t>RT @DavidWohl: Uh oh. Media going into cover-up mode. https://t.co/GZIAyV0GCz</t>
  </si>
  <si>
    <t>RT @AIIAmericanGirI: Village Bans Semi-Automatic Weapons, Residents Must Remove From Home Or Face $1,000 Fine https://t.co/g8xCCGg0Cf @real…</t>
  </si>
  <si>
    <t>RT @minnman47: https://t.co/CCKZedjxSa</t>
  </si>
  <si>
    <t>RT @TruthMaga: 🙈🙈  OMG 😮 Really Please He is not going drop a bomb on you
But if you cross our Border you will meet Resistance!
Illegal is…</t>
  </si>
  <si>
    <t>RT @USFreedomArmy: Here is CNN talking like the gun fired itself. Sad. The patriots of America want you to join them at https://t.co/oSPeY4…</t>
  </si>
  <si>
    <t>RT @gbroh10: #MuellerInvestigation
#StableGenius  
#RussiaGate 
#Collusion 
AUGUST 2ND, 2017:
LETTER FROM ROSENSTEIN TO
SC MUELLER OUTLINI…</t>
  </si>
  <si>
    <t>RT @Thomas1774Paine: BREAKING: NYPD in SWAT Gear Evacuate Commuters from NYC Port Authority, Close Surrounding Streets https://t.co/Ua6omnV…</t>
  </si>
  <si>
    <t>RT @tedcruz: Day three of the #ToughAsTexas tour! Hope to see you in Midland, Canyon, Wichita Falls, or Fort Worth! #KeepTexasRed #CruzCrew…</t>
  </si>
  <si>
    <t>RT @JackPosobiec: Search warrant about to get nuked https://t.co/RYkvUw4YHj</t>
  </si>
  <si>
    <t>RT @2Chron169: OMGoodness @CNN Panel spreading more #FakeNews  as they try to stir up Racism with their propaganda Tell a lie long enough p…</t>
  </si>
  <si>
    <t>RT @WBAP247NEWS: Beto's war chest is growing. The story at 8:30a on the #WBAP Morning News update. https://t.co/UvVphK1hPf</t>
  </si>
  <si>
    <t>RT @PoliticalShort: “We first thought it was just a few people at the FBI. Then it went higher in the FBI. Then it was the State Department…</t>
  </si>
  <si>
    <t>RT @ericbolling: Big Banana:
Cable newsers claim “none of that is true” (@realDonaldTrump re: Amazon use of USPS)
An Apple:
1) The US Post…</t>
  </si>
  <si>
    <t>RT @ChgocadChic: @Sgroberts121657 @BrotherVet @TEN4Texas @Tex_ombian @alanap98 @MikeDiaz285 @BetoORourke @AZWS @ChuckNASCAR @jstines3 @bcwi…</t>
  </si>
  <si>
    <t>RT @immigrant_legal: So the YouTube HQ shooter is a liberal vegan feminist named Nasim Aghdam from Iran. 
CNN is disappointed because there…</t>
  </si>
  <si>
    <t>RT @RealMAGASteve: RETWEET: Huntington Beach City Council voted to sue the state of California over its sanctuary city law! If they are suc…</t>
  </si>
  <si>
    <t>RT @DalinRP: Could this be why we r not hearing much about this incident? The shooter? &amp;amp; why we r not talking gun control 24/7? Could it b…</t>
  </si>
  <si>
    <t>RT @PhillipDenton: This is an interesting analogy of @realDonaldTrump written by a mother of a Navy Seal.  Wise words to be read by all!! h…</t>
  </si>
  <si>
    <t>RT @chuckwoolery: MUST READ=&amp;gt; Lawyer Explains How Rosenstein Unconstitutionally Usurped AG Sessions’s Power, Gave Mueller “Secret Authoriza…</t>
  </si>
  <si>
    <t>RT @RealEagleWings: Sheriff Patrick Russo: Two of my correction officers will receive training by ICE &amp;amp; we will be able to vet anybody that…</t>
  </si>
  <si>
    <t>RT @mitchellvii: CENSORSHIP: In the past 2 days, #Periscope has reduced the viewership of YourVoice™ America by half. Subtle.
Censorship i…</t>
  </si>
  <si>
    <t>RT @SebGorka: Majestic. https://t.co/KklFo9uKrg</t>
  </si>
  <si>
    <t>RT @dpd176: Fifteen days ago https://t.co/15aDYnSGVD</t>
  </si>
  <si>
    <t>RT @Megavolts001: PWR IN NUMBERS, PLS FLLW THESE 2A PATRIOTS &amp;amp; RETWEET
0403
 @mt_lady
@stevenlaststraw
@Greg241218661 
@arg36970
@Megavolts…</t>
  </si>
  <si>
    <t>RT @Scavino45: Beautiful #TeamTrump send off for #HopeHicks and #JoshRaffel this evening in Washington, DC! On behalf of everyone at the @W…</t>
  </si>
  <si>
    <t>RT @RealJamesWoods: The problem is plain as day and the solution as hopeless as a Democrat with a fistful of fifties... https://t.co/0L645C…</t>
  </si>
  <si>
    <t>RT @inittowinit007: 🔥WAS THIS A FALSE FLAG?🔥
💥Q💥states 🔥FOLLOW THE FATHER!🔥👇👇👇👇👇👇👇
.@realDonaldTrump  .@POTUS 
#QAnon #FalseFlag #KAG https…</t>
  </si>
  <si>
    <t>RT @Patriotic_Va: Hey everyone @jcpenni7maga is getting ready to hit 40k if you’re not one of those followers you’re missing out on her sav…</t>
  </si>
  <si>
    <t>RT @IWillRedPillU: Texas Democrat Mark Benavides Guilty of Six-Counts of Continuous Trafficking of Persons
#HumanTrafficking #PedoGate #Dem…</t>
  </si>
  <si>
    <t>RT @FernBrackens: 👁️👁️👁️"...Homeland Security has discovered rogue cell tower simulators in Washington, D.C. commonly used by foreign spies…</t>
  </si>
  <si>
    <t>RT @GovMikeHuckabee: Had a colonoscopy today.  My doctor was actually Russian.  Now THAT is what I call RUSSIAN MEDDLING!  They put me to s…</t>
  </si>
  <si>
    <t>RT @RedRisingUSA: #Conservatives Please Support @SenTedCruz @GovAbbott @KenPaxtonTX @DanPatrick @ron4congress #TexasRed #Texas #RedRisingUS…</t>
  </si>
  <si>
    <t>RT @DFBHarvard: These are all terrific folks! Heck they follow me so they're extremely kind.
Invite them to join you in our fight!
@Probl…</t>
  </si>
  <si>
    <t>RT @TheLastRefuge2: Prequel – Specific Instructions From Rod Rosenstein to Robert Mueller Surface… https://t.co/4ubJXXn6s0 https://t.co/bcB…</t>
  </si>
  <si>
    <t>RT @tedcruz: Join us for day two of the #ToughAsTexas tour!
McAllen: https://t.co/NCUbJzB78r
Corpus Christi: https://t.co/HR28iBfo1J
San…</t>
  </si>
  <si>
    <t>RT @RedNationRising: David Ward, former ICE agent:“If we don’t secure our border, what you saw in Europe is going to happen here n the Unit…</t>
  </si>
  <si>
    <t>RT @johnjones111142: https://t.co/UbukLlck5a https://t.co/y501oX3Jcl</t>
  </si>
  <si>
    <t>RT @iamagift30: Background checks 4gun sales shattered record in March while Celebrities,Dems Gun-Control Activists told kids 2March https:…</t>
  </si>
  <si>
    <t>RT @Tokaise: Wife of Democrat Congressman Arrested After Getting Trashed at Disney, Telling Cop She Can Do Whatever She Wants https://t.co/…</t>
  </si>
  <si>
    <t>RT @SiddonsDan3: -.@SebGorka -this caravan delivers -diseases -criminals -better logistical systems to traffic drugs, women, and children.…</t>
  </si>
  <si>
    <t>RT @luluHru: Follow Retweet Reply Followback #MAGA 
@Smart3Stacy 
@CudaBabe2 
@luluHru 
@dogpoop11 
@Billtrain464 
@panherring 
@cwilkins83…</t>
  </si>
  <si>
    <t>RT @WayneDupreeShow: We're broadcasting LIVE at https://t.co/fnxmkZncrB! It was time to leave @YouTube and we want you to join us. 
You ca…</t>
  </si>
  <si>
    <t>RT @MorphPAGE: @DanOHerrin Did he SERIOUSLY just say that?!
https://t.co/TfflJWk8N7</t>
  </si>
  <si>
    <t>RT @michaelbeatty3: CALIFORNIA FIGHTING BACK!
HUNTINGTON BEACH 
VOTES 6-1 AGAINST BECOMING A SANCTUARY CITY #California #MAGA #SaveCaliforn…</t>
  </si>
  <si>
    <t>RT @CB618444: 📺What we know so far about the #YouTube shooting:
1. #Hogg seen on his bicycle half way across the country. Almost there.
2.…</t>
  </si>
  <si>
    <t>RT @DailyCaller: YouTube Shooting Witness Says He Wished He Had A Gun https://t.co/kZmbzlqFiW https://t.co/9a1DuzLUyi</t>
  </si>
  <si>
    <t>RT @RealJamesWoods: #DemocratsWithoutPrinciples will sell our nation for an illegal vote. #RepublicansWithoutBalls won’t stop them. #Invasi…</t>
  </si>
  <si>
    <t>RT @minnman47: AG Jeff Sessions Reforms Immigration Courts to End 'Catch and Release' | Breitbart https://t.co/jT2rlPzf9u</t>
  </si>
  <si>
    <t>RT @TheSwampSeries: "Too many damn career politicians!" https://t.co/ZW82UL473g</t>
  </si>
  <si>
    <t>RT @RealJack: The Democrats have done nothing but push gun control and Stormy Daniels over the last month.
Meanwhile, President Trump has…</t>
  </si>
  <si>
    <t>RT @KamVTV: No doubt in my mind Google and YouTube will have footage of what transpired. They are the leading company in tracking every hum…</t>
  </si>
  <si>
    <t>RT @realDonaldTrump: Was just briefed on the shooting at YouTube’s HQ in San Bruno, California. Our thoughts and prayers are with everybody…</t>
  </si>
  <si>
    <t>RT @DallasIrey: #Trumpville
❦@RandalBrister
❦@CAS5050 
❦@FreedomPatriot7
❦@DallasIrey
❦@YodaJaxNme3 
❦@sweetrtweetrD 
❦@MichaelDadiego 
❦@m…</t>
  </si>
  <si>
    <t>RT @RealSaavedra: #BREAKING: Fox News is reporting that the suspected female shooter at YouTube shot her boyfriend and several others befor…</t>
  </si>
  <si>
    <t>RT @wolfehunter01: Shots fired at YouTube offices in California, casualties reported https://t.co/Yrl4YDrGb9 https://t.co/YugHwOkM0G</t>
  </si>
  <si>
    <t>RT @DallasIrey: #Trumpville #Vets🇺🇸
@TxMBRUISER 
@KirkHarris 
@bandasaul9544 
@usmc1940 
@Scottke59 
@USMC_SGT03
@MarcusBrutus_ 
@DallasIre…</t>
  </si>
  <si>
    <t>RT @RealSaavedra: #BREAKING: President Trump says U.S. will guard the Southern Border with Mexico using the militarily until the U.S. has "…</t>
  </si>
  <si>
    <t>RT @LauraLoomer: The coroner has been called to the scene of the YouTube shooting. 
The Zuckerberg San Francisco General Hospital has rece…</t>
  </si>
  <si>
    <t>RT @Hoosiers1986: #TuesdayThoughts
I personally believe @GregAbbott_TX is an AWESOME governor who ALWAYS puts the citizens of Texas first!…</t>
  </si>
  <si>
    <t>RT @PrisonPlanet: Shooter at YouTube HQ is dead. Hospital suggesting more fatalities.</t>
  </si>
  <si>
    <t>RT @PradRachael: MEET THE DEEP STATE WIFE OF ROD ROSENSTEIN- LISA H BARSOOMIAN
SHE'S  US ATTORNEY &amp;amp;
PROTEGE OF COMEY AND MULLER
SHE REPRES…</t>
  </si>
  <si>
    <t>RT @prayingmedic: 1) This is my #Qanon thread for posts beginning April 2, 2018. 
Q posts can be found here: https://t.co/yeNLF0baB0
My t…</t>
  </si>
  <si>
    <t>RT @Real_PeachyKeen: You know it's been a good day for all of us "Deplorables" when President Trump promises to protect our Southern Border…</t>
  </si>
  <si>
    <t>RT @ScottPresler: VICTORY: Los Alamitos voted to opt out of the lawless sanctuary city policy &amp;amp; Huntington Beach voted to file a lawsuit ag…</t>
  </si>
  <si>
    <t>RT @Farberyanki: That's what I did the first day on the way to the Reserve duty in the army a month ago. I love America &amp;amp; supports @realDon…</t>
  </si>
  <si>
    <t>RT @WRatHSCHiLD_At6: @Education4Libs  https://t.co/xqKoqwANhR</t>
  </si>
  <si>
    <t>RT @dawg_lb: "Another loss coming for Califorification"
@POTUS
@VP 
@SenTedCruz 
@RealOmarNavarro 
@RealErinCruz 
@LouDobbs 
@seanhannity…</t>
  </si>
  <si>
    <t>RT @goofballgeorge: Car #43
🚂🚃    Don't Be Late for the #TrumpTrain
@MorgandyCovfefe
@MorphPAGE
@mos_mp
@moseisleyport76
@mpringlemn
@MrMag…</t>
  </si>
  <si>
    <t>RT @goofballgeorge: Car #59
🚂🚃🚃      #TrumpTrain Crosses the USA
@Tomrights2017
@tony_tonyt
@Tophersnuggets
@toxicdogpit
@trendyelephant
@…</t>
  </si>
  <si>
    <t>RT @goofballgeorge: Car #59
🚂🚃🚃🚃🚃       Dancing Pandas for Trump
@TheWholeDamnNet
@Thinkingifree17
@Thom44810402
@ThomasDeal14
@tim_ravndal…</t>
  </si>
  <si>
    <t>RT @MarkSimoneNY: The hypocrite of the year award goes to Mark Zuckerberg for going after a photographer for 'invading his privacy.' That's…</t>
  </si>
  <si>
    <t>RT @BillOReilly: The tweet from @IngrahamAngle was ill-advised and Laura has apologized.  But know this: the sponsor boycott is not some sp…</t>
  </si>
  <si>
    <t>RT @prayingmedic: Emanuel Macron warns that Google and Facebook are becoming too big to be governed and could be dismantled. https://t.co/3…</t>
  </si>
  <si>
    <t>RT @JDugudichi: @LauraLeeBordas @76rooster @Barre40077094 @navyvet55 @Pammybarrett @josephsneyers @BlaskeyLarry @poddaughter @StupidBoomers…</t>
  </si>
  <si>
    <t>RT @TexasTribune: "Texans aren't afraid," U.S. Sen. @tedcruz said Monday morning in Beaumont. "Texans are strong. Texans are free...Texans…</t>
  </si>
  <si>
    <t>RT @Thomas1774Paine: Melania Trump Classes Up First Lady Easter in Stunning Style https://t.co/Rb93tBwIFb</t>
  </si>
  <si>
    <t>RT @goofballgeorge: Car #14
🚂🚃  Let's Party
@conservmia
@consueloyd
@CookieOcean
@Corp125Vet
@CourtHassinger
@CovfefeRegina
@CovfefeRegina…</t>
  </si>
  <si>
    <t>RT @TheLastRefuge2: Victor Davis Hanson Discusses the Downstream Effects of Corruption Within Obama’s FBI and DOJ… https://t.co/kx8cYoA9Vr…</t>
  </si>
  <si>
    <t>RT @NRATV: "The clear backpack has nothing to do with the 45 plus calls that the @browardsheriff missed and that is ultimately what you tak…</t>
  </si>
  <si>
    <t>RT @wisdom1953: EXCELLENT IDEA.  Let's roll with this patriots.  President Trump might be the first President ever to do something like thi…</t>
  </si>
  <si>
    <t>RT @TimeT_AA001: @GillMash4
@myheartsindixie
@TimeT_AA001 
@Timesupjokers
@Caparosa52
@k_pfor
@NurseDeb3305
@LaudunMarie
@Crunk5454
@joel_c…</t>
  </si>
  <si>
    <t>RT @jerome_corsi: Again MORE MUST READ "... There’s already a team of prosecutors reviewing all the evidence of criminality collected by In…</t>
  </si>
  <si>
    <t>RT @icare4america16: High School Counselor Arrested After Threatening To "Execute" White People | Zero Hedge https://t.co/lszQMfELIe</t>
  </si>
  <si>
    <t>RT @Slorider1: And @Acosta is a big part of this https://t.co/qcdIqg8yrM</t>
  </si>
  <si>
    <t>RT @rumfolo: @RealJamesWoods  said it best!  The money used to process theses foreigners should go to feed and shelter Americans that are h…</t>
  </si>
  <si>
    <t>RT @TammyGornick: They should be so proud of what they accomplished. God Bless America. 🇺🇸 https://t.co/VMdezkDI2j</t>
  </si>
  <si>
    <t>RT @IWillRedPillU: Breaking: Attorney General Jeff Sessions Files a New Lawsuit Against the State of California
#NewCalifornia #QAnon #SB54…</t>
  </si>
  <si>
    <t>RT @goofballgeorge: The Extra Super YUGE #TrumpTrain #7
🚂🚃🚃🚃🚃
Car 49            Watch what You're Doing
@RETIRED_COP1088
@Retiredtonature
@…</t>
  </si>
  <si>
    <t>RT @JaredoTexas: Very Important Dates Please Spread And Get Involved Localy https://t.co/U7798lw1AL</t>
  </si>
  <si>
    <t>RT @LarsLarsonShow: New dodge to avoid jail: lie about swallowing heroin.  U get comfy bed in a hospital while they wait for the H to pass…</t>
  </si>
  <si>
    <t>RT @Real_PeachyKeen: Read!!
2017 Threat Assessment in Parkland.
“The Secret Service agent came in. He parked in the front of the school f…</t>
  </si>
  <si>
    <t>RT @LindaSuhler: And Acosta wonders why he isn't respected...
Acting a jerk on Easter Sunday isn't journalism...it's unhinged harassment.…</t>
  </si>
  <si>
    <t>RT @AllenWestRepub: Chelsea Handler claims her 'armed' bodyguards don't carry semi-automatic weapons... Twitter DESTROYS her… https://t.co/…</t>
  </si>
  <si>
    <t>RT @w_terrence: Listen to Farrakhan scream about the White Jesus  and Who Jesus really is , you won’t believe it‼️
But who cares if Jesus w…</t>
  </si>
  <si>
    <t>RT @TheTrumpLady: LOCAL MEXICAN OFFICIALS BLOCK THE CARAVAN of #IllegalAliens (From Central America) Moving Freely Through Their Town. 
No…</t>
  </si>
  <si>
    <t>RT @realDonaldTrump: #AutismAwarenessDay #LightItUpBlue https://t.co/JAzSE6yEes</t>
  </si>
  <si>
    <t>RT @LisaMei62: 5. Huber was appointed by Obama, removed by Trump and then reappointed by Trump. Utah's Orrin Hatch &amp;amp; Mike Lee vouched for H…</t>
  </si>
  <si>
    <t>RT @PradRachael: President Trump and First Lady Melania Trump welcome Children to White House Easter Roll Along with Barron Trump 
https:/…</t>
  </si>
  <si>
    <t>RT @RealEagleWings: .@edhenry: "Breaking tonight...they are now, within the #Trump administration, instituting quotas for federal immigrati…</t>
  </si>
  <si>
    <t>RT @k_ovfefe: @drawandstrike Amazing what a few tweets about NAFTA can do 😊 https://t.co/6Xm0TFRAse</t>
  </si>
  <si>
    <t>RT @Thomas1774Paine: BREAKING -- SHOCK VIDEO: Twitter Kicks Conservative FBI Critic Off Platform, Then FBI Liaison Shows Up At His House ht…</t>
  </si>
  <si>
    <t>RT @Speedcomesfirst: Please everyone follow my Christian patriot friend who has been missed:
💎 @thenationsrage 💎
She was closed down loos…</t>
  </si>
  <si>
    <t>RT @zack_nola: #NoPatriotLeftBehind
Patriots w/ under 5K followers
Please give a follow &amp;amp; RT
@LuckiestMermaid 
@BillCox70251656 
@CPLcha…</t>
  </si>
  <si>
    <t>RT @FoxNews: Tommy Fisher on border wall prototype: "Ours is a wall, not a see-through fence. It's a actual wall. It's 30 feet tall, 30 inc…</t>
  </si>
  <si>
    <t>RT @jstines3: MT @MilitaryCourage: He will always be our hero! https://t.co/p33JpNJb1f #SOT #PJNET</t>
  </si>
  <si>
    <t>RT @TruthMatters13: 16 SILENT MAJORITY NO LONGER SILENCED #1stAmendment #MAGATrumpTrain
@FreeSpeechJim…</t>
  </si>
  <si>
    <t>RT @Franklin_Graham: You can continue listening to my father @BillyGraham on @SiriusXM Channel 145 through tomorrow. Let SiriusXM know how…</t>
  </si>
  <si>
    <t>RT @HH_kathy: Illegal Immigrants Cost Texas $12.36 Billion A Year—10% Of State Budget💥 THIS is why we must #StopTheCaravan 🇺🇸 Start sending…</t>
  </si>
  <si>
    <t>RT @PradRachael: BREAKING: Wired sources is reporting that " Laura Ingram to return to Fox News after returning from spring vacation " Fox…</t>
  </si>
  <si>
    <t>RT @Harlan: If this caravan of 1500 illegal immigrants successfully invades the USA, countless caravans like it will follow!
And Democrats…</t>
  </si>
  <si>
    <t>RT @realDonaldTrump: Mexico is making a fortune on NAFTA...They have very strong border laws - ours are pathetic. With all of the money the…</t>
  </si>
  <si>
    <t>RT @memom2010: https://t.co/XNolS74apn</t>
  </si>
  <si>
    <t>RT @KamVTV: Watch @MikeTokes's broadcast: LIVE: Huntington Beach city council meeting to OPT-OUT from California's sanctuary ci… https://t.…</t>
  </si>
  <si>
    <t>RT @DonaldJTrumpJr: The kids had a great time with grandpa @realdonaldtrump aka #potus today at The 2018 White House… https://t.co/Tr34mR9N…</t>
  </si>
  <si>
    <t>RT @RealEagleWings: A caravan of Central American immigrants is making its way through Mexico on its way to the United States’ southern bor…</t>
  </si>
  <si>
    <t>RT @kevinkc5757: FABULOUS NEWS, GIVE FOX NEWS A #BIGSHOUTOUT News releases statement about the future of Laura Ingraham’s show after boycot…</t>
  </si>
  <si>
    <t>RT @AMike4761: In response to the massive flow of illegals, TEXAS Governor Abbot has deployed the National Guard and other forces to aid th…</t>
  </si>
  <si>
    <t>RT @Lost_Literati: Turn Up The Volume 21
Amplify our voices!
Follow all and Retweet please!
🕪@tammyleeco
🕪@_Coleen_B
🕪@luluHru
🕪@WhoThisB…</t>
  </si>
  <si>
    <t>RT @JackPosobiec: The media never shows this side of Trump https://t.co/lkWHeZyI8a</t>
  </si>
  <si>
    <t>RT @TheLastRefuge2: 🤔Remember that time in January 2017 when Mexican officials threatened to flood the U.S. with South American drugs if Pr…</t>
  </si>
  <si>
    <t>RT @DFBHarvard: Amazing followers! If you get a moment, check these folks out! 
They will not disappoint!
@Csinaco
@littlrdragon
@SandiF…</t>
  </si>
  <si>
    <t>RT @GartrellLinda: Trump Freezes $200 Million in Funds to Syria 
@POUS has always been against nation building
We have MANY needs here in t…</t>
  </si>
  <si>
    <t>RT @TrumpNewsz: First Lady Puts American Students in the Spotlight for 140th Easter Egg Roll https://t.co/4AgE8Gmz2d</t>
  </si>
  <si>
    <t>RT @historylvrsclub: Sometimes I am two people. Johnny is the nice one. Cash causes all the trouble. They fight. Johnny Cash https://t.co/n…</t>
  </si>
  <si>
    <t>RT @Education4Libs: I sent Hulu a message thanking David Hogg for helping fund my new NRA membership with the money I will no longer be pay…</t>
  </si>
  <si>
    <t>RT @AriFleischer: Look what I got in the mail...a jury questionnaire from the US District Court. Its first question is “Are you a citizen o…</t>
  </si>
  <si>
    <t>RT @DollyParton: He's Alive, and we're all forgiven! Happy Easter! https://t.co/lmHZyaBkIe</t>
  </si>
  <si>
    <t>RT @WhiteHouse: Happy Easter! https://t.co/IuSwIIiifK</t>
  </si>
  <si>
    <t>RT @realDonaldTrump: Mexico is doing very little, if not NOTHING, at stopping people from flowing into Mexico through their Southern Border…</t>
  </si>
  <si>
    <t>RT @tedcruz: This weekend, we remember the ultimate price paid by Jesus Christ for our sins, and celebrate his triumphant resurrection over…</t>
  </si>
  <si>
    <t>RT @dcexaminer: "This Easter, Christians in Iraq faithfully gather where ISIS once ruled" https://t.co/Id3o8yXT5h https://t.co/T4XHzg1tSh</t>
  </si>
  <si>
    <t>RT @VP: Today, my family and I celebrate the Resurrection of Jesus Christ and the dawn of grace on that first Easter morning. He is Risen!…</t>
  </si>
  <si>
    <t>RT @SebGorka: God Bless the Souls of these warfighters and give their Loved Ones Strength. https://t.co/PukxPHr5dR</t>
  </si>
  <si>
    <t>RT @TobieMcG: Happy Easter!  ⛪️🙏🏻🐰🐣 https://t.co/c32TkgpgPT</t>
  </si>
  <si>
    <t>RT @TheLastRefuge2: He Has Been Raised; He Is Not Here https://t.co/k3pUXIYZP9 https://t.co/Tu37vWcZJj</t>
  </si>
  <si>
    <t>RT @SebGorka: He is Risen! https://t.co/hwZsMZ2AoM</t>
  </si>
  <si>
    <t>RT @Hoosiers1986: Happy Easter America!
Thanks @POTUS &amp;amp; @VP for NOT being ashamed to mention the name of JESUS! It's a really nice change…</t>
  </si>
  <si>
    <t>RT @Fuctupmind: This is probably the MOST important video you can watch right now. 
https://t.co/SDSugzIA2D</t>
  </si>
  <si>
    <t>RT @prayingmedic: https://t.co/hnZApU3p8p</t>
  </si>
  <si>
    <t>RT @1776Stonewall: McDonalds announces it will spend 150 million dollars for thousands of tuition's for it's employees, and credits Trump's…</t>
  </si>
  <si>
    <t>RT @RyanAFournier: Couple goals... 😍 https://t.co/vfL0uU3zWb</t>
  </si>
  <si>
    <t>RT @Steve_Pippin: I'd like to give a SPECIAL SHOUT OUT for @TruthMatters13... a great Patriot that only needs 400 more followers to hit a H…</t>
  </si>
  <si>
    <t>RT @historylvrsclub: The tallest soldier in the German Army surrenders to Allied forces, 1944. https://t.co/v4vTWw1Z3r</t>
  </si>
  <si>
    <t>RT @Thomas1774Paine: BREAKING -- It’s Official: Laura Ingraham Stepping Down from TV Show, FOX News Replacing with “great lineup of guest h…</t>
  </si>
  <si>
    <t>RT @stranahan: As I said earlier: this was a big FBI failure. 
Another big FBI failure https://t.co/ETH7KbrelT</t>
  </si>
  <si>
    <t>RT @1776Stonewall: Rush Limbaugh tells a story of a few years back his sponsors were threatened to drop him in over 10,000 emails, so 10,00…</t>
  </si>
  <si>
    <t>RT @JackPosobiec: PRO-TRUMP AUTHOR Detained By FBI, Interrogated, Subpoenaed to Testify in Mueller Special Counsel
https://t.co/jMPianjpu9</t>
  </si>
  <si>
    <t>RT @TheLastRefuge2: Noor Salman Jury Foreman: Despite Not Guilty Verdict “We were convinced she did know”… https://t.co/MHDIoKGMUg https://…</t>
  </si>
  <si>
    <t>RT @MCCNP: 💥BREAKING:💥
Mexican Nationals riot against US Border Patrol and attempt to cross southern border at San Ysidro.
#BuildTheWall…</t>
  </si>
  <si>
    <t>RT @KayaJones: This is the day which the Lord hath made; let us rejoice and
      be glad in it.…</t>
  </si>
  <si>
    <t>RT @SickOfTheSwamp: Let's get this awesome Trumpatriot 
👉🏻👉🏻@Golfinggary5221👈🏻👈🏻 to 50k and beyond today.  
He is a great follow. 
He doe…</t>
  </si>
  <si>
    <t>RT @gqforbes4: #dtmag https://t.co/qNLiXDbNMj "Lovely First Lady Melania Trump Brings Easter Baskets to Children at St. Mary’s Hospital for…</t>
  </si>
  <si>
    <t>RT @ASimplePatriot: C’mon Home Town Peeps, DO IT!  ⬇️⬇️
🚨🚨 San Diego County Could Be Next to Join CA Anti-Sanctuary Revolt #MAGA 
https:/…</t>
  </si>
  <si>
    <t>RT @prayingmedic: 49) Keith Raniere, who founded a coaching business for the powerful and wealthy was arrested when it was discovered that…</t>
  </si>
  <si>
    <t>RT @CONNORFORTRUMP: TRUMP WORLD GROUP NEWS
Please follow:
@SickOfTheSwamp 
Who is the TRUMP WORLD GRP6 Group Leader
If you would like t…</t>
  </si>
  <si>
    <t>RT @FoxNews: .@BernardGoldberg: "There's an entire country between Manhattan and Malibu... I don't think the people in Hollywood really und…</t>
  </si>
  <si>
    <t>RT @historylvrsclub: а policewoman chases a gang of skinny dippers down the street at Hyde Park, 1926. https://t.co/k1cAFlv8o5</t>
  </si>
  <si>
    <t>RT @dcexaminer: Judge Stephen Reinhardt, "liberal lion" of the 9th Circuit Court of Appeals, dies at 87 https://t.co/CLl62TNlJ1 https://t.c…</t>
  </si>
  <si>
    <t>RT @WhiteHouse: "Both of these sacred celebrations remind us that God's love redeems the world... Happy Passover, happy Easter, thank you,…</t>
  </si>
  <si>
    <t>RT @Dawn_DeMore1: #GodBlessAmerica #GoodFriday #RedWaveRising 
Today, Karen And I Join Christians Everywhere As We Remember Christ's Sacri…</t>
  </si>
  <si>
    <t>RT @RacySicilian: President Reagan nailed it with this statement.
Liberals can't comprehend this concept 😬. They had rather be slaves. I r…</t>
  </si>
  <si>
    <t>RT @historylvrsclub: Sgt. Stubby, the most decorated war dog of WW I, fought in 17 battles on the Western Front. https://t.co/XRg7sTqfrC</t>
  </si>
  <si>
    <t>RT @MilitaryEarth: Please help me honor U.S. Army Sgt. Devin A. Snyder, 20 of Cohocton, N.Y. assigned to 793rd Military Police Battalion, 3…</t>
  </si>
  <si>
    <t>RT @ACQb3IN: Hungary now, Rumors of China and hopefully the USA to follow suit and get back on GOLD BACKED Currency.  
#EndTheFed 
#GodBle…</t>
  </si>
  <si>
    <t>RT @Stilllearin: THIS IS WHY OUR 
          🇺🇸FOUNDING FATHERS🇺🇸
       WROTE OUR 2nd AMENDMENT
👉Please read and pass it on👈
#FoundingFat…</t>
  </si>
  <si>
    <t>RT @historylvrsclub: Anne Frank's father Otto visits the attic where he and his family hid from the Germans https://t.co/C8jX9i08Z8</t>
  </si>
  <si>
    <t>RT @bluelivesmtr: Hero Down: Hopkinsville Officer Phillip Meacham Murdered
#BlueLivesMatter #BackTheBlue
Full Story: https://t.co/jpDYBBhf2…</t>
  </si>
  <si>
    <t>RT @ColumbiaBugle: #FlashbackFriday to Senator @tedcruz dismantling the Assault Weapons Ban. https://t.co/MfKBA6zj18</t>
  </si>
  <si>
    <t>RT @mikandynothem: Have wonderful #GoodFriday my friends! We have so many blessings and we thank God for them. Especially for a President w…</t>
  </si>
  <si>
    <t>RT @FoxNews: .@cvpayne: "This week we saw the first Chinese solar company say, 'We're going to open up a plant in America.' How did this ha…</t>
  </si>
  <si>
    <t>RT @lilbulli1031: Peter2:24 “He himself bore our sins” in his body on the cross, so that we might die to sins and live for righteousness; “…</t>
  </si>
  <si>
    <t>RT @FoxNews: Reps. Jordan and Meadows: McCabe Lied Four Times https://t.co/aOUnDuN0R8</t>
  </si>
  <si>
    <t>RT @gr8tjude: Trump: I Made 'Changes' Because 'I Wasn't Happy with the Speed with Which' Vets Were Being Taken Care Of 
#TakeCareOfOurVets…</t>
  </si>
  <si>
    <t>RT @ErikaMcdougall: 😡😡Our tax dollars at work...UNBELIEVABLE!!😡😡 #BuildTheWall #MAGA #LiberalismIsAMentalDisease https://t.co/Vm4JSSI9YL</t>
  </si>
  <si>
    <t>RT @CaliConsrvative: POLL: 54% of California voters want ICE working with Police to deport violent illegals
Also Pelosi's approval rating…</t>
  </si>
  <si>
    <t>RT @DjLots3: This may end up being a good thing! Where IG cant prosecute, this guy can!
Sessions: “Mr. Huber is conducting his work from o…</t>
  </si>
  <si>
    <t>RT @StefanMolyneux: “Prosecutors say Goodman, who also volunteered at a children's theater group, intentionally befriended single mothers,…</t>
  </si>
  <si>
    <t>RT @gqforbes4: #dtmag https://t.co/Nt77zjDf27 "STUNNING=&amp;gt; McCabe Lied FOUR TIMES To DOJ/FBI — Twice To IG Horowitz UNDER OATH! (VIDEO)"</t>
  </si>
  <si>
    <t>RT @thehill: Milo Yiannopoulos charity for white men closes with questions about where the money went
 https://t.co/a68GjdCMDQ https://t.co…</t>
  </si>
  <si>
    <t>RT @hatedtruthpig77: Quiet teen who rescued 17 in #Harvey flood wins National Citizen Hero award
#AmericaFirst
#RedNationRising
#MakeAmeri…</t>
  </si>
  <si>
    <t>RT @JC20204: Whataya say? We equal? We good?
DC for prison - - 
@realDonaldTrump @IvankaTrump @DonaldJTrumpJr @FLOTUS @USAGSessions
  @Do…</t>
  </si>
  <si>
    <t>RT @ScottRickhoff: Trump Broke Him: Univision’s Own Illegal Jorge Ramos Returning To Mexico (VIDEO) #ThursdayThoughts #MAGA #TuckerCarlsonT…</t>
  </si>
  <si>
    <t>RT @kwilli1046: Have You Cancelled Your #Netflix Membership Due To Hiring Susan Rice To The Board?</t>
  </si>
  <si>
    <t>RT @historylvrsclub: Who's the greatest band? Retweet for The Beatles. Favourite for The Rolling Stones. https://t.co/A2AuF7LzfH</t>
  </si>
  <si>
    <t>RT @KamVTV: There are FIVE FBI offices now investigating the Clinton foundation.</t>
  </si>
  <si>
    <t>RT @Franklin_Graham: “One-third of Matthew…one-third of Mark…one-fourth of Luke, and one-half of John are given to [Christ’s] death…Jesus c…</t>
  </si>
  <si>
    <t>RT @mitchellvii: Liberals claim citizenship hasn't been asked on the census since the 60's. #FakeNews it was on the 2000 census and Obama r…</t>
  </si>
  <si>
    <t>RT @Tony19542: 'Enough Is Enough': Nearly 400 Sheriffs Demand Congress Reduce Immigration, Criminalize Sanctuary Cities https://t.co/dw8Rg2…</t>
  </si>
  <si>
    <t>RT @FoxNews: Fabio on homelessness in California: "Let me tell you something about California, it looks like the wild, wild west...The lead…</t>
  </si>
  <si>
    <t>RT @ShowboatBob: #BobsTrumpTrain
@ShowboatBob
@gerald_horton
@menares1945
@popy_panayotou
@rosie514
@John_HergetUSMC
@todlor3
@rosie514
@ci…</t>
  </si>
  <si>
    <t>RT @ShowboatBob: #BobsTrumpTrain
@ShowboatBob
@Herbert_L_Reed
@vanjaguar1996
@Myrenthiatopac1
@wwwillstand
@IvansGarage
@kristin_everson
@j…</t>
  </si>
  <si>
    <t>RT @RealJamesWoods: Tell me you are aware that this is a photograph of the Khmer Rouge disarming citizens before murdering them by the mill…</t>
  </si>
  <si>
    <t>RT @SteveScalise: Great trip with @RepMarkWalker, Rep. Gianforte, @RepJohnCurtis, &amp;amp; @RepArrington to an offshore oil rig. This trip allows…</t>
  </si>
  <si>
    <t>RT @bsgirl2u: I think Sessions already has a ONE MAN "Special Council" 
Who is John Huber, the Utah US attorney investigating claims of FB…</t>
  </si>
  <si>
    <t>RT @RealJamesWoods: Unlike the partisan #WitchHunt engineered by crooked Democrats and their lackeys, having the Department of Justice do w…</t>
  </si>
  <si>
    <t>RT @rcjhawk86: #FuckZuck
💻ZUCK KNEW: Documents Reveal Facebook Was Informed App Could Sell Private User Data👀 https://t.co/yksc60WhwL</t>
  </si>
  <si>
    <t>RT @RealEagleWings: #BreakingNews: Facebook was informed that the app at the center of the data leak of 50 million users information could…</t>
  </si>
  <si>
    <t>RT @Chicago1Ray: " Laws that forbid the carrying of arms, only disarm those who are neither inclined nor determined to commit crimes. They…</t>
  </si>
  <si>
    <t>RT @drawandstrike: From Sessions's letter today: DAG Stephen Boyd came right out and told Congressional oversight last November an investig…</t>
  </si>
  <si>
    <t>RT @consmover: 💥Boom! Italian Woman Dives Into Gun Debate, Crushes Liberals With 13 Words💥 
#2A #2ADefenders #MAGA
#Consmover #tcot #CCOT…</t>
  </si>
  <si>
    <t>RT @SecAzar: It was great to host @IvankaTrump at #HHS today to discuss @POTUS’s Executive Order on Sports, Fitness, &amp;amp; Nutrition. We’re wor…</t>
  </si>
  <si>
    <t>RT @JDugudichi: @Mikeproudvet @BiceRodger @CookieOcean @cristiny1 @Shauntahsview @mrkcompton1 @lonewolfmmm @DaleP4656 @tronrud_linda @Libta…</t>
  </si>
  <si>
    <t>RT @Tony19542: So The Pope Does Not Believe In Hell..Than Why Did Jesus Die On The Cross..To Save Us From What?..I'm Roman Catholic Sorry..…</t>
  </si>
  <si>
    <t>Reason Given: Not interested in watching anything associated with Obamas/Rice. Goodbye Netfix https://t.co/ixsWhuAK3P</t>
  </si>
  <si>
    <t>RT @historylvrsclub: The Bangles and Leonard Nimoy, 1984 https://t.co/ekDa9Po4q7</t>
  </si>
  <si>
    <t>RT @LouDobbs: Goodbye Sessions! - @EdRollins: AG Sessions’ decision not to appoint a 2nd special counsel is a death knell. This is the end…</t>
  </si>
  <si>
    <t>RT @Trey_VonDinkis: @Park_Of_America #MAGA 
. https://t.co/Bjh0cSDaLh</t>
  </si>
  <si>
    <t>RT @Jesus_Ready_Org: FALSE PROPHET: Pope Francis entered the Blue Mosque in Istanbul Turkey, where he took off his shoes, and bowed toward…</t>
  </si>
  <si>
    <t>RT @wwwillstand: This man stands up for American people everyday and works hard for America so we need to stand up and be loud and proud fo…</t>
  </si>
  <si>
    <t>RT @ShowboatBob: #BobsTrumpTrain
@ShowboatBob
@BryanBBleak
@SpinePainBegone
@MrsESK
@mdenrn
@Brigetbardo
@stonemanatl
@003a04f8c2054b7
@Red…</t>
  </si>
  <si>
    <t>RT @TheLastRefuge2: One Day After Felony DOJ Charges Against FBI Agent for Media Leaks, Andrew McCabe Starts Legal Defense Fund… https://t.…</t>
  </si>
  <si>
    <t>RT @dcexaminer: Melania Trump makes surprise visit to Florida hospital to celebrate Easter https://t.co/xOmusNvSQa https://t.co/GlQYQ0mZBF</t>
  </si>
  <si>
    <t>RT @LouDobbs: #LDTPoll: Do you believe RINO Paul Ryan should step aside in favor of someone better able to advance the Trump Agenda?</t>
  </si>
  <si>
    <t>RT @SonofLiberty357: LMAO ⬇️⬇️⬇️
Mattis to Bolton: 
“I heard that you’re actually the devil incarnate and I wanted to meet you.” 🤣🙃
As W…</t>
  </si>
  <si>
    <t>RT @FoxBusiness: .@JessieJaneDuff on the VA: "We can unify with private care and try to find solutions for many of those that in the backlo…</t>
  </si>
  <si>
    <t>RT @OpinionatedEuro: BREAKING NEWS: Tommy Robinson just announced that on the 6th of May he will lead a march for everyone who believes in…</t>
  </si>
  <si>
    <t>RT @DailyCaller: Hillary Clinton Sports Arm Cast At Rutgers Speech https://t.co/JB0qxmMORT https://t.co/HyNYb0BoiD</t>
  </si>
  <si>
    <t>RT @hickorymtnman: It's National Vietnam War Veterans Day
We owe them for all their sacrifice and effort
Not only for all they did, but a…</t>
  </si>
  <si>
    <t>RT @CudaDebbie: Pathetic: McCabe Launches GoFundMe Seeking $150,000 For Legal Defense, 'Potential Lawsuits'...
And, who cares? If you want…</t>
  </si>
  <si>
    <t>RT @jerome_corsi: IT expert reveals the extent of the data Google has on you https://t.co/bEBBtXt7F7 WAKE UP OUT THERE  Internet social med…</t>
  </si>
  <si>
    <t>RT @seanhannity: Roseanne, It would be a honor to have you on!! Many congrats on the massive ratings. Best always Sean https://t.co/eehgntk…</t>
  </si>
  <si>
    <t>RT @Reflog_18: The crowd out in full force to see @realDonaldTrump in Richfield! 
Northeast Ohio has never seen a crowd like this before!!…</t>
  </si>
  <si>
    <t>RT @ConcealNCarryNt: If you in the firearms industry be sure to join the @linkedin group at https://t.co/CAt2Pbs76o where you can freely sh…</t>
  </si>
  <si>
    <t>RT @AnnaApp91838450: https://t.co/B4Pkp8DEba
THE SHOW WAS AWESOME REALLY ENJOYED REAL COMEDY💥NOT NASTY LEFT'S HATE JOKES ATTACKING PRESIDEN…</t>
  </si>
  <si>
    <t>RT @girl4_trump: This was an unbelievably stupid move on #Netflix part. Looks like I’m switching to #Hulu 
#SusanRice 
https://t.co/QiZ2kGy…</t>
  </si>
  <si>
    <t>RT @baalter: The Left's Agenda Exposed: Only 10% of ‘March For Our Lives’ Protesters Were Teens https://t.co/Zv5y0lvZ8n</t>
  </si>
  <si>
    <t>RT @FLOTUS: Enjoy 2018 @WhiteHouse Spring Garden Tours! 🌸          Tix are available through @NatlParkService 
https://t.co/DIQwE6CH6R http…</t>
  </si>
  <si>
    <t>RT @luluHru: #MAGA Follow Retweet Followback Reply!
#lulucaboose 
@julie1ct 
@KellsBellsSC 
@smithton_m 
@m5drummer 
@sniley74 
@luluHru 
@…</t>
  </si>
  <si>
    <t>@luluHru @DarrenCarnett @txtornado2014 Absolutely want on board. I follow back</t>
  </si>
  <si>
    <t>RT @luluHru: #lulucaboose Easter Marathon Retweet now to Reserve your spot! Likes and replies will also be monitored for passengers #MAGA o…</t>
  </si>
  <si>
    <t>RT @HouseCracka: THANKS OBAMA: Trump Gives Barry A Shoutout For Leaving So Many Judicial Seats Open https://t.co/LQwbEclfqy https://t.co/NH…</t>
  </si>
  <si>
    <t>RT @AMike4761: OK, so now I stop ordering from Wayfair and will never use Tripadvisor again for any travel plans.  When companies take poli…</t>
  </si>
  <si>
    <t>RT @FoxNews: Moments ago at his speech at the Local 18 Richfield Training Facility in Ohio, President @realDonaldTrump made clear that the…</t>
  </si>
  <si>
    <t>RT @NicOseiNews: .@PlanoPoliceDept say the suspect in a deadly shooting at the Cross Creek Apartments is still on the loose. I'll have the…</t>
  </si>
  <si>
    <t>RT @snuffaluff: This man should still be a Congressman.....It is a crying shame his district was redrawn and made it impossible for him to…</t>
  </si>
  <si>
    <t>RT @America1stMae: Read the thread &amp;amp; look at the attached articles! 
STAY INFORMED! KNOWLEDGE IS POWER!
#MAGA2018  We MUST hold the HOUSE &amp;amp;…</t>
  </si>
  <si>
    <t>RT @ChuckNASCAR: Hmmm. Il Papa Negro. ** Vatican Denies Pope Francis Said, "There Is No Hell" https://t.co/Jg6prLr16O via @PPDNews</t>
  </si>
  <si>
    <t>RT @2christian: Newly released rules meant to better screen those entering the USA, the State Depart will now require a review of tourists…</t>
  </si>
  <si>
    <t>RT @Megavolts001: POWER IN NUMBERS, PLEASE FOLLOW THESE PATRIOTS &amp;amp; RETWEET
@LaymanGeorge
@Connie4835939
@Megavolts001
@kitsap_lady
@mtkamam…</t>
  </si>
  <si>
    <t>RT @RealMAGASteve: "Hollywood Is The Place Of 'Traitors &amp;amp; Pedophilians.' This Morning I’ve Decided To Leave This Awful Place And Fight Agai…</t>
  </si>
  <si>
    <t>RT @pjbowles4: #Trumpville 
@SteveCasull
@zl93103Gilberto
@ckgirl67 
@pjbowles4 
@uspray4trump 
@whetzel_sherri 
@JC_Not_J_Christ
@DallasIr…</t>
  </si>
  <si>
    <t>RT @TheNYevening: Farmer Finds #pabloescobar ’s $600 Million Buried On His Land https://t.co/ZY0Pp9MSoz https://t.co/LdMmAjW1B1</t>
  </si>
  <si>
    <t>RT @markknoller: DefSec Mattis welcomes incoming WH National Security Advisor @AmbJohnBolton to the Pentagon for a get-acquainted meeting.…</t>
  </si>
  <si>
    <t>RT @FoxNews: Happening Now: @POTUS arrives in Ohio to deliver remarks on infrastructure. https://t.co/pmfayeckz1</t>
  </si>
  <si>
    <t>RT @JudicialWatch: Reminder: After Judicial Watch filed a FOIA lawsuit w/ the FBI, JW announced the agency had now agreed to actually go ba…</t>
  </si>
  <si>
    <t>RT @Thomas1774Paine: Big Brother: Microsoft Announces Plan To Monitor Your Xbox and Skype Accounts for ‘Offensive Language’ https://t.co/xn…</t>
  </si>
  <si>
    <t>RT @DFBHarvard: [New Followers No. 126]
@ViciousKynd
@MarkWil66882669
@Jojo5400 
@dicklawfirm
@rob845
@Helicallight21 
@TruCelt 
@t3xasgal…</t>
  </si>
  <si>
    <t>RT @IngrahamAngle: Any student should be proud of a 4.2 GPA —incl. @DavidHogg111.  On reflection, in the spirit of Holy Week, I apologize f…</t>
  </si>
  <si>
    <t>RT @JNongel: Another one bites the dust! 
Trump Broke Him: Univision's Jorge Ramos Plotting Return To Mexico (VIDEO) https://t.co/jAnj4YjG…</t>
  </si>
  <si>
    <t>RT @AbbottCampaign: The Lone Star State continues to be a premiere destination for foreign direct investment with businesses such as JSW St…</t>
  </si>
  <si>
    <t>RT @Project_Veritas: "Citron Research also cited Project Veritas’ investigation, which revealed current and former Twitter employees boasti…</t>
  </si>
  <si>
    <t>RT @sdc0911: 🚨Tip leads ICE to human smuggling 'drop house'🚨 Federal agents discovered 34 illegal aliens inside the residence. The group in…</t>
  </si>
  <si>
    <t>RT @Aramaithea: The 4th U.S. Circuit Court of Appeals ruled that the Peace Cross, a monument dedicated to local residents killed in World W…</t>
  </si>
  <si>
    <t>RT @DutyOfAPatriot: 💥ATTENTION 💥
💥LAURA INGRAHAM ADVERTISERS 💥
All I have to say is you might want to speak with Keurig prior to making an…</t>
  </si>
  <si>
    <t>RT @Education4Libs: A new bill in Kansas would make schools liable for shootings if they deny teachers the right to carry a gun on campus.…</t>
  </si>
  <si>
    <t>RT @ArabianVeritas: #Saudi-#US deals worth $400bn set to create 750,000 jobs between the two countries: https://t.co/1nm2O4HyB7 https://t.c…</t>
  </si>
  <si>
    <t>RT @HouseCracka: GOOD LORD! https://t.co/2ExRZg5dPp</t>
  </si>
  <si>
    <t>RT @DailyCaller: FACT CHECK: Are More People Killed By ‘Hammers And Fists’ Than AR-15s? https://t.co/jCCfpMHn5B https://t.co/9kmoPv8TrH</t>
  </si>
  <si>
    <t>RT @FoxNews: .@Judgenap: Mueller Just Dropped 'Biggest Hint' Yet of Trump-Russia Collusion https://t.co/ngDP4itB9w</t>
  </si>
  <si>
    <t>RT @Thomas1774Paine: Beyond Guns: Democrats Introduce Bullet Control Bill https://t.co/1mKy0UzUOL</t>
  </si>
  <si>
    <t>RT @WhiteHouse: Millions of Americans have been affected by the opioid crisis and President Trump is dedicated to fighting and ending this…</t>
  </si>
  <si>
    <t>RT @Boyd_2650: #VietnamWarVeteransDay #HonorOurMilitary #GodBlessAmerica 🇺🇸They fought; they died; they served. They served humbly with dis…</t>
  </si>
  <si>
    <t>RT @jendlouhyhc: FirstEnergy just asked Energy @SecretaryPerry for "immediate intervention" to keep its power plants online, via an emergen…</t>
  </si>
  <si>
    <t>RT @WhiteHouse: "I am asking both parties to come together to give us safe, fast, reliable, and modern infrastructure that our economy need…</t>
  </si>
  <si>
    <t>RT @Mikeproudvet: That is the only purpose of the #TrumpSuperTrain. This is not a popularity contest, It is to Unite the Vote to Help @POTU…</t>
  </si>
  <si>
    <t>RT @SebGorka: Strap in everyone.
https://t.co/Uwhdq05NtT
@SaraCarterDC</t>
  </si>
  <si>
    <t>RT @CharlieDaniels: Jerry Brown you’re sailing a sinking ship and you know that when the census reveals the REAL amount of illegals the peo…</t>
  </si>
  <si>
    <t>RT @RealMAGASteve: "The Left has continued to say 'This is Watergate’ and ‘Trump’s going to be impeached.’ They’ve continued that. Well, no…</t>
  </si>
  <si>
    <t>RT @jbirdinga: #VietnamWarVeteransDay 
Today we Honor Our Vietnam Veterans, none of Our returning Warriors faced the treatment that they di…</t>
  </si>
  <si>
    <t>RT @TexasCruzer: Find a #CruzCrew event near you and see @TedCruz!  https://t.co/KDlrJxbz5d</t>
  </si>
  <si>
    <t>RT @realmagapac: Atta boys! Keep up the good work!
#BuildTheWall #EndChainMigration #EndSanctuaryCities #EndDACA 
https://t.co/G3pz0hG4EB</t>
  </si>
  <si>
    <t>RT @IWillRedPillU: OIG Announces Review of both FBI and DOJ AND a New Investigation of Hillary Clinton Confirmed!
#ObamaGate #FISAabuse
#FB…</t>
  </si>
  <si>
    <t>RT @Thomas1774Paine: Welcome to the Worst FBI Field Office; Millions of Dollars Wasted as Agents Get tailed By Other FBI Agents &amp;amp; ‘Trouble…</t>
  </si>
  <si>
    <t>RT @tracybeanz: I have a big one working... An hour or so. Stay tuned...</t>
  </si>
  <si>
    <t>RT @HistoryInPix: Sunday afternoon at Woodstock, 1969. https://t.co/a5XVfTlZfv</t>
  </si>
  <si>
    <t>RT @dlccld1: @SenFeinstein Senator, would you please explain to us regular people, the deplorables, why it's a bad idea to ask that questio…</t>
  </si>
  <si>
    <t>RT @larryelder: Trey Parker &amp;amp; Matt Stone of @SouthPark asked me to introduce them when they received a "freedom" award from Norman Lear's o…</t>
  </si>
  <si>
    <t>RT @KatTheHammer1: PLEASE RETWEET:
In the midst of all Russia collusion illusion a HERO has emerged! 
They tried to shut him down with no…</t>
  </si>
  <si>
    <t>RT @DFBHarvard: [New Followers No. 123]
@averageUSgirl 
@pazzmzee 
@christy12543971
@DeuceSr14848214
@ValoryWaligoski
@aaronsgaff 
@nevada…</t>
  </si>
  <si>
    <t>RT @DallasIrey: #Trumpville
@JNongel 
@suprdupe 
@Barnett20Todd 
@enlighten2Q 
@June_303 
@BlakesRonald 
@DallasIrey 
@outintheboonie1 
@Cr…</t>
  </si>
  <si>
    <t>RT @chuckwoolery: DNC Chair Tom Perez Accidentally Admits Illegal Immigrants Vote (VIDEO) https://t.co/m57ECP2XlJ</t>
  </si>
  <si>
    <t>RT @Austin2018Rose: Holy Thursday is the day which commemorates the Last Supper of Jesus, on the night of his betrayal. https://t.co/DenE6L…</t>
  </si>
  <si>
    <t>RT @DjLots3: YUGE FBI COVER UP!
"MATERIAL" redactions 
Translation: FBI redacted things like Strzok contacting his friend, a FISA judge!…</t>
  </si>
  <si>
    <t>RT @charliekirk11: Socialism has been tried 100 times over the last 100 years 
The results are abundantly clear: socialism destroys civili…</t>
  </si>
  <si>
    <t>RT @markknoller: DefSec Mattis to meet for first time this afternoon with incoming National Security Advisor @AmbJohnBolton. "I look forwar…</t>
  </si>
  <si>
    <t>RT @RubyRockstar333: @CNN has revealed that they’re willing to pour vast resources toward tracking down Internet voices they deem offensive…</t>
  </si>
  <si>
    <t>RT @Lost_Literati: Turn Up The Volume 9
Amplify our voices!
Follow all and Retweet please!
@travtitus
@Megavolts001
@jgalt16
@Lilsunshine…</t>
  </si>
  <si>
    <t>RT @FoxNews: #NationalVietnamWarVeteransDay: On this day in 1973, the last U.S. troops departed South Vietnam, ending nearly 10 years of U.…</t>
  </si>
  <si>
    <t>RT @marcorubio: I would add also that we are not providing a classical education that teaches how the roots of our nation &amp;amp; our republic ar…</t>
  </si>
  <si>
    <t>RT @RedNationRising: Was this Intel Contractor Paid Almost $1 Million by the Feds to Help Frame Trump? https://t.co/Lx5wHzZa0r</t>
  </si>
  <si>
    <t>RT @Lost_Literati: Turn Up The Volume 8
Amplify our voices!
Follow all and Retweet please!
@KAG_4life
@terry_mcnemar
@MelbaHigbee
@Rhonj8…</t>
  </si>
  <si>
    <t>RT @newtgingrich: The lowest unemployment application since 1973 understates achievement-only 211 million Americans in 1973–326 million now…</t>
  </si>
  <si>
    <t>RT @CharlieDaniels: I wonder how far you’d get if you walked across the border to Mexico, told them you’re going to stay, to be on their so…</t>
  </si>
  <si>
    <t>RT @PoliticalShort: Sessions himself has exclusive authority to appoint a special counsel for “non-collusion charges” &amp;amp; should make that cl…</t>
  </si>
  <si>
    <t>RT @alozras411: .@deneenborelli on West Virginia approving work requirement for food stamps: "The overall goal is to move individuals to be…</t>
  </si>
  <si>
    <t>RT @AccurateFA: To all Vietnam Veterans! Those that returned and those that still need to find their way home. I thank you from the deepest…</t>
  </si>
  <si>
    <t>RT @Harlan: The Dems say you’re a victim, that your fate is predetermined by the color of your skin, your gender, what your parents did, et…</t>
  </si>
  <si>
    <t>@The2ndA @LarryCampos1950 Interested in learning more</t>
  </si>
  <si>
    <t>RT @OnslowPIO: Honoring #VietnamWarVeteransDay in #Onslow County.  This video shows the pride, patriotism and respect Onslow County has for…</t>
  </si>
  <si>
    <t>RT @dcexaminer: Trump bans use of taxpayer funds for oil paintings of federal officials https://t.co/GmJoezJnWB https://t.co/tVg0vBo8Pk</t>
  </si>
  <si>
    <t>RT @DineshDSouza: The Gipper gets it right on guns. Watch President Reagan tear apart the Left's argument for gun control in two minutes 👇…</t>
  </si>
  <si>
    <t>RT @LisaMei62: Burn! https://t.co/LSEHcbHeRh</t>
  </si>
  <si>
    <t>RT @JackPosobiec: Media headlines completely omit Ronny Jackson is a 2-star Admiral. Disgraceful https://t.co/xls2GDuAPY</t>
  </si>
  <si>
    <t>RT @USAloveGOD: #TommyRobinson permanently banned by Twitter
Did ya ever think he just wanted to point out the facts about #Radicalislamic…</t>
  </si>
  <si>
    <t>RT @SusanStormXO: #Retweet A lot 
Holy Smokes - 
HOW QUICK THE TIDE CHANGES 
😮 HYPOCRITE CITY 
No wonder they are hiding this &amp;amp; removing…</t>
  </si>
  <si>
    <t>RT @RealTT2020: #HRCVideo
https://t.co/lC2VpfRFzX</t>
  </si>
  <si>
    <t>RT @The_Trump_Train: BREAKING: North and South Korea agree to leaders' summit on April 27 that will be only the third-ever such meeting.
R…</t>
  </si>
  <si>
    <t>RT @JLPtalk: Jesse Lee Peterson​ EXPOSES "THE CHILDREN OF THE LIE" (#MarchForOurLives). Full video will be posted MON, April 2nd Watch full…</t>
  </si>
  <si>
    <t>RT @foxandfriends: Customers threaten to cancel their Netflix subscriptions after former UN Ambassador Susan Rice is named to its board htt…</t>
  </si>
  <si>
    <t>RT @LisaMei62: And here comes @EricTrump with a great response! https://t.co/2CViixv014</t>
  </si>
  <si>
    <t>RT @PaulLee85: So basically, since the California law says "you can't communicate with the feds" they are making it all public record! Also…</t>
  </si>
  <si>
    <t>RT @88JWR88: This is Yuge news. https://t.co/iV0roEDErt</t>
  </si>
  <si>
    <t>RT @LouDobbs: Group Takes Out Full-Page Ad In Paper Against Awarding Defense Dept. Contract To Trump 'Enemy' Jeff Bezos https://t.co/zJawxj…</t>
  </si>
  <si>
    <t>RT @AnthemRespect: 🇺🇸🇺🇸🇺🇸🇺🇸🇺🇸🇺🇸🇺🇸🇺🇸🇺🇸🇺🇸🇺🇸🇺🇸
👊AND WE STAND WITH YOU👊 
Thank You @realDonaldTrump For Looking Out For Us Citizens, Our Safet…</t>
  </si>
  <si>
    <t>RT @ShowboatBob: #BobsTrumpTrain
@ShowboatBob
@some1elsesmom2
@newcastlenana2
@nomonikerplease
@vermillion_anna
@Bellanme2
@gd49er
@wmmtver…</t>
  </si>
  <si>
    <t>RT @DallasIrey: #Trumpville
@JackCarsrud 
@alaphiah 
@V22_USMC
@Cowboy091455 
@MBthechooser 
@L1120Harold 
@wolfeatworld 
@BrenowitzS
@GenF…</t>
  </si>
  <si>
    <t>RT @anonymouse4537: 🇺🇸🇺🇸... Hey Patriots, Let's help 'em get over 5,000 Followers Today... Pass it on‼️
#MAGA https://t.co/qHjb5rsP45</t>
  </si>
  <si>
    <t>RT @realDonaldTrump: THE SECOND AMENDMENT WILL NEVER BE REPEALED! As much as Democrats would like to see this happen, and despite the words…</t>
  </si>
  <si>
    <t>RT @realDonaldTrump: Great briefing this afternoon on the start of our Southern Border WALL! https://t.co/pmCNoxxlkH</t>
  </si>
  <si>
    <t>RT @B75434425: https://t.co/x6QiN7h2Fq</t>
  </si>
  <si>
    <t>RT @wikileaks: Claims made by Ecuador's public affairs office that @wikileaks editor @julianassange, arguably the world's best known free s…</t>
  </si>
  <si>
    <t>RT @Lost_Literati: Turn up the Volume 5
Follow these patriots and Retweet please!
@GaitaudCons
@chrismanack
@Rogue20177
@JohnMcGeever70
@…</t>
  </si>
  <si>
    <t>RT @MikeTokes: BREAKING: Rod Rosenstein has officially been served a subpoena to appear and produce documents to the Committee of the Judic…</t>
  </si>
  <si>
    <t>RT @ShowboatBob: #BobsTrumpTrain
@ShowboatBob
@LindaLouJones13
@MAGATammy
@TexFrednaLady
@WeStand4U_llc
@carolallen98
@AmberWeigh
@JeffCox0…</t>
  </si>
  <si>
    <t>RT @John_KissMyBot: West Virginia Will Now Require Food Stamp Recipients TO GO TO WORK 👍
Applies to people ages 18 to 49 who aren’t pregna…</t>
  </si>
  <si>
    <t>RT @Surabees: WSJ Editorial Board nails it on Dem obstruction of Trump nominees:
"If Democrats want to insist on 30 hours of debate, then…</t>
  </si>
  <si>
    <t>RT @RealMAGASteve: Mark Meuser Republican candidate for Secretary of State in California talks to Cheryl an election volunteer.
Cheryl tel…</t>
  </si>
  <si>
    <t>RT @Trumpism_45: George Herbert Walker Bush on The Deep State.
#DrainTheDeepState https://t.co/DRiws7cZk0</t>
  </si>
  <si>
    <t>RT @Wildmanwings: Follow these Patriots 
@cs0058sc @vbrookdebbie @JNongel @Jayne720 @Alisand3 @dtannie @LauraByTheSea58  @ChateauFleury @Su…</t>
  </si>
  <si>
    <t>RT @Dawn_DeMore1: Listen Up Patriots! 🇺🇸
We Must Stay Strong!💪
Most IMPORTANTLY, We MUST Stay UNITED! 🗽
@realDonaldTrump 
We Pray Streng…</t>
  </si>
  <si>
    <t>RT @KamVTV: Congrats Caroline on your new position at the White House as press assistant!!! https://t.co/5l7TmR4ydi</t>
  </si>
  <si>
    <t>RT @DallasIrey: #Trumpville
@Maga_ComeAsYouR 
@basemann7
@mbradt27
@PLawJr
@SeldenGADawgs
@DallasIrey
@vachilly64
@ALLVETSADVOCATE 
@Patrio…</t>
  </si>
  <si>
    <t>RT @Lost_Literati: Turn Up The Volume 6
Amplify Our Voices!
@Pammybarrett
@1Romans58
@yogagenie
@stacyxfive
@txmoni7_lopez
@LibsRCancer
@…</t>
  </si>
  <si>
    <t>RT @FoxNews: .@DevinNunes: “The Left has continued to say that ‘This is Watergate’ and ‘#Trump’s going to be impeached.’ They’ve continued…</t>
  </si>
  <si>
    <t>RT @mixedopinionss: Just going to put this here. Remind everyone to have fun and support trump. Also best dance moves ever
https://t.co/GLZ…</t>
  </si>
  <si>
    <t>RT @DonaldJTrumpJr: You mean ADMIRAL Ronny Jackson who BTW was also Obama’s doctor? Just so we are clear and eliminate any of what your con…</t>
  </si>
  <si>
    <t>RT @CONNORFORTRUMP: PAGE 9
@AngelLight2U
@Angelluisr
@AngelMonrow1
@AngeloRayGomez
@AnicWade
@AnnaApp91838450
@AnnaBD20
@AnnCoulter
@AnneB…</t>
  </si>
  <si>
    <t>RT @JewhadiTM: Mystery surrounds Texas man arrested for weapons stockpile, claims he was on ‘classified’ government mission https://t.co/07…</t>
  </si>
  <si>
    <t>RT @mitchellvii: PLEASE RETWEET! 
Hey #TrumpTrain, Brenden Dilley, YourVoice™ America Co-Host extraordinaire has a NEW TWITTER FEED (his p…</t>
  </si>
  <si>
    <t>RT @DavidWaddell5: Facebook Loses $70 Billion in Market Value over Last 10 Days | Breitbart https://t.co/CM4K3a7Q3S</t>
  </si>
  <si>
    <t>RT @FoxNews: Person arrested in connection to suspicious packages found at DC-area military bases https://t.co/DBrp0Jc5MU</t>
  </si>
  <si>
    <t>RT @FBIWFO: #BREAKING: #FBI releases statement on suspicious package investigation: https://t.co/bxsXtp1aBU</t>
  </si>
  <si>
    <t>RT @DFBHarvard: What a great day for Cartooning!
Unquestionably, this airhead is nothing more that the hot air the Left pumps into to him.…</t>
  </si>
  <si>
    <t>RT @kelliwardaz: Should a question about #citizenship be included on the 2020 #census? 
Comment with your reason why or why not - thanks!…</t>
  </si>
  <si>
    <t>RT @jazz1294u: Mural honoring slain Dallas police officers taken down by city due to code violations https://t.co/yOJT7cL1dC via @AaronSCol…</t>
  </si>
  <si>
    <t>RT @NRATV: “My training &amp;amp; my legally owned handgun stopped that individual from killing my family...How do you consider me to be a terroris…</t>
  </si>
  <si>
    <t>RT @GartrellLinda: Klayman: Stephen Paddock of LV Massacre Was Also Likely FBI Informant Given Apparent Cover-Up! 
NOTHING ever made sense…</t>
  </si>
  <si>
    <t>RT @DavidJHarrisJr: This is amazing!!! The media has been promoting lies about the spending bill. Here’s the truth! Thank you @realdonaldtr…</t>
  </si>
  <si>
    <t>RT @lukerosiak: Al Sharpton's brother charged in shooting murder one day after he participated in anti-guns march
https://t.co/5CSDGZJPEF</t>
  </si>
  <si>
    <t>RT @pennysmagic1: Please SHARE if you want to keep our #2ndAmendment #2ndAmendmentRights #ConstionalistConservative #NRA #TrumpTrain #WeThe…</t>
  </si>
  <si>
    <t>RT @1776Stonewall: Hey, Joe Biden, remember when you were running for President in 1987, and even the NY Times pointed out the fact that yo…</t>
  </si>
  <si>
    <t>RT @DFBHarvard: Have you tried to talk to anyone on the Left about anything on the Left?
It all looks just like this! 
In your face shout…</t>
  </si>
  <si>
    <t>RT @Pink_About_it: Liberals:
Saturday:
We dont want to take your guns, just common sense Laws
Monday:
Okay we want to ban most guns 
Tu…</t>
  </si>
  <si>
    <t>RT @APSouthRegion: Pensacola International Airport suspends all flights, detains three South Korean passengers and calls in a bomb squad ov…</t>
  </si>
  <si>
    <t>RT @Jamierodr10: Mark Zuckerberg denies request to appear before U.K. Parliament regarding data usage. Selling Data of its users to adverti…</t>
  </si>
  <si>
    <t>RT @Mikeproudvet: #TrumpSuperTrain @Mikeproudvet
Car #171
@ls7jones
@benlolorita
@lvmypug
@PARADEDRIVER
@delila_hall
@mike03car
@therealdon…</t>
  </si>
  <si>
    <t>RT @historylvrsclub: Lincoln Memorial being installed,1922. https://t.co/SEhSeAIwCZ</t>
  </si>
  <si>
    <t>RT @anchor_soul: @rejialex7 @vonna_husby This is why they are coming against @realDonaldTrump w/ everything they have.  He vetoed One World…</t>
  </si>
  <si>
    <t>RT @KryptoniteDragn: Car 38
  @Libertydeath76
  @Craftingqueen1
  @nid_tuk
  @pamela12931446
  @John_T_Nessler
  @gregreed59
  @JustfreeJoo…</t>
  </si>
  <si>
    <t>RT @GartrellLinda: Here's Another Historic, Big Victory for President Trump
Commerce Department Puts US Citizenship Question Back on the 20…</t>
  </si>
  <si>
    <t>RT @AlBoeNEWS: #BREAKING: No charges in 2016 police shooting of Alton Sterling READ MORE: https://t.co/wqqc7d6RpW</t>
  </si>
  <si>
    <t>RT @SheriffClarke: The problem with THIS GOP Congress is that there are too many MILQUETOAST  ESTABLISHMENT Republicans who have no core co…</t>
  </si>
  <si>
    <t>RT @WhiteHouse: Last week, President Trump announced a bold policy agenda to combat the opioid crisis on three fronts: prevention and educa…</t>
  </si>
  <si>
    <t>RT @jdolan2020: The only way to get President Trump more help in Washington is primary out the RINOs State by State‼️ https://t.co/wVtdl5Ob…</t>
  </si>
  <si>
    <t>RT @IWillRedPillU: Trust President Trump: He's Standing Tall Against China just as he Promised and Campaigned On
#Tariffs #AmericaFirst #Ch…</t>
  </si>
  <si>
    <t>RT @prayingmedic: Define Threat.
Panic Mode
#Qanon
https://t.co/PJvEcSilS1</t>
  </si>
  <si>
    <t>RT @jerome_corsi: Here is the story: Dinner held Feb. 18, 2011 at home of Kleiner Perkins partner John Doerr’s home in SillyValley - They a…</t>
  </si>
  <si>
    <t>RT @historylvrsclub: Greatest Photobomb EVER https://t.co/gTfVRL7dpL</t>
  </si>
  <si>
    <t>RT @starsandstripes: Speaker Paul Ryan has tried to bat down speculation about whether he wants another term as House speaker if Republican…</t>
  </si>
  <si>
    <t>RT @tedcruz: YOU'RE INVITED: Join us at @TheRedneckCC on Monday, April 2 for our 2018 Campaign Kickoff with the Josh Fuller Band!
Attendan…</t>
  </si>
  <si>
    <t>RT @almostjingo: Seddique Mir Mateen was also the President of the Florida chapter of American Muslim Association, and he visited the State…</t>
  </si>
  <si>
    <t>@KurtSchlichter I vote block. Spend your time on sonething worthy</t>
  </si>
  <si>
    <t>RT @WiredSources: BREAKING: Commerce Dept. adds question on citizenship status to 2020 census, delivering major blow to Democrats - Buzz Fe…</t>
  </si>
  <si>
    <t>RT @RedNationRising: Calling EVERY #CHRISTIAN To Stand Up In Prayer For President Trump. Lord we Thank You for Trump. Protect him, give him…</t>
  </si>
  <si>
    <t>RT @ShowboatBob: @ShowboatBob
@JamesBr68146064
@ljl_lorentz
@mlhcromwell16
@rmack2x
@kyleespikes
@leslieau7
@HBronnenberg2
@RedRiverReport…</t>
  </si>
  <si>
    <t>RT @RepDeSantis: Casey and I are blessed to welcome our son Mason Joseph DeSantis. 8lbs, 4oz and very strong!  Both baby and mom are doing…</t>
  </si>
  <si>
    <t>RT @pastormarkburns: Pastor Mark Burns speaking at North Area Precinct Meeting https://t.co/AJCasF5RUE</t>
  </si>
  <si>
    <t>RT @TheNYevening: Declassified Emails Reveal NATO Killed #Gaddafi To Stop #Libyan Creation Of Gold-Backed Currency https://t.co/jwV9c8ZYZO…</t>
  </si>
  <si>
    <t>RT @realDonaldTrump: Trade talks going on with numerous countries that, for many years, have not treated the United States fairly. In the e…</t>
  </si>
  <si>
    <t>RT @magahorsefarms: @GOP @SenateGOP @HouseGOP @HouseDemocrats @SenateDems @SpeakerRyan @SenateMajLdr #LineItemVeto https://t.co/NkTfNVXruM</t>
  </si>
  <si>
    <t>RT @PressSec: Statement on Expulsion of Russian intelligence officers. https://t.co/4uCzMOMG3f</t>
  </si>
  <si>
    <t>RT @Cookiemuffen: Italy Votes in Populist Leaders for Two Houses of Parliament https://t.co/zy88PSbrci</t>
  </si>
  <si>
    <t>RT @SecretaryPerry: Had a great all hands discussion with scientists, researchers, and innovators from the @Livermore_Lab and @SandiaLabs o…</t>
  </si>
  <si>
    <t>RT @RepDeSantis: Wish @POTUS had vetoed the omnibus but he's right that we need to institute a line-item veto as a way to curb wasteful spe…</t>
  </si>
  <si>
    <t>RT @SonofLiberty357: 🚨🚨🚨 BOOM! US Steel Company JSW Announces $1 Billion Expansion and 500 New Jobs (Video) #MAGA  https://t.co/MtKBil8uIn</t>
  </si>
  <si>
    <t>RT @CHIZMAGA: I’m just trying to use the restroom, does anyone know what this means? Am I allowed in? 🤷🏼‍♂️ https://t.co/kUQy7vfVBR</t>
  </si>
  <si>
    <t>RT @BillOReilly: Tip of the Day: on Saturday, NBC reported that 800,000 protestors attended the anti-gun violence rally in DC. It turns out…</t>
  </si>
  <si>
    <t>RT @RealSaavedra: #BREAKING: Rep. Mark Amodei says that Paul Ryan may resign as U.S. House speaker, Scalise will replace him</t>
  </si>
  <si>
    <t>RT @1776Stonewall: Paul Ryan heading for the exit? Whispers of him hanging it up, within the next 60 days  - Steve Scalise to take over as…</t>
  </si>
  <si>
    <t>RT @GregWest_HALOJM: Fox News poll: Dems' lead on generic ballot shrinks to 5 points. Democrats have no message other than hatred of Trump…</t>
  </si>
  <si>
    <t>RT @silverado6060: Sad to hear about this, must be total mismanagement for this to happen.
Hopefully they come out of this.
Gun maker Remi…</t>
  </si>
  <si>
    <t>RT @Circa: Teen claims her parents abused her with hot oil and broomsticks for refusing an arranged marriage. https://t.co/KImYyiCn0Z</t>
  </si>
  <si>
    <t>RT @stillgray: Omar Mateen’s dad was an FBI informant. But let’s keep talking about Stormy Daniels.</t>
  </si>
  <si>
    <t>RT @RedNationRising: WALL construction has started! #PromiseKept https://t.co/jlYGIuxQ36</t>
  </si>
  <si>
    <t>RT @ChuckNASCAR: CBS News Bombshell: Marjory Douglas Student Leader Wasn't at School on Day of the Mass Shooting (VIDEO) https://t.co/NTfpI…</t>
  </si>
  <si>
    <t>RT @mitchellvii: So now the stock market believes there WON'T be a #TradeWar with China?
Democrats behind closed doors: "How the hell does…</t>
  </si>
  <si>
    <t>RT @PIRATEDANTRAIN: Club Car 1
@Patriotic_Va
@Paul59Myhre
@DavidLynnHawki4
@roddyvfl
@1susues
@1DeplorableGirl
@WelllDoYou
@LandenSmith11…</t>
  </si>
  <si>
    <t>RT @Golfinggary5221: Trust #POTUS Standing Tall Against #China! #China backing down- it knows it would lose trade war! Its economy very uns…</t>
  </si>
  <si>
    <t>RT @ZeenabBaloch: US adds seven Pakistani companies to export control list.
Lol terror state of #Pakistan
@LisaTomain
@bdclq
@RedPilledin…</t>
  </si>
  <si>
    <t>RT @KRoadhog: DHS hires new cybsersecurity adviser ahead of 2018 midterm elections https://t.co/Ka5UrPUZTp</t>
  </si>
  <si>
    <t>RT @5Strat: 1) Let's talk about what the President can and can't do for this Omnibus Bill. There's a lot of discussion both ways so let's e…</t>
  </si>
  <si>
    <t>RT @BillOReilly: So much for the porn performer on “60 Minutes” who’s story doesn’t stack.  She says she didn’t want money to attack Donald…</t>
  </si>
  <si>
    <t>RT @ShowboatBob: @ShowboatBob
@Elizabe45314738
@CMaschera
@LaudunMarie
@Lindama40887051
@MargereyC
@Dmacleod59
@elliss2sue
@lightonterra
@R…</t>
  </si>
  <si>
    <t>RT @NewportLost: June 2016 @comey said a witness told the FBI that Pulse Night Club shooter Omar Mateen was once a concern because he menti…</t>
  </si>
  <si>
    <t>RT @seanhannity: This is not complicated to figure out. It’s not hard; it’s very basic, it’s very simple, it’s very fundamental and it’s be…</t>
  </si>
  <si>
    <t>RT @Thomas1774Paine: Where are the props in the media for True Pundit? CRICKETS. We wrote this 2 years ago. Still think Omar wasn't FBI?  -…</t>
  </si>
  <si>
    <t>RT @AlBoeNEWS: #BREAKING: Emergency crews rushing to Coast Guard base in Seattle https://t.co/a4MSAXEzXN</t>
  </si>
  <si>
    <t>RT @TruthMatters13: 5 "I believe it is the nature of people to be heroes, given the chance." James A. Autry #Military
@wastroud
@Bambam5326…</t>
  </si>
  <si>
    <t>RT @drawandstrike: @ThomasWictor Ann Coulter on Friday: https://t.co/yL6dSVnJU0</t>
  </si>
  <si>
    <t>RT @drawandstrike: Ann Coulter on Monday: https://t.co/OobU4mkDMn</t>
  </si>
  <si>
    <t>RT @TheSilentLOUD: THE TWIST -pt 1
President has to drain his own back yard to unite GOP but voters unaware who RINOs are
How to EXPOSE t…</t>
  </si>
  <si>
    <t>RT @JudicialWatch: Reports emerged that the father of Orlando shooter Omar Mateen was an FBI asset. It’s worth recalling that JW uncovered…</t>
  </si>
  <si>
    <t>RT @FreedomWorks: Tired of drug makers keeping your prescription costs artificially high? Tell Congress to #PassCREATES and make them follo…</t>
  </si>
  <si>
    <t>RT @JacobAWohl: Why China Will Lose a Trade War With Trump https://t.co/HejPRYCHAD</t>
  </si>
  <si>
    <t>RT @RexTillersom: Omar Matteen was Pulse Night Club shooter in Orlando
Omar's father supports Taliban
Omar's father said, "I'm sorry Omar…</t>
  </si>
  <si>
    <t>RT @pollsofpolitics: How has #Congress performed over the last year??
Vote and retweet to spread poll!!  #TheResistance #Trump #resist #MA…</t>
  </si>
  <si>
    <t>RT @lukerosiak: FBI was tailing Imran Awan+wife because they were suspected of hacking Congress. Watched them wire 100s of thousands to Pak…</t>
  </si>
  <si>
    <t>RT @RedNationRising: HUNGARY’S PRIME MINISTER Follows Through On Promise To Build Border Wall…Hungary has slashed illegal immigration by ov…</t>
  </si>
  <si>
    <t>RT @StandingDarrell: 🇺🇸 #ICYMI: WATCH: Actors Audition By Cold Reading Pro-Gun Stats On Camera 🎥🇺🇸
This is a fascinating read and video ~…</t>
  </si>
  <si>
    <t>@EjHirschberger @Mikeproudvet @KatrinaLeger1 @VirginiaStark0 @DeepStExposer @KingDrue17 @DreamWeaver61 @MaxSkyler1 @TNHORSEFARMS @stoughton_sam @graca5683 @ambl54 @puhlio1 @Sandeegal @Reederschloss @pay_triot @SusanM2468 @USACrusader71 @EliCal6 Following all</t>
  </si>
  <si>
    <t>RT @EjHirschberger: #TrumpSuperTrain @Mikeproudvet
Car #146
@KatrinaLeger1
@VirginiaStark0
@DeepStExposer
@KingDrue17
@DreamWeaver61
@MaxSk…</t>
  </si>
  <si>
    <t>RT @srichey9941: Trump is right again. I'm sure you won't hear this on CNN... https://t.co/rx6wWueFO0</t>
  </si>
  <si>
    <t>RT @RealSaavedra: #BREAKING: The Dow surged 669 points — its third-biggest point gain in history — in a sharp reversal after the stock mark…</t>
  </si>
  <si>
    <t>RT @RealMAGASteve: As Brennan's coup &amp;amp; plot to destroy Trump backfires, his anger for him gets louder.
Brennan quotes Russian Revolutionar…</t>
  </si>
  <si>
    <t>RT @bbusa617: "Comey &amp;amp; Muller Knew About Pulse Massacre" https://t.co/WvcgdCtB47
FBI UNDER COMEY AND MUELLER KNEW ABOUT PULSE MASSACRE Fat…</t>
  </si>
  <si>
    <t>RT @ericbolling: Thank you Lori and all great friends here. For 12 years, I have represented us, as a group, on many platforms. The next st…</t>
  </si>
  <si>
    <t>RT @mitchellvii: COULDN'T HAVE HAPPENED TO A NICER BUNCH OF #FASCISTS - FTC Announces Facebook Investigation Citing 'Substantial Concerns'…</t>
  </si>
  <si>
    <t>RT @HannibalBarca65: If you accept that the government can set a minimum wage, they can set a maximum also. https://t.co/2HXKb9QsEW</t>
  </si>
  <si>
    <t>RT @KatrinaPierson: $100B and sinking! All because the DNC &amp;amp; Hillary Clinton want YOU to believe that Russia colluded with @TeamTrump. THAN…</t>
  </si>
  <si>
    <t>RT @TheLastRefuge2: Now that it is revealed the Mateen family was engaged with the FBI prior to the Pulse Nightclub shooting, perhaps it is…</t>
  </si>
  <si>
    <t>RT @PollackHunter: Thank you @realDonaldTrump for opening the Whitehouse to my family with open arms . Was great talking about my sisters b…</t>
  </si>
  <si>
    <t>RT @hickorymtnman: You can't buy a modern "weapon of war"
The AR15 is not a M4
You can argue that they're functionally the same
You're r…</t>
  </si>
  <si>
    <t>RT @VP: Great to talk with @AmbJohnBolton at the @WhiteHouse today. He brings extraordinary experience to our team &amp;amp; I look forward to work…</t>
  </si>
  <si>
    <t>RT @LarryM4Utah: Retweet if you are sick and tired of politicians like Mitt Romney running for office. I am a true conservative who will be…</t>
  </si>
  <si>
    <t>RT @bbusa617: TRASHED! ANTI-GUN CROWD Leaves Streets of D.C. In Pure Garbage https://t.co/ZYPStD8Wqp
LEFTISTS BEING TRASHY ALWAYS COMPLETE…</t>
  </si>
  <si>
    <t>RT @1776Stonewall: Would you like to know why the stock market is up almost 700 points today? Remember it was down so much last week? They…</t>
  </si>
  <si>
    <t>RT @RedStormIsHERE: #MondayMotivation 
#ShallNotBeInfringed 
#Support2a
#2aDefenders https://t.co/jVVR2YWrxz</t>
  </si>
  <si>
    <t>RT @OliverMcGee: Hunter Pollack, who lost his sister, Meadow, at Parkland, Florida School Shooting, wasn’t allowed to speak to 800K folks a…</t>
  </si>
  <si>
    <t>RT @RealEagleWings: “‘In God We Trust’ is a guiding principal for our nation” -TN State Rep. Susan Lynn on newly-passed bill that requires…</t>
  </si>
  <si>
    <t>RT @jerome_corsi: READERS SHARING PHOTOS  https://t.co/pVCompw9uz        KILLING THE DEEP STATE: THE FIGHT TO SAVE PRESIDENT TRUMP - Best S…</t>
  </si>
  <si>
    <t>RT @johncardillo: Let's be clear. 
The dad of the Orlando Muslim terrorist who killed 50 people was on #Mueller and @Comey's FBI payroll,…</t>
  </si>
  <si>
    <t>RT @PrisonPlanet: Serious gun control restrictions have virtually no chance of passing.
The #MarchForOurLives was a giant recruitment driv…</t>
  </si>
  <si>
    <t>@LaunaSallai Jumping on!</t>
  </si>
  <si>
    <t>RT @LaunaSallai: CRAZY..This TRAIN, got bigger than I thought It was. WE HAVE SOME AWESOME people on here! I will add some carts, but we mi…</t>
  </si>
  <si>
    <t>RT @1GigiSims: Only a hand full of people created Omnibus in secret. No one else saw it. Not your Rep House or Senators.
Levin:  How do we…</t>
  </si>
  <si>
    <t>RT @PersistenceTee: Rush Limbaugh and the EIB Network:  Didn't think that one through.  Probably fair to say she's not the sharpest tool in…</t>
  </si>
  <si>
    <t>RT @RandyWeaver19: Follow these Patriots and RT!
#MAGA
@realDonaldTrump
@Mikeproudvet
@mccormack2180
@papamc01
@RedBirdRight
@SunshineLK10…</t>
  </si>
  <si>
    <t>RT @AmerPatriot1: Deeper into Christ: The Beatitudes https://t.co/LCaTSBEYJj</t>
  </si>
  <si>
    <t>RT @TomCottonAR: SGT Jeff Dickerson, lays roses at the Tomb following his final guard duty https://t.co/MSZHvLpzxY</t>
  </si>
  <si>
    <t>RT @ScottPresler: Eyes On The Prize
If Election Day were today, Republicans would flip these seats:
D➡️R (Indiana)
D➡️R (Missouri)
D➡️R (M…</t>
  </si>
  <si>
    <t>RT @bud_cann: @skypilot18
@lorraJBaccili
@USAFMED21
@HoosierTrumper
@BobHarr1944
@1toottweet
@Shabeau2
@coleen54398058
@silverado6060
@davi…</t>
  </si>
  <si>
    <t>RT @my2006bmw: 60 Russian diplomats have one week to leave our country! Russian consultant will be closed ! #Trump https://t.co/CwU7mI2PFS</t>
  </si>
  <si>
    <t>RT @1mcintosh: 7️⃣ Follow, Follow back &amp;amp; RETWEET
@liquidlaugh
@LisaTomain
@LivezJourney
@LMCastle1
@lmchristi1
@luvmytude
@marcrreynolds…</t>
  </si>
  <si>
    <t>RT @KamVTV: Rapper Who Performed At 'March For Our Lives' Was Arrested Last Year For Carrying A Concealed Weapon
 https://t.co/pgyr73zcT3</t>
  </si>
  <si>
    <t>RT @ALWAYSAPATRIOT2: OK AMERICA are you ready to take back our country? Please check out the Convention of States. #COSProject #PJNET https…</t>
  </si>
  <si>
    <t>RT @2christian: Dems don’t want to deal w/the @POTUS on this b/c they want to use it as a wedge issue going into the 2018 midterms,Dems aba…</t>
  </si>
  <si>
    <t>RT @DeplorableNews: Things are taking an ugly turn. https://t.co/M34KsWsW1e</t>
  </si>
  <si>
    <t>RT @DFBHarvard: [New Followers No. 51]
@kincaid_jc 
@AlvaLyke
@deena_ann1
@KennethDover7
@phillyLFC8
@tdplute
@seywerd137 
@brunosavage21…</t>
  </si>
  <si>
    <t>RT @MAGANinaJo: We are counting on Alabama conservatives to get out and vote tomorrow❗️
🇺🇸REX REYNOLDS, AL House District 21🇺🇸
💥34 yrs wo…</t>
  </si>
  <si>
    <t>RT @EjHirschberger: Get on Board, this will be the Biggest #TrumpTrain EVER
Car #1
#TRUMPSUPERTRAIN
@Mikeproudvet train conductor
@kctaylor…</t>
  </si>
  <si>
    <t>RT @nikkihaley: I missed this little guy! #SweetReturn #BackToNYC https://t.co/xbgWwazRkP</t>
  </si>
  <si>
    <t>RT @seanhannity: https://t.co/WSPJNSmPCo</t>
  </si>
  <si>
    <t>RT @ScottPresler: Here are the #s to @SenateMajLdr's offices:
(502) 582-6304
(859) 224-8286
(859) 578-0188
(606) 864-2026
(270) 781-1673
(…</t>
  </si>
  <si>
    <t>RT @GartrellLinda: #TrumpArmy remember that UNITED WE STAND, DIVIDED WE FALL
Patrick Henry's words still ring true.
"Let us not split into…</t>
  </si>
  <si>
    <t>RT @GrrrGraphics: The new #BenGarrison #cartoon for today "Just between you and me.." and #NSA #CIA #FBI
#Facebook #Google #Social Media #Z…</t>
  </si>
  <si>
    <t>RT @ChangeNow911: Michael Cohen's lawyer sends Stormy Daniels cease and desist letter after '60 Minutes' interview https://t.co/TCHQPPWo5g…</t>
  </si>
  <si>
    <t>RT @LucindaRowe1: This is a well researched thread about the #omnibusbill and #BuildThatWall. Take a minute to read it and give @ThomasWict…</t>
  </si>
  <si>
    <t>RT @FoxNews: Moments ago, President @realDonaldTrump tweeted about the economy. https://t.co/Aj5sSKyESX</t>
  </si>
  <si>
    <t>RT @historylvrsclub: Vision of the Future, 1930 https://t.co/a6POES6LlF</t>
  </si>
  <si>
    <t>RT @JackPosobiec: Will CNN pause their wall-to-wall porn star coverage to mention this? https://t.co/HzrbJH1hzS</t>
  </si>
  <si>
    <t>RT @DiamondandSilk: Now that this Porn Star/Alleged Prostitute has told her story to the MSM who loves pushing the narrative of Sex, Lies,…</t>
  </si>
  <si>
    <t>RT @GartrellLinda: ANOTHER CHEAT WASTES OUR MONEY
House Ethics Committee Hits Gutierrez With Legal Ramifications &amp;amp; must repay the money
He…</t>
  </si>
  <si>
    <t>RT @TruthMatters13: OATH KEEPERS 2
@StevenRCorey1
@MoooPapa
@RiverOwl83
@GramyThinks
@zooie222
@dolittlle
@JustinJ47513192
@Flytecommander…</t>
  </si>
  <si>
    <t>RT @Sheckyi: 🇺🇸🇺🇸🇺🇸🇺🇸🇺🇸🇺🇸🇺🇸🇺🇸🇺🇸
NEVER, NEVER, EVER FORGET WE CAME WITH TRUMP.  WE CAN LEAVE WITH HIM TOO!! https://t.co/NiuKExyNX5</t>
  </si>
  <si>
    <t>RT @FLOTUS: Thank you @StateDept for hosting the International #WomenofCourage ceremony that both recognizes and celebrates the strength an…</t>
  </si>
  <si>
    <t>RT @TexasTrumpGirl: Houston, Texas 18th district.  Why does Sheila Jackson Lee keep getting re-elected? https://t.co/E7p4XrCzPs</t>
  </si>
  <si>
    <t>RT @DonnaWR8: ‘[CNN] Jeff Zucker is also an AGENT of FOREIGN GOVERNMENTS. He takes their MONEY, he runs their PROPAGANDA, he hides their IN…</t>
  </si>
  <si>
    <t>RT @ReneeCarrollAZ: #PalmSunday
#SundayMorning
#ISTANDWITHGENFLYNN
🇺🇸 .@GenFlynn 🇺🇸 is an American HERO who has been wrongly targeted! He…</t>
  </si>
  <si>
    <t>RT @PhilMcCrackin44: Of the 343 murders that were committed in Baltimore last year, how many were committed by NRA members ?
👉Answer: Zero…</t>
  </si>
  <si>
    <t>RT @cs0058sc: 🔴⚪️🔵🔴⚪️🔵🔴⚪️🔵🔴
 Wake up California ‼️
🔴VOTE FOR  AJA SMITH🔵
  @AjaforCongress  🇺🇸🇺🇸🇺🇸
   ⚪️Distric…</t>
  </si>
  <si>
    <t>RT @MarkRocon: They've got him surrounded. https://t.co/Y8q9UYZK9Z</t>
  </si>
  <si>
    <t>RT @dcexaminer: Rick Santorum calls for teens to take CPR classes instead of protesting school shootings https://t.co/jXHw7C7UIj https://t.…</t>
  </si>
  <si>
    <t>RT @inittowinit007: 🔥THE MEDIA IS THE ENEMY🔥
POTUS IS JUST GETTING STARTED! Everything he does is for SAVING USA and YOU! #QAnon .@realDona…</t>
  </si>
  <si>
    <t>RT @my2006bmw: Alabama On March 27th put Rex in the Senate and our Potus will have people standing with him instead of against him! Potus n…</t>
  </si>
  <si>
    <t>RT @DavidWaddell5: Jared Kushner's Younger Brother Josh Spotted at #MarchForOurLives Anti-Gun Rally in DC https://t.co/wiFXcnFkcj</t>
  </si>
  <si>
    <t>RT @DjLots3: #NoonPrayer Dear God we praise you for this beautiful Sunday in America where we are free to worship you.Protect us from those…</t>
  </si>
  <si>
    <t>RT @DailyCaller: Our first video fact check is live, this one on a false gun control stat in the NYTimes.
Don’t forget to click subscribe…</t>
  </si>
  <si>
    <t>RT @FoxNews: Fox News Poll: 48% approve of President @realDonaldTrump on taxes. https://t.co/xUdGnR4tgC https://t.co/37rmnmdGar</t>
  </si>
  <si>
    <t>RT @LaunaSallai: We have a REASON to MAGA-Lets DO THIS!
@letters4trump45
@ddwiese
@Patriotess_Ruby
@DebraCastro
@TrumpsPal
@MarcusBrutus_
@…</t>
  </si>
  <si>
    <t>RT @HyltonRobin: 🔴⚪️🔵🇺🇸🔴⚪️🔵🇺🇸🔴⚪️🔵
                 CALIFORNIA 
      VOTE ✅ TRAVIS ALLEN 
        FOR GOVERNOR 2018
            @JoinTravi…</t>
  </si>
  <si>
    <t>RT @Perch313: ✔Rino Paul Ryan primary in August. 
❎VOTE HIM OUT 
VOTE ALL RINO'S OUT https://t.co/pecWCxOQFk</t>
  </si>
  <si>
    <t>RT @DFBHarvard: [New Followers No.10]
@JKP_RN
@FuzzyWav
@WTFRUTHINKING88 
@MartinWiener
@JolieBloue
@EdmundoCuban
@CathrynSadowski
@Buff72…</t>
  </si>
  <si>
    <t>RT @BrotherVet: @thenationsrage @tedcruz @GregAbbott_TX @SenTedCruz @AMR11082016 @ChuckNASCAR @JAmy208 @jstines3 @drscott_atlanta @GovAbbot…</t>
  </si>
  <si>
    <t>RT @cmdorsey: Well SHIT! https://t.co/H5wbeebcvi</t>
  </si>
  <si>
    <t>RT @Lost_Literati: Turn up the volume! VIP 2
Follow and Retweet these hardworking patriots please!
@chrismanack
@pjbowles4
@JohnMcGeever7…</t>
  </si>
  <si>
    <t>RT @DFBHarvard: [New Followers No.7]
If These Lists Work for You Please Like Them &amp;amp; Retweet. Thanks!
@RIPCANADASPEECH
@1tonymac1
@tjlinch…</t>
  </si>
  <si>
    <t>RT @DFBHarvard: [New Followers No.9]
@SwaffordJeffrey 
@Jaynenotplain22 
@Black_Feather55
@Protecting_2A 
@PeggyCumberled1
@francis1984108…</t>
  </si>
  <si>
    <t>RT @charliekirk11: Today thousands of adults wanted to show the world how much they knew about guns 
When questioned they knew absolutely…</t>
  </si>
  <si>
    <t>RT @TheBorumForum: The Drought Is Over!
——————————
#TBF Podcast returns with guest Nick Polce, @Nick4HouseWI01 running against #RINO Paul R…</t>
  </si>
  <si>
    <t>RT @cleoworks1: 🚨ALERT!!!  BLOCK this guy, he has a list w/ over a thousand conservatives on it!!! @SpryGuy…</t>
  </si>
  <si>
    <t>RT @carolyn86452721: Andrew McCabe lashes out in the pages of the Washington Post — and responds to the way he was fired https://t.co/K5uA4…</t>
  </si>
  <si>
    <t>RT @LucySullivan888: https://t.co/L9f7Vm4x5c</t>
  </si>
  <si>
    <t>RT @TheConsulyetti: CNBC Director Arrested for Felony After 18-Year-Old Nanny&amp;amp;#8217;s Friend Finds Rigged Tissue Box in Bathroom https://t.…</t>
  </si>
  <si>
    <t>RT @clivebushjd: FLASHBACK=&amp;gt; WATCH Paul Ryan and Mitch McConnell Lie About Funding the Trump Border Wall
https://t.co/3rqbxB7ibn</t>
  </si>
  <si>
    <t>RT @MIRedState: “I Can Only Imagine.” Just told great movie; cutting edge genre in Christian movies. The movie is 3rd at box office. Plan t…</t>
  </si>
  <si>
    <t>RT @Chicago1Ray: #Warning to all #Trumpsters be weary of all the calls coming into your favorite radio shows, seminar callers are flooding…</t>
  </si>
  <si>
    <t>RT @RandPaul: Victory for conservatives today is that all of America now knows what a budget busting bomb this bill is. Hopefully,  today’s…</t>
  </si>
  <si>
    <t>RT @DanCovfefe1: Paul Ryan is a Transpublican!
A Democrat that identifies as a republican🤦🏼‍♂️
#BuildThatWall 
#DefundSanctuaryCities
#De…</t>
  </si>
  <si>
    <t>RT @Patriot_Games46: Memo to the House and Senate Republicans:  WE WILL NOT FORGET THIS!😠😠 https://t.co/yJtGLWD64K</t>
  </si>
  <si>
    <t>RT @KingsbroGodsson: It’s perfectly impossible for anyone who voted for the Omnibus Bill to have read it all (which by itself is INSANE). A…</t>
  </si>
  <si>
    <t>RT @FinnFactor: Trump is one man in a swamp of corrupt politicians. IDK if a veto would have done any good or not. I’ll trust he did what h…</t>
  </si>
  <si>
    <t>RT @AriFleischer: POTUS is 100% right about the need to abolish the filibuster.  It’s the cause on these giant, no one reads them, omnibus…</t>
  </si>
  <si>
    <t>RT @RedNationRising: This crap will only get worse if you stay home in November over the Omnibus bill. Not me. I'm looking at the big pictu…</t>
  </si>
  <si>
    <t>RT @jerome_corsi: @SharylAttkisson Thank you, Sharyl. I was honored to be interviewed by you yesterday https://t.co/EXPTc8fU9R  C-Span Book…</t>
  </si>
  <si>
    <t>RT @deborahjuanita4: 💥💥#Democrats Have abandoned #DACA  They don’t fit in their agenda! Shows U how evil they are! If they can’t throw  #PO…</t>
  </si>
  <si>
    <t>RT @Happyheart411: https://t.co/56UtZfZsvl</t>
  </si>
  <si>
    <t>RT @The_Trump_Train: Don’t get me wrong, I am not happy with this spending bill... However, with the Democrats obstructing at every corner…</t>
  </si>
  <si>
    <t>RT @RealJamesWoods: This helps scrape #Zuckerberg off your shoe... https://t.co/NTFoRKUZ2c</t>
  </si>
  <si>
    <t>RT @dailyreverb: Rep Bob Goodlatte Subpoenas Justice For Documents Related To Clinton Probes… https://t.co/BKk6gXP3jX https://t.co/BRXSgQtV…</t>
  </si>
  <si>
    <t>RT @Thomas1774Paine: So I'm pissed off. You should be too.
Enough is enough.</t>
  </si>
  <si>
    <t>RT @WarRoomD: Top 5 Ways to Hide Guns From Your Wife | #SHTF https://t.co/UyG9SHMgLR</t>
  </si>
  <si>
    <t>RT @MONTANANBALLER: #TrumpTrain #TrumpSupporters 
RT &amp;amp; Follow #KAG #MAGA
#Trump2020 
@MONTANANBALLER 
@jpyoung27
@silent9majority
@Janethe…</t>
  </si>
  <si>
    <t>RT @chuckwoolery: Truth is before congress passes a spending bill it is supposed to be made public so we the people can read it and get in…</t>
  </si>
  <si>
    <t>RT @MajorFluff: .@realDonaldTrump, you see the problem here, sir? It's just like #Obamacare as @NancyPelosi said, "You have to pass it to s…</t>
  </si>
  <si>
    <t>RT @RSBNetwork: President Trump Signs Bill https://t.co/IJPSJHERh7</t>
  </si>
  <si>
    <t>RT @SickOfTheSwamp: I agree with @RandPaul that we can't vote on a bill that hasn't been read.  Sounds like there is a bunch of pork fat in…</t>
  </si>
  <si>
    <t>RT @KamVTV: You know this news conference will be huge when Fox News takes a moment to bring on ALL Fox News sister stations all over the U…</t>
  </si>
  <si>
    <t>RT @mitchellvii: Let me put it this way - the case for #MAGA Candidates in the midterms has just been magnified 1000 times. https://t.co/Ai…</t>
  </si>
  <si>
    <t>RT @ShowboatBob: #BobsTrumpTrain
@4Mischief
@ShowboatBob
@GySgtGallagher
@PatriotKitten1
@TiredofBS11
@DaleBarco
@Stillmyself17
@collettery…</t>
  </si>
  <si>
    <t>RT @realDonaldTrump: News conference at the White House concerning the Omnibus Spending Bill.  1:00 P.M.</t>
  </si>
  <si>
    <t>RT @DFBHarvard: (Twelve Followers #23) People who are always there for you!
@BKCloud1
@Pepe1roni
@srichey9941
@Evenstar888
@KroekerTony
@C…</t>
  </si>
  <si>
    <t>RT @RealJamesWoods: When will these Republicans ever act like a majority party? The Democrats run over them like roadkill every time. #Veto</t>
  </si>
  <si>
    <t>RT @izonorion71: This bill sure has A LOT of help for foreign issues...far more than our issues are addressed https://t.co/gFMFtJicPn</t>
  </si>
  <si>
    <t>RT @TrumpCard555: Excellent plan @bocavista2016!
#Republicans send donations to @realDonaldTrump ONLY because he fought the #Dems for 'We…</t>
  </si>
  <si>
    <t>RT @thebradfordfile: When @realDonaldTrump vetoes the outrageous omnibus bill, it will be the beginning of the end for the Establishment.…</t>
  </si>
  <si>
    <t>RT @DBloom451: Was H.R. McMaster the LEAK? Is that why he suddenly lost his job?
Welcome aboard, John Bolton. DON'T LEAK! https://t.co/xw0…</t>
  </si>
  <si>
    <t>RT @John_KissMyBot: I’m SICK and TIRED Of Paul Ryan &amp;amp; Mitch McConnell &amp;amp; their Obstruction 
The American People Elected #Trump To BUILD THE…</t>
  </si>
  <si>
    <t>RT @NetworksManager: We are LIVE! In #Moscow!At #BlockchainDay - I take the stage in 1.5 hours!#GlobalBoost $BSTY #Bitcoin #Myriad #Unit… h…</t>
  </si>
  <si>
    <t>RT @4Mischief: #AmericaFirst CENTENNIAL #100
@ShowboatBob 
@4Mischief 
@iefun 
@FrankieRusso1 
@DFBHarvard 
@NothingYouHear 
@bud_cann 
@G…</t>
  </si>
  <si>
    <t>RT @RealSaavedra: #BREAKING: Trump says there will be a 1:00 P.M. News conference at the White House concerning the Omnibus Spending Bill.</t>
  </si>
  <si>
    <t>RT @DFBHarvard: (Twelve Followers #21) People who are always there for you!
@JustHereTillBan
@jamesfaircloth8
@mrnd56
@AliciaUSAF
@ptsd147…</t>
  </si>
  <si>
    <t>RT @KRoadhog: #VetoOmnibusBill
#BuildTheWall 
#DefundPP 
#DefundSanctuaryCities 
#NovemberIsComing
#VoteThemOut 
#DeportThemAll 
#LyinRyan…</t>
  </si>
  <si>
    <t>RT @4Mischief: PATRIOTS #110 RT
#AmericaFirst
#MAGA
#Military
@ShowboatBob 
@4Mischief 
@CHARLENE300M
@poodlelove55
@lindathomas102
@Halle2…</t>
  </si>
  <si>
    <t>RT @mitchellvii: The Senate adjourned, getting ready to head home for a nice vaca after throwing America under the #Omnibus, then Trump say…</t>
  </si>
  <si>
    <t>RT @RealJamesWoods: This is the problem 100%... https://t.co/VzOPp2SBxy</t>
  </si>
  <si>
    <t>RT @HitItWithARock: .@realDonaldTrump...  #VETO this bill  🐷🐖🐖🐖🐖🐖🐖🐖🐖 https://t.co/kc9Kgc3zdI</t>
  </si>
  <si>
    <t>RT @foxandfriends: Today @StrikeForceE is donating 50% of their sales in honor of Marc Lee, the first Navy SEAL killed in Iraq, to @America…</t>
  </si>
  <si>
    <t>RT @ljcambria: @CCCINNC @Dab7One @realDonaldTrump This will blow people's minds!!!  https://t.co/CvxTlefX97</t>
  </si>
  <si>
    <t>RT @GovMikeHuckabee: Thanks @realDonaldTrump for considering VETO of a bill that insults the people who voted for you.  The GOP leadership…</t>
  </si>
  <si>
    <t>RT @RightWingAngel: ICYMI,Here is the Breakdown of the House #omnibus vote other day - 90 GOP "No" votes along with 77 Dem "No" votes https…</t>
  </si>
  <si>
    <t>RT @HouseCracka: Rush Limbaugh is telling president Trump to veto this spending bill</t>
  </si>
  <si>
    <t>RT @DrMartyFox: The Good #FBI People Are Happy #McCabe Was Fired
There Was A Plot To Protect Hillary From Indictment And Frame #Trump 
Th…</t>
  </si>
  <si>
    <t>RT @JacobAWohl: BUSTED: Stormy Daniels' Polygraph test was FAKE! She doesn't have finger cuffs to measure her galvanic skin response. Also,…</t>
  </si>
  <si>
    <t>RT @RealJamesWoods: Four-headed centipede... https://t.co/BFzj9EZPss</t>
  </si>
  <si>
    <t>RT @US_NEWS_ALERTS: These are the 9 Iranians charged in a massive cyber theft of academic and intellectual property from scores of US-based…</t>
  </si>
  <si>
    <t>RT @ColumbiaBugle: #KillTheBill #Veto https://t.co/cUpCi63Knz</t>
  </si>
  <si>
    <t>RT @PoliticalShort: From July 2017, @LeeSmithDC interview with @AmbJohnBolton discussing the Iran deal, North Korea, foreign policy and nat…</t>
  </si>
  <si>
    <t>RT @MarshaBlackburn: A lot of you have called to say that you are very much against the omnibus spending bill. I'm in total agreement with…</t>
  </si>
  <si>
    <t>RT @Ohio_Buckeye_US: @MamaReg2 OMG is right...this is how I see my tax dollars now..😨 https://t.co/xYdIbeJh4A</t>
  </si>
  <si>
    <t>RT @mimimayes13: Yes----&amp;gt;Is California Governor Jerry Brown Mentally Ill? https://t.co/4b0BkskJjH</t>
  </si>
  <si>
    <t>RT @TuckerCarlson: CNN's chairman just took a brief pause from gun control to call us "state TV". Let's consider the humor in this. State T…</t>
  </si>
  <si>
    <t>RT @Tony19542: Rosenstein Announces Indictments of Nine Iranian Hackers https://t.co/ZlSzCcsyvk</t>
  </si>
  <si>
    <t>RT @KRoadhog: @dxguy7  @Zimber16  @arvdog21  @galadrielsoros https://t.co/k7y7UlgI4O</t>
  </si>
  <si>
    <t>RT @SaraCarterDC: Here’s what I got on James Clapper in my story last week... good to revisit @TomFitton  https://t.co/Wt6JLsOAdt</t>
  </si>
  <si>
    <t>RT @DykstraDame: How Facebook made it impossible to delete Facebook https://t.co/89EbKWMzUw</t>
  </si>
  <si>
    <t>RT @Thomas1774Paine: Lawsuits Pile Up As #DeleteFacebook Movement Spreads https://t.co/7k2tB42Tcc</t>
  </si>
  <si>
    <t>RT @ghostrider050: Omnibus Bill Allows Gun Control Ban To Be Reinstituted On Social Security Recipients! https://t.co/NldD3A8UxZ w/ @WayneD…</t>
  </si>
  <si>
    <t>RT @bob1991fire: NRA: The idea is to shift public opinion to such a point that something once socially acceptable – owning a gun – is now s…</t>
  </si>
  <si>
    <t>RT @RealEagleWings: .@RandPaul on omnibus bill: This is why people are so upset with politics, because when the Republicans are out of powe…</t>
  </si>
  <si>
    <t>RT @Agent4Trump: It was so obvious this would happen with DACA and the Omnibus. The Congress and Senate needs massive turnover in 2018 if w…</t>
  </si>
  <si>
    <t>RT @BetBobJo1947: .@SpeakerRyan and @SenateMajLdr have sold out all deplorables in that horrendous Omnibus Bill. Praying @POTUS vetoes the…</t>
  </si>
  <si>
    <t>RT @JackPosobiec: The Left is already claiming John Bolton is a secret Russian and he isn’t even in his job yet https://t.co/ByuNdoTsMy</t>
  </si>
  <si>
    <t>RT @KamVTV: The DACA Dreamers are getting a taste of what it feels like to be an American citizen. 
Politicians will sell you out in a min…</t>
  </si>
  <si>
    <t>RT @dailyreverb: 16-Year-Old Maryland School Shooting Victim Dies After Being Taken Off Life Support… https://t.co/iZSux3HQkZ https://t.co/…</t>
  </si>
  <si>
    <t>RT @ShowboatBob: #BobsTrumpTrain
@4Mischief
@ShowboatBob
@realDonaldTrump
@Deplorable_Dem
@Norm19777
@PeggyRuppe
@CarmenGarciaPHX
@Mountain…</t>
  </si>
  <si>
    <t>RT @Miami4Trump: @realDonaldTrump Make No Mistake, This Is The Swamps Omnibus Spending Bill. 
You Could Slap Obama’s Name On This Bill. It…</t>
  </si>
  <si>
    <t>RT @TruthMatters13: Trump Train is outta here #Military
@KO666Cis
@Saphina77
@Dalekdukesboy69
@ConservaMomUSA
@S_Cooper0404
@KgdlBrown97
@T…</t>
  </si>
  <si>
    <t>RT @RealMAGASteve: “Several high ranking FBI officials will be charged criminally.” — Joe DeGenovo 
https://t.co/vV4NgxvrC4</t>
  </si>
  <si>
    <t>RT @NewsHour: NEWS ALERT from @AP: 9 Iranians charged in hacking scheme to steal information from universities, companies and government ag…</t>
  </si>
  <si>
    <t>RT @PoliticalShort: How much $ is CNN's Jeff Zucker making in exchange for airing propaganda on behalf of hostile foreign powers? He takes…</t>
  </si>
  <si>
    <t>RT @TheLastRefuge2: Giddy Up – DOJ Admits They Have a Grand Jury Empaneled in FBI and DOJ Investigation… https://t.co/iBvYuMpTKj https://t.…</t>
  </si>
  <si>
    <t>RT @DFBHarvard: (Twelve Followers #17)  People who are always there for you!
@johnsjd0413
@heyk1967
@SonsMary
@Cherub973
@Jjones8025M
@mar…</t>
  </si>
  <si>
    <t>RT @LessGovMoreFun: . Is @RandPaul the only one in DC reading the entire bill? It only takes 53 hours.
#WhatAJoke
#PromisesMadePromisesKept…</t>
  </si>
  <si>
    <t>RT @JacobAWohl: JUST IN: Rod Rosenstein to hold a Press Conference tomorrow https://t.co/wRd1XuzuyO</t>
  </si>
  <si>
    <t>RT @SiddonsDan: We MUST deliver better Republicans to Trump in November.  You've now seen what the Democrats will do if they are let back i…</t>
  </si>
  <si>
    <t>RT @TheStelian: MUST WATCH: Aliso Viejo mayor says he will follow Los Alamitos lead and opt out of California’s sanctuary law, which restri…</t>
  </si>
  <si>
    <t>RT @rcjhawk86: Harder, please https://t.co/altI8S8Tc1</t>
  </si>
  <si>
    <t>RT @TerranceCreamer: 1) Let us remember and honor U.S. Navy Hospital Corpsman 2nd Class Jaime S. Jaenke, 29 of Bay City, Wisconsin, assigne…</t>
  </si>
  <si>
    <t>RT @ernieHHI: Who U gonna follow? Great Patriots, like, follow &amp;amp; retweet
@Steve_Pippin
@j_jamesin
@clasimpmv
@PIRATEDANTRAIN
@wwwillstand…</t>
  </si>
  <si>
    <t>RT @SonofLiberty357: 🚨🚨🚨 House Intelligence Committee: 70-Plus Witnesses Provided NO EVIDENCE OF COLLUSION. #MAGA  https://t.co/iNzgOPj7Wn</t>
  </si>
  <si>
    <t>RT @RandPaul: I shared 600 pages tonight. I’m done tweeting them for the evening. If they insist on voting, I will vote no because it spend…</t>
  </si>
  <si>
    <t>RT @StandingDarrell: 🇺🇸”CNN’s chairman took a brief pause from #GunControl (and Trump bashing) to call FOX “state TV”. Let’s consider the h…</t>
  </si>
  <si>
    <t>RT @RepGoodlatte: To date,  I have only seen a few thousand of the 1.2 million documents @HouseJudiciary requested from the DOJ. Given the…</t>
  </si>
  <si>
    <t>RT @scroggstl: Important Info: How to figure out what you’re sharing on Facebook, and what you can do about it https://t.co/2mFfJQmlhW via…</t>
  </si>
  <si>
    <t>RT @realEricShaffer: John Bolton is a respected lawyer and foreign policy wonk who graduated from Yale who was:
- Assistant Attorney Genera…</t>
  </si>
  <si>
    <t>RT @Jamierodr10: Great Follows 
@ArizonaKayte 
@KMGGaryde 
@Golfinggary5221 
@GartrellLinda 
@alozras411 
@AMErikaNGIRLBOT 
@DutyOfAPatriot…</t>
  </si>
  <si>
    <t>RT @ShowboatBob: #BobsTrumpTrain
@4Mischief
@ShowboatBob
@Mrrandy123RP
@beatrizmacia1
@ADeplorableBeam
@lvmypug
@Karenwilltweet
@bribohan
@…</t>
  </si>
  <si>
    <t>RT @Johnny_Congress: At first I was on the fence about John Bolton. Now I know Trump chose the right guy.
Thanks Adam,
-Conservatives ever…</t>
  </si>
  <si>
    <t>RT @GartrellLinda: Video: CNN's JEFF ZUCKER EXPOSED by Tucker Carlson After Calling Fox News a "Propaganda Machine" 
#FakeNewsCNN has no cr…</t>
  </si>
  <si>
    <t>RT @wisdom1953: YOU DAM RIGHT. https://t.co/ueenPgNoVj</t>
  </si>
  <si>
    <t>RT @Cbaxter214: Man Who Sold App to FB for $16 Billion Warns: Delete Facebook Now - Zuckerberg belongs in prison  https://t.co/GtmHZWp6Ce</t>
  </si>
  <si>
    <t>RT @TheLastRefuge2: fyi.. Notice there are very few commercial segments on @seanhannity TV show?  [Same thing happened to Glenn Beck.]  Han…</t>
  </si>
  <si>
    <t>RT @PradRachael: President Trump Hosts the Creek Independence Day Celebration at the White House 
https://t.co/77jW4WWtUu
GOD BLESS YOU…</t>
  </si>
  <si>
    <t>RT @RealEagleWings: #AmericaFirst Foreign Policy- @FredFleitz: I worked for John Bolton. He understands government bureaucracy. He will be…</t>
  </si>
  <si>
    <t>RT @TuckerCarlson: Ralph Peters has been in the news lately. Check out our interview with him from last summer. It says it all. #Tucker @Fo…</t>
  </si>
  <si>
    <t>RT @sxdoc: Trump Art of Compromise: #Omnibus $1.3T 6 Month Spending—Provides $$$ for Military &amp;amp; Pay Raise, $4.7B Opioid Crisis, $1.6B for 7…</t>
  </si>
  <si>
    <t>RT @RedNationRising: In 2016, the NRA spent nearly $22M more than Planned Parenthood on federal elections. The difference? The money spent…</t>
  </si>
  <si>
    <t>RT @HannibalBarca65: The leak coming from McMasters staff was the last straw. https://t.co/1DC7X6mCks</t>
  </si>
  <si>
    <t>RT @DallasIrey: #Trumpville
@imtofargon 
@jujutsucop 
@dfasciana7 
@LucindaRowe1 
@DallasIrey
@Paduduit
@murphyboy88 
@Sara793129
@pjbowles…</t>
  </si>
  <si>
    <t>RT @SnoDragon57: Take Two - More good news! @LouDobbs just announced in addition to adding Joe diGenova to the team @realDonaldTrump is als…</t>
  </si>
  <si>
    <t>RT @Thomas1774Paine: We have some bombs coming on Las Vegas. If anything happens to me before that, the Intel will still be published at Tr…</t>
  </si>
  <si>
    <t>RT @Thomas1774Paine: Facebook will track you even after you delete your account, but you can stop it (VIDEO) https://t.co/PSgu2UXxTV</t>
  </si>
  <si>
    <t>RT @ericbolling: C’mon Washington Examiner.. Don’t spread any more fake news than is already being shoveled out there. https://t.co/PuCKQSZ…</t>
  </si>
  <si>
    <t>RT @JacobAWohl: Robert Mueller's Retirement is Fast Approaching https://t.co/2ZjPQ6vlOx</t>
  </si>
  <si>
    <t>RT @joshdcaplan: Rush Limbaugh reminds us who Rod Rosenstein truly is: He exonerated Hillary Clinton from Whitewater scandal, then his wife…</t>
  </si>
  <si>
    <t>RT @TheGoldWaterUS: President Trumps Slaps China With $60 Billion Tariff Bill As Trade War Starts
#China
#Tariff
#WorldWaterDay
#Millennial…</t>
  </si>
  <si>
    <t>RT @DallasIrey: #Trumpville
@MattBatzel
@DallasIrey
@TRUMPKAGPENCE 
@cuqui2012 
@therealhowell69
@thepeonprincess
@Lyndon_Dives
@pjbowles4…</t>
  </si>
  <si>
    <t>RT @DFBHarvard: Now Here's a Damn Good Idea!
Enough of these Digital Robber Barons! https://t.co/8xOMm9kcpk</t>
  </si>
  <si>
    <t>RT @DFBHarvard: (Twelve Followers #11)
@RevenuConsultnt
@realJonAnon
@cmbkgto
@roadtosingapore
@GodBlessOurPrez
@RicVaDude
@clayfeathers
@…</t>
  </si>
  <si>
    <t>RT @EjHirschberger: Wonderful to meet @KyleKashuv today. His message of unity is one we should all share. Thank you for visiting us at the…</t>
  </si>
  <si>
    <t>RT @FoxNews: .@MickMulvaneyOMB: "We need 9 Democrats to support this bill so there was no chance of everything that we wanted passing." htt…</t>
  </si>
  <si>
    <t>RT @DFBHarvard: Notice how the T-shirted Zucks of the World are always apologizing while at the Bank Teller's window cashing the checks? ht…</t>
  </si>
  <si>
    <t>RT @ThomasWictor: (1) A little background on this guy.
https://t.co/nQQ3biALPK</t>
  </si>
  <si>
    <t>RT @charliespiering: John Bolton spotted entering the West Wing https://t.co/KBJCPgYOak</t>
  </si>
  <si>
    <t>RT @OANN: Authorities Discover the Texas Bomber Had a List of Potential Targets, Sites - https://t.co/qWSGaW0wDs #OANN https://t.co/BlOFQ3c…</t>
  </si>
  <si>
    <t>RT @fliflisky: @LisaLohmann @10thAmendment @KellyannePolls @CNNPolitics Our president Trump 👍 https://t.co/Uub9deVid6</t>
  </si>
  <si>
    <t>RT @gr8tjude: Bravo👏👏👏
PROACTIVE: This North Carolina County Has Decided To Hire Armed Security Guards For Every Public School 
https://t…</t>
  </si>
  <si>
    <t>RT @TruthMatters13: 15 THIS IS A YUGE TRAIN #2ndAmendment
@DykstraDame
@BasedStickPanda
@LaCookieCrisp
@Briteeye777
@annettets1
@Southernfo…</t>
  </si>
  <si>
    <t>RT @AHMalcolm: Quietly, Trump team sharply slashing refugee limits https://t.co/rxYDrI2xGI</t>
  </si>
  <si>
    <t>RT @true_pundit: The big fake ‘star’ that Rocket Lab sent into orbit is falling back down to Earth https://t.co/nqoVWv8Ox7</t>
  </si>
  <si>
    <t>RT @Jali_Cat: @FLOTUS @WhiteHouse Greetings back to you @FLOTUS @POTUS!!! Thank you for all you are doing for our country. Unity, love and…</t>
  </si>
  <si>
    <t>RT @DBloom451: Now HERE'S A REPUBLICAN I CAN SUPPORT!
Sen. John Kennedy (R-LA) unloads on #omnibus spending bill: 'It sucks...This is a Gr…</t>
  </si>
  <si>
    <t>RT @CharlieDaniels: ON THIS DAY in 2005, Songs from the Longleaf Pines was released, the bluegrass Gospel album features such greats as Mac…</t>
  </si>
  <si>
    <t>RT @RodStryker: Please read this letter regarding @ToddRokitaIN👌
It’s from our @POTUS campaign chairs. It shows he’s the only TRUE Trump Su…</t>
  </si>
  <si>
    <t>RT @ericbolling: The $1.6 budget item for the start of a border wall irks me. I've mentioned several ways to build the wall AND have Mexico…</t>
  </si>
  <si>
    <t>RT @ByronYork: More House Intel findings: https://t.co/ZsBPRQcMjH https://t.co/jGunx5fypP</t>
  </si>
  <si>
    <t>RT @DFBHarvard: (Twelve Followers #8) True Followers!
@panchimpanzee
@JBaker31826004
@tpdeod32
@FactsNoHypeGirl
@LyndaAtchison
@Oligarchy1…</t>
  </si>
  <si>
    <t>RT @DFBHarvard: (Twelve Followers #7)
I'm starting a new #ProjectConnect by recommending 12 of My Loyal Followers at a time!
@Ms_StormySa…</t>
  </si>
  <si>
    <t>RT @RepMattGaetz: I voted 'NO' on the #Omnibus because voting blindly for legislation as large-scale &amp;amp; costly as this bill is an insult to…</t>
  </si>
  <si>
    <t>@DFBHarvard @F16fly @Daniel_usmc2001 @maddie1776 @RobertD65242607 @AllIn4DJT @TruthFactsKnow @magic4sure @MitchTheis @DLovesAZ @di_plora @CupYours Thank you Dan. We love you.</t>
  </si>
  <si>
    <t>RT @DFBHarvard: (Twelve #6)  I'm starting a new #ProjectConnect by recommending 12 of My Loyal Followers at a time. 
@F16fly
@Daniel_usmc2…</t>
  </si>
  <si>
    <t>RT @AmericanVoterUS: Inside the shady private equity firm run by Kerry and Biden's kids https://t.co/sbloKYpjNR #SecretEmpires #DrainTheSwa…</t>
  </si>
  <si>
    <t>RT @1ClickBiz: Advertisers tell Facebook 'enough is enough' as group representing 3,000 brands threatens to leave https://t.co/fU5t08veDe #…</t>
  </si>
  <si>
    <t>RT @MichaelDelauzon: THURSDAY 5:30PM EST THE PRESIDENT and THE FIRST LADY host the Greek Independence Day Celebration. https://t.co/wwkHkKQ…</t>
  </si>
  <si>
    <t>RT @RealEagleWings: Lead @realDonaldTrump attorney in Mueller probe, John Dowd, resigns; What the freak 🤓 Can’t we ever get any good news f…</t>
  </si>
  <si>
    <t>RT @W7VOA: And @VP says action today by @POTUS "makes it clear the era of economic surrender is over." https://t.co/FWtvi37ZZe</t>
  </si>
  <si>
    <t>RT @CherylReynolds: Ah, Paris in the springtime... 🌺 🌸 🌹 https://t.co/e0cmXNykaX</t>
  </si>
  <si>
    <t>RT @W7VOA: Now speaking @USTR Robert Lighthizer: "We concluded China has a policy of forced technology transfer" and other issues so @POTUS…</t>
  </si>
  <si>
    <t>RT @trump020: | FOX Business @FoxBusiness @THEHermanCain on spending bill: "I would shut the government down... The only way for the Americ…</t>
  </si>
  <si>
    <t>RT @garyibe007: That moment when a horse decides to photobomb you https://t.co/XbnWgPQGQB</t>
  </si>
  <si>
    <t>RT @JacobAWohl: WATCH: Fearless President Trump sticks a knife in the heart of the globalist elite as he signs tariffs to stop Chinese thef…</t>
  </si>
  <si>
    <t>RT @Thomas1774Paine: Watchdog Group Obtains Shock Docs on What Happened Day Scalia Died https://t.co/9lOYwIsvbv</t>
  </si>
  <si>
    <t>RT @LizWFB: "Target sharing" became "data abuse."
Data went from being "crunched" to "stolen."
Facebook went from the "ideal way" to reac…</t>
  </si>
  <si>
    <t>RT @RepMarkMeadows: Members of the @freedomcaucus sent the below letter to the WH:
"Mr. President, we urge you to remember the countless f…</t>
  </si>
  <si>
    <t>RT @DFBHarvard: Love Branco!
He's always right on target!
Trump has to face volumes of double standards everyday!
Talking about the grea…</t>
  </si>
  <si>
    <t>RT @4Mischief: 🇺🇸 #AmericaFirst 🇺🇸 PATRIOT 🇺🇸Follow Back. Names with Flags mean they have Lists and are helpful Patriots. If your name is n…</t>
  </si>
  <si>
    <t>RT @ColumbiaBugle: In an Interview with CNN Mark Zuckerberg confirms that the Russians appear to have been more interested in just sowing d…</t>
  </si>
  <si>
    <t>RT @tatobin2: Someone just went up and changed the bomber's profile from "Democrat" and "Scientologist" to "Republican" and "Christian."  D…</t>
  </si>
  <si>
    <t>RT @bardonto: Daffodils by William Wordsworth is the most famous poem in the English Language.  It is my privilege and my pleasure to set i…</t>
  </si>
  <si>
    <t>RT @AnnaApp91838450: https://t.co/UpLFgGIVqY
DIRECTOR RAY CLEAN HOUSE AT FBI/AG SESSIONS FIRE ROSENSTEIN ASAP
MUELLER &amp;amp; HIS CLOWNS ALL SHOU…</t>
  </si>
  <si>
    <t>RT @LouDobbs: Veto the Ryan/McConnell/Pelosi/Schumer spending bill--and take back government! #MAGA @POTUS #TrumpTrain #AmericaFirst #Dobbs…</t>
  </si>
  <si>
    <t>RT @GregAbbott_TX: About to take off for India. See you soon. #txlege https://t.co/dn6IDdBwAk</t>
  </si>
  <si>
    <t>RT @PoliticalShort: Nunes Statement on the approval of Russia Report. It will now be submitted to the Intelligence Community for an expedit…</t>
  </si>
  <si>
    <t>RT @4Mischief: PATRIOTS, Please Follow @Trumpsmob to help him get back his Followers! His account was deleted and we leave No Patriot Behin…</t>
  </si>
  <si>
    <t>RT @EuropeNextYear: Amazing stuff comes out every day....they were out to utterly destroy #Trump &amp;amp; his crew.  I guess it makes sense, they…</t>
  </si>
  <si>
    <t>RT @Joe_America1776: "Left 25-minute video confession..."  https://t.co/zitvNV7D6g #TCOT #MAGA #PJNET #RedNationRising #NotABot</t>
  </si>
  <si>
    <t>RT @CollinRugg: Joe Biden: “I would kick Trump’s ass”
Dems: “LOL! Good job Biden”
Trump defending himself: “No you wouldn’t. You would go…</t>
  </si>
  <si>
    <t>RT @FLOTUS: Greetings from @WhiteHouse https://t.co/mjuHFqglYz</t>
  </si>
  <si>
    <t>RT @GaetaSusan: Shut Down The Gov't !! VETO THE OMNIBUS! This is A Democrat Appeasement! Military should be totally separate. NO DEALS !  @…</t>
  </si>
  <si>
    <t>RT @GET4208: Now I am gonna let Twitter Rest, I am going to be on the phone 👇👇 Please call everyone if you can break away to do so!! This b…</t>
  </si>
  <si>
    <t>RT @mitchellvii: THE ONLY 'MISTAKE' HE MADE WAS GETTING CAUGHT: Zuckerberg Breaks Silence on Cambridge Analytica ... But Says Nothing About…</t>
  </si>
  <si>
    <t>RT @Uncle_Jimbo: Ralph Peters left @FOXNews by pulling a pin on a grenade and dropping it in his own lap.
So I think they need a replaceme…</t>
  </si>
  <si>
    <t>RT @Golfinggary5221: THE REAL COVER UP!
Texas GOP Rep: Mueller is Covering Up Uranium One! #Mueller must end his #WitchHunt and be investig…</t>
  </si>
  <si>
    <t>RT @OANN: Fed Reserve Raises Interest Rate a Quarter Percent - https://t.co/euspaek3Y4 #OANN https://t.co/JSGQlPMRly</t>
  </si>
  <si>
    <t>RT @LarrySchweikart: Nice. Every libtard site needs to fold. 
So, best way to take them down is figure out how to use them against themsel…</t>
  </si>
  <si>
    <t>RT @DeplorablesTV: I'm all in for guns, but please get competent instruction. #2a #concealedcarry #glock #guns #carryeverywhere #maga #fire…</t>
  </si>
  <si>
    <t>RT @therealcornett: FAKE NEWS. First Lady Melania Trump fires back at a recent PEOPLE Magazine article https://t.co/3AxY0eI5jV</t>
  </si>
  <si>
    <t>RT @TocRadio: Suspected Austin bomber Mark Conditt allegedly used the alias "Kelly Killmore" to ship packages through a Texas FedEx store -…</t>
  </si>
  <si>
    <t>RT @AnthemRespect: 🇺🇸More California Cities May Follow Smart @CityOfLosAl In Rejecting States bad #SanctuaryState “laws”!
-Show Support to…</t>
  </si>
  <si>
    <t>RT @FoxNews: .@Jim_Jordan on spending bill: “This may be the worst bill I have seen in my time in Congress.” @foxandfriends https://t.co/Zz…</t>
  </si>
  <si>
    <t>RT @Joe_America1776: "Paul Ryan’s Omnibus Bill Provides More Money to New York to New Jersey Tunnel than to Trump Border Wall"  https://t.c…</t>
  </si>
  <si>
    <t>RT @jeepsuzih2: There Has To Be More Parents That Are This Mad . We Just Don't See them !
This Guy is So Right . 6th Graders will go along…</t>
  </si>
  <si>
    <t>RT @GET4208: Extinguished 👇 🎯🎯
@SpeakerRyan https://t.co/QcM3W0fuzz</t>
  </si>
  <si>
    <t>RT @johncardillo: Nothing remotely conservative about Paul Ryan.  https://t.co/ihLrPxfHDv</t>
  </si>
  <si>
    <t>RT @Golfinggary5221: CRAZY! Paul Ryan BLOCKS Trump's Border Wall in New Spending Bill - Time To Go! No #BorderWall funding but $$$ for #Oba…</t>
  </si>
  <si>
    <t>RT @freedomcaucus: The @freedomcaucus officially opposes the omnibus. Statement attached. https://t.co/qU526aA6W5</t>
  </si>
  <si>
    <t>RT @AIIAmericanGirI: Chicago police chief fired by Rahm Emanuel will run against him for mayor https://t.co/TpHkcQuLSl @FoxNews #AAG</t>
  </si>
  <si>
    <t>RT @chuckwoolery: REPORT: Robert Mueller’s “Shadowy” Witness Flees The Country After He’s Exposed As Convicted Child Molester https://t.co/…</t>
  </si>
  <si>
    <t>RT @RealJamesWoods: #Facebook was thrilled to have its data used by the #Obama campaign.  https://t.co/2e1tHaMaYF</t>
  </si>
  <si>
    <t>RT @drawandstrike: Why Special Counsel Robert Mueller Can't Avoid Charging  James Comey With Theft of Classified Information
[It's Because…</t>
  </si>
  <si>
    <t>RT @ericbolling: I have a couple suggestions for @realDonaldTrump on the dangerous leaks coming from the White House:
1) Publicly fire and…</t>
  </si>
  <si>
    <t>RT @DLoesch: Wolff reminds me a bald Fred Armisen https://t.co/b0TQGqQMg3</t>
  </si>
  <si>
    <t>RT @Thomas1774Paine: Melania Trump Struts in Style Wearing Navy Coat, Knee-High Leather Boots https://t.co/ubEGwxwqN5</t>
  </si>
  <si>
    <t>RT @dailyreverb: California Teacher Who Called Service Members ‘Lowest Of The Low’ Is Fired… https://t.co/iZSux3HQkZ https://t.co/UzcEBYavLD</t>
  </si>
  <si>
    <t>RT @historylvrsclub: New York City 1971 - Times Square https://t.co/FEOh0GNVtZ</t>
  </si>
  <si>
    <t>RT @NicOseiNews: We're learning more about the man authorities say is responsible for the #AustinBombings. I'll have details on #WBAP news…</t>
  </si>
  <si>
    <t>RT @cbsaustin: LIVE BREAKING NEWS: FBI on the scene of officer-involved shooting on I-35 in Round Rock. https://t.co/VPAaXywWHe</t>
  </si>
  <si>
    <t>RT @MAGANinaJo: AL Special Election next Tuesday!  Please vote, AL conservatives.  We need you!
🔴⚪️🔵🔴⚪️🔵🔴⚪️🔵🔴⚪️🔵
🇺🇸Rex Reynolds🇺🇸 AL Hous…</t>
  </si>
  <si>
    <t>RT @lsmith4680: The Austin Bomber now has a face &amp;amp; a name: Mark Anthony Conditt was confronted by authorities &amp;amp; blew himself up in his car.…</t>
  </si>
  <si>
    <t>RT @thebradfordfile: Facebook plays by the rules:
THEIR OWN.
Creepy... https://t.co/LF5WkXmczM</t>
  </si>
  <si>
    <t>RT @fiskcg: #Pflugerville_Alert Areas of Pflugerville being evacuated https://t.co/cW8qtckUQV</t>
  </si>
  <si>
    <t>RT @chuckwoolery: My retirement has given me more time to spend  with you. I'm loving it. You made me successful in my career. That knowled…</t>
  </si>
  <si>
    <t>RT @gaye_gallops: TRUMP AND TEXAS....YOU ROCK LAW ENFORCEMENT AGAINST EVIL! Ponder this...BHO and gang tied the hands of all our law enforc…</t>
  </si>
  <si>
    <t>RT @RealJamesWoods: #weasel https://t.co/4IZshuJ3tX</t>
  </si>
  <si>
    <t>RT @AIIAmericanGirI: Report: In Spending Negotiations, DEMOCRATS Opposed a Provision Strengthening...Gun Background Checks? https://t.co/F9…</t>
  </si>
  <si>
    <t>RT @RodStryker: Dad pulls knife at school board meeting to prove a point.👏
😲
Beta males freak out, of course.
Man asks the logical questio…</t>
  </si>
  <si>
    <t>RT @RepAndyBiggsAZ: NOW: I'm with @RepMarkMeadows, @Jim_Jordan, @RepMattGaetz, &amp;amp; @WarrenDavidson at @conversations with conservatives to ta…</t>
  </si>
  <si>
    <t>RT @President1Trump: #BREAKING: Austin Officials hold news conference on suspected serial bomber believe to be killed  https://t.co/Pww9DgN…</t>
  </si>
  <si>
    <t>RT @TrumpNewsz: BREAKING: Austin bomber is DEAD; Here’s what we know… https://t.co/flHCpon4cP https://t.co/xQWJzJrILa</t>
  </si>
  <si>
    <t>RT @MdlMurray: The Facebook debate: Should you leave it? | News | https://t.co/y8TNqzNKcK https://t.co/GSDcSXr1az</t>
  </si>
  <si>
    <t>RT @ALWAYSAPATRIOT2: President Lincoln knew that there would be a problem with our government. #COSProject #PJNET https://t.co/CZscHTw3ZN</t>
  </si>
  <si>
    <t>RT @Thomas1774Paine: Congress is closing in on a massive $1.3 trillion plan to avoid a government shutdown— here’s what’s in it https://t.c…</t>
  </si>
  <si>
    <t>RT @JNongel: BREAKING: Austin bomber identified a Mark Anthony Conditt, per NBC News https://t.co/mSXcsX43nX</t>
  </si>
  <si>
    <t>RT @FoxNews: .@CLewandowski_: "When I ran the Trump campaign for almost a 2-year window, @CamAnalytica was not one of our vendors." https:/…</t>
  </si>
  <si>
    <t>RT @seanandfrank: Deputy Press Secretary Raj Shah: "Confident" That Spending Bill Will Pass By Friday, No Talk Of Border Wall https://t.co/…</t>
  </si>
  <si>
    <t>RT @FLOTUS: Snow day ❄️ @WhiteHouse https://t.co/D5JquT9qiv</t>
  </si>
  <si>
    <t>RT @B75434425: "Today Attorney General Sessions issued the following memo to U.S. Attorneys providing guidance regarding the use of capital…</t>
  </si>
  <si>
    <t>RT @jerome_corsi: Tomorrow THURSDAY March 22, my VIRTUAL BOOK TOUR goes LIVE at 9:00 pm on FACEBOOK here: https://t.co/Ej1GdfM3ET Please JO…</t>
  </si>
  <si>
    <t>RT @TRUMPMOVEMENTUS: Photo of the Day
First Lady Melania Trump participates in a Cyber Security and Technology Roundtable - March 20, 2018…</t>
  </si>
  <si>
    <t>RT @RealEagleWings: The suspect behind a series of bombings in Texas is dead. Officers confronted the man overnight and say he detonated an…</t>
  </si>
  <si>
    <t>RT @DFBHarvard: Don't you wish Uncle Sam did more to stand up against Obama's Poison Policies, Deceit &amp;amp; Corruption? 
Trump &amp;amp; Republicans m…</t>
  </si>
  <si>
    <t>RT @Perch313: #DeleteFacebook https://t.co/Dlkhi2BeXb</t>
  </si>
  <si>
    <t>RT @AP_Politics: BREAKING: Incumbent Bruce Rauner wins Republican primary for Illinois governor. @AP race call at 10:29 p.m. CDT. #Election…</t>
  </si>
  <si>
    <t>RT @John_KissMyBot: What part of ‘NO’ Does The Fake News Not Understand ? 
WH Press Secretary Sarah Sanders Has Repeatedly told them that…</t>
  </si>
  <si>
    <t>RT @WayneDupreeShow: The FIVE (5) Texas bombings in one month should be the #1 story on TV and the major networks aren't giving this proper…</t>
  </si>
  <si>
    <t>RT @jonathanvswan: Admin officials I’ve spoken to are stunned by this leak. Has rattled senior officials. https://t.co/LEZ38J9LSc</t>
  </si>
  <si>
    <t>RT @FoxBusiness: .@PressSec: "The @POTUS is not considering or discussing the firing of special counsel Robert Mueller." https://t.co/YXKvV…</t>
  </si>
  <si>
    <t>RT @DonDonsmith007: Everyone needs to be following this Great Veteran lets get him over to 18K https://t.co/CY5fSEp5Bc</t>
  </si>
  <si>
    <t>RT @Thomas1774Paine: Florida teacher arrested after she threatened to ‘blow everyone up’ at school, cops say https://t.co/vHMTjelGCH</t>
  </si>
  <si>
    <t>RT @marc_lotter: While John Oliver was attacking Mike Pence over a children's book for charity, @VP was welcoming home fallen American hero…</t>
  </si>
  <si>
    <t>RT @RealMAGASteve: 🚨Breaking News:🚨
“...we know that McCabe has lied by the independent inspector general who found it, and now the I.G. is…</t>
  </si>
  <si>
    <t>RT @Austin_Police: #UPDATE: There was no package explosion in the 9800 block of Brodie Ln. Items inside package was not a bomb, rather an i…</t>
  </si>
  <si>
    <t>RT @MichaelDelauzon: https://t.co/c4OKxk26Lr</t>
  </si>
  <si>
    <t>@4Mischief @SpiritOfFalcon @ShowboatBob @Happyheart411 @Prioritychart45 @Southern1337 @Misfittwit @tjberetta @Shopgirl4592 @RSIDareYa7221 @RKFollowsChrist @tkinder @Lilsunshinegurl @tutster_2 @TimothyHamby2 @SharonUSA2 @sliderblaze2 @jlhtchr @CRJJRiley @TuesdaysW_GPS  https://t.co/L43FE4FAgS</t>
  </si>
  <si>
    <t>@4Mischief @SpiritOfFalcon Thank you!</t>
  </si>
  <si>
    <t>RT @lsmith4680: BREAKING NEWS! Another package explosion at Goodwill on Brodie Lane in Austin, Tx. One person injured. This is approx 3.5 m…</t>
  </si>
  <si>
    <t>RT @johncardillo: Do you care what strippers and porn stars have to say about POTUS?</t>
  </si>
  <si>
    <t>RT @bbusa617: Former Employee: 'Horrifying' Misuse of User Data Routine at Facebook | Breitbart https://t.co/XYAmrzqjZy via @BreitbartNews…</t>
  </si>
  <si>
    <t>RT @terryan11210907: This is what a HERO LOOKS LIKE DEMWIT LIBS.He SAVED CHILDREN'S LIVES TODAY, maybe YOUR CHILD,  by Killing a School Sho…</t>
  </si>
  <si>
    <t>RT @LibertysArmyJr: Howdy y'all. Please order your copy of the Amazon Best Seller "Marlon Bundo's Day in the Life of the Vice President" by…</t>
  </si>
  <si>
    <t>RT @AlBoeNEWS: #BREAKING: The U.S. Supreme Court has granted a stay of execution to a Missouri inmate who argues that the execution process…</t>
  </si>
  <si>
    <t>RT @JasonHallmark3: PROVERBS 27: 17📜KJVIron sharpeneth iron; so a man sharpeneth the countenance of his friend. https://t.co/qlKuJI9RMr</t>
  </si>
  <si>
    <t>RT @FoxNews: .@FLOTUS: "I’m here with one goal: helping children in our next generation." At a roundtable on cyberbullying Tuesday, Melania…</t>
  </si>
  <si>
    <t>RT @RealSaavedra: #BREAKING: @BrowardSheriff deputy assigned to patrol Stoneman Douglas suspended for sleeping in patrol car while on duty.</t>
  </si>
  <si>
    <t>RT @GrrrGraphics: Bonus #BenGarrison #cartoon 
Dumb and getting Dumber
Pumpkin pie hair-cutted freak #JimCarrey "artist" attacks #Christian…</t>
  </si>
  <si>
    <t>RT @MichaelDelauzon: For Barron's birthday today he got a soccer net in the Kennedy garden of the White House 🎁❤️*The WH asks photographers…</t>
  </si>
  <si>
    <t>RT @grindall61: California has fallen so far that what this man is saying is considered revolutionary in our state. #LosAlamitos votes to r…</t>
  </si>
  <si>
    <t>RT @davis1988will: "This Great Mills High School armed school resource officer, you're not hearing anyone in #MSM talk about it because it…</t>
  </si>
  <si>
    <t>RT @RealSaavedra: #BREAKING: Illegal immigrants, who dodged California ICE raid after Democrat mayor's tip-off, re-arrested for committing…</t>
  </si>
  <si>
    <t>RT @TRUMPKAGPENCE: OK OK
We can IMMEDIATELY STOP BOMBS IF
Texas/US Raises the age limit to at least 21 for bomb making  #NRA
US NAVY RETIR…</t>
  </si>
  <si>
    <t>RT @RyanAFournier: The Constitution: It doesn’t need to be rewritten, it needs to be reread.</t>
  </si>
  <si>
    <t>RT @AndyColeman79: Honored to announce @Jim_Jordan has endorsed my race for #Congress! Gaining the support of this #conservative champion &amp;amp;…</t>
  </si>
  <si>
    <t>RT @FoxNews: "We support President #Trump's policies, with regards to Iran, completely. We believe they are the right policies. We believe…</t>
  </si>
  <si>
    <t>RT @historylvrsclub: The original Moulin Rouge the year before it burned down, Paris, 1914. Photograph from Albert Kahn museum collection h…</t>
  </si>
  <si>
    <t>RT @AngeloRayGomez: Parkland: Shooter goes into school where no one has guns and commits mass murder 
Maryland: Shooter goes to school wit…</t>
  </si>
  <si>
    <t>@wvufanagent99 @zack_nola @JNongel @CarnahanVal @blakehalltexas @Nameless_Goon @USA_AllenK @NalydV1776 @DanOHerrin @SiddonsDan @watchdoggy @TheSilentLOUD @Twisted_Texan @TheBeaSmith @HeartForty5 @christianllamar @firemandon68 @Imabitc35666572 @Mom15411th @poconomtn @AmericanGirl815 @GalaxyGirl007 @CudaBabe2 @TruthMatters13 @GenFlynn @jcpenni7maga @BryonnyM @SuisseCovfefe @DaZipstahh @SuzaSusan @APTT45Babe @kg_NewsAccount @ForrestCSmith @TestyTarheel @Real_Gaz @holly_thor_gaz @hickorymtnman @Pixinamerica1 @CudaDebbie Keep em coming. I follow back!</t>
  </si>
  <si>
    <t>RT @wvufanagent99: @zack_nola @JNongel @CarnahanVal @blakehalltexas @Nameless_Goon @USA_AllenK @NalydV1776 @DanOHerrin @SiddonsDan @watchdo…</t>
  </si>
  <si>
    <t>RT @zack_nola: @JNongel 
@CarnahanVal 
@blakehalltexas 
@Nameless_Goon 
@USA_AllenK 
@NalydV1776 
@DanOHerrin 
@SiddonsDan 
@watchdoggy 
@T…</t>
  </si>
  <si>
    <t>RT @PersistenceTee: https://t.co/jWEvY2B8VA</t>
  </si>
  <si>
    <t>RT @cs0058sc: 🚨🚨🔥TRUTH BOMB🔥🚨🚨🚨
“President Obama used his executive powers to attack industries to lower the value of certain companies, a…</t>
  </si>
  <si>
    <t>RT @wsvn: #BREAKING: Two students at Marjory Stoneman Douglas High School have been arrested for bringing weapons on the school campus, whi…</t>
  </si>
  <si>
    <t>RT @jdolan2020: 💥This sounds like it begs for an investigation. Looks like a “How to get-rich-quick as a government employee” handbook was…</t>
  </si>
  <si>
    <t>RT @PaulStanda: Dirty or Not Dirty???   #qanon   #dirtyornot
Marco Rubio</t>
  </si>
  <si>
    <t>RT @RealJamesWoods: When excessive regulation kills... #Obama https://t.co/70uzNgaKRz</t>
  </si>
  <si>
    <t>RT @kwilli1046: RETWEET - If you are part of the 83% of Americans who say Government "SHOULD NOT" Give Benefits to Illegal Aliens.</t>
  </si>
  <si>
    <t>RT @FLOTUS: It was a very productive meeting on cyber safety &amp;amp; how to teach our children to be responsible digital citizens. Thank you @ama…</t>
  </si>
  <si>
    <t>@TT45Pac @0spfinsib @1200rGSrider @1opionator @3rdray @45PatriotGirls @81Gregory @AaronFr88 @abtugrad112015 @AC33333333 Following all. Please follow back</t>
  </si>
  <si>
    <t>RT @2_bluestarmom: I knew he was a fruit loop. Was wondering how long it would take actually. He's never Trump and like most of them, he we…</t>
  </si>
  <si>
    <t>RT @JohnCooper0610: REPORT: via @OANN #Mueller cooperated with Islamic organizations to destroy anti-terrorist documents due to political c…</t>
  </si>
  <si>
    <t>RT @SebGorka: Now comes the real test for the Attorney General. 
Here’s why:
https://t.co/s7Mk221Dg1
@thehill</t>
  </si>
  <si>
    <t>RT @steffan_nancy: This guy has got to go. https://t.co/kqrPOXU9nj</t>
  </si>
  <si>
    <t>RT @bbusa617: Hannity BREAKS the Internet With This Warning After McCabe’s Firing https://t.co/KdQJv8ukXY
HANNITY WARNS/PROMISES NcCABE'S…</t>
  </si>
  <si>
    <t>RT @commonpatriot: via @RedState: Third Cambridge Analytica Video Details Trump Digital Campaign (and How They Infiltrated the Internet) ht…</t>
  </si>
  <si>
    <t>RT @Chicago1Ray: " Let #McCabe waive his right of privacy &amp;amp; demand that the public see the [OIG] report &amp;amp; the [OPR] report then we can deci…</t>
  </si>
  <si>
    <t>RT @DFBHarvard: Zack This is an Outstanding List of Followers. Pay Particular Attention to @DFBHarvard. 
He has recently been getting soli…</t>
  </si>
  <si>
    <t>@TT45Pac @swiveltwister @admanohio @aging_wisdom @AllllAbboaaardd @alshabob2 @America_Again_ @AmericanCro @amerikendream @AnnThacker2 @AppSame @asteadfastfaith @AuntFannysPants @AzLakeHouse Thanks!</t>
  </si>
  <si>
    <t>RT @TheGreatFeather: Initially, twitter was a social venue... It has evolved into a political infrastructure... The main stream media for c…</t>
  </si>
  <si>
    <t>RT @sxdoc: GeorgeWebb: Some SES Members
Barack Obama, Hillary Clinton, James Comey, Robert Mueller, Rod Rosenstein, Bruce Ohr, John F Kerry…</t>
  </si>
  <si>
    <t>RT @DallasIrey: #Trumpville
@KrisSGator 
@MiniSue0331 
@GOODTXN62
@NotBuyingIt34 
@Rina_L4 
@bud_cann 
@RoaroftheLion8 
@formulalol 
@Ellen…</t>
  </si>
  <si>
    <t>RT @christianllamar: Chairman Gowdy stated on @FoxNews, " We cant COMPEL testimony. We dont PROSECUTE crimes. " As a friendly reminder @TGo…</t>
  </si>
  <si>
    <t>RT @ArthurCSchaper: RNC Breaks Another Fundraising Record https://t.co/FKCNtgHUt6
Yet for all that money, @nrcc still lost #PA18.
It's not…</t>
  </si>
  <si>
    <t>RT @JackPosobiec: Here's a tip on how to keep your data safe from Facebook https://t.co/y8Dkxb8F6F</t>
  </si>
  <si>
    <t>RT @TheLastRefuge2: President Trump Hosts Law Enforcement Roundtable To Discuss Lawless Sanctuary Cities… https://t.co/lqiYGJtrzC https://t…</t>
  </si>
  <si>
    <t>RT @BossSquirrel72: BREAKING: GOP Candidate Just COLLAPSED On Stage – Watch What Opponent Immediately Did https://t.co/sCaCTpzL77</t>
  </si>
  <si>
    <t>RT @Patrici15767099: I would like to apologize for all the negative post I posted about AG Jeff Sessions because of my own impatience.
Thi…</t>
  </si>
  <si>
    <t>RT @DFBHarvard: Well I must look desperate! 
My first DM from a Ukrainian woman who is in search for her beloved!
I apparently have lost…</t>
  </si>
  <si>
    <t>RT @SBelle1950: "REPORT: Lone NY sheriff signs on to help with immigration crackdown"
There is a difference in LEGAL immigration and ILLEGA…</t>
  </si>
  <si>
    <t>RT @KingsbroGodsson: .@FoxNews on #Periscope: President Trump hosts a law enforcement roundtable https://t.co/O4yXxbzIil</t>
  </si>
  <si>
    <t>RT @LisaMei62: Imagine that....how much of our tax dollars did they WASTE to come to this conclusion? So...with the House AND Senate ending…</t>
  </si>
  <si>
    <t>RT @RealMattCouch: Irony is a beautiful thing... So is Karma... 
President Trump's Attorney is seeking $20 Million in Damages from Stormy…</t>
  </si>
  <si>
    <t>RT @SonofLiberty357: A Tale of Two School Shootings: 
In one, resource officer(s) hid outside while 17 people were killed by shooter.
In…</t>
  </si>
  <si>
    <t>RT @RubinReport: Though it was pre-beard, I’m proud to say that my @prageru video is now their most viewed on YouTube: https://t.co/4r8M1G0…</t>
  </si>
  <si>
    <t>RT @seanhannity: Armed guard 'engaged' school shooter within minutes https://t.co/sn5Ew6zrhq</t>
  </si>
  <si>
    <t>RT @WhiteHouse: On #NationalAgDay we acknowledge the tremendous work ethic, ingenuity, determination, &amp;amp; perseverance that define American f…</t>
  </si>
  <si>
    <t>RT @syqau: Ex-French President Sarkozy In Police Custody Over Libyan Aid For His 2007 Campaign https://t.co/quclqsY7a7</t>
  </si>
  <si>
    <t>RT @LouDobbs: Great Read! #MAGA @realDonaldTrump #TrumpTrain #DTS #Dobbs https://t.co/aivXQ6MKzC</t>
  </si>
  <si>
    <t>RT @bud_cann: ‘Joe Biden is worried about a book due out entitled ‘Secret Empires’ about hidden corruption within the political mainframe.…</t>
  </si>
  <si>
    <t>RT @AnthemRespect: 👊CA CITY TELLS ROGUE STATE  TO POUND SAND👊
🇺🇸The Constitution, Sane Leaders, &amp;amp; Safety Prevail🇺🇸
🔥No disastrous #Sanctuar…</t>
  </si>
  <si>
    <t>RT @MADE__USA: 🚨 Did you delete your Facebook yet? #MAGA #TrumpUSA #HarvestedData #DeleteFacebook #TrumpPoll #DeleteFacebook</t>
  </si>
  <si>
    <t>RT @Ohio_Buckeye_US: This is what the MSM refuses to report..Wake up America.
#2ADefenders 
#ARIELSARMY https://t.co/MooPjhsoXx</t>
  </si>
  <si>
    <t>RT @Dawn_DeMore1: #LockHerUpAlready!!! 
Corruption Beyond Belief!
DOJ: Inspector General Examining Whether McCabe Was Promised Promotion T…</t>
  </si>
  <si>
    <t>RT @adjunctprofessr: 🚨🚨🚨RT! RT! RT!
Please sign &amp;amp; verify the White House petition to remove the Senior Executive Services!
⤵️⤵️⤵️⤵️
https:/…</t>
  </si>
  <si>
    <t>RT @DFBHarvard: #ProjectConnect @DFBHarvard 
Some of my Favorite Listers ~ @4Mischief, @DallasIrey, @dherman001, @GeanineC,  @HoosierTrump…</t>
  </si>
  <si>
    <t>RT @valsthewoman: I need 35 followers to hit my goal of 10,000.  
🇺🇸🇺🇸🇺🇸🇺🇸🇺🇸🇺🇸🐘
#MAGA #TrumpTrain 
Will you
R E T W E E T and
F O L L O W?…</t>
  </si>
  <si>
    <t>RT @GodlessNZ: It looks like the school's armed LEO engaged the shooter, potentially saving lives. 
Only a good guy with a gun can stop a…</t>
  </si>
  <si>
    <t>RT @ScottPresler: I'm looking for volunteers in: 
✔️Indiana
✔️Missouri
✔️Montana
✔️North Dakota
✔️West Virginia
If you will commit to help…</t>
  </si>
  <si>
    <t>RT @RedStormIsHERE: #TuesdayThoughts
Please @POTUS May we DROP all charges against @GenFlynn!?
#ExonerateFlynn
A TRUE #American HERO &amp;amp; #…</t>
  </si>
  <si>
    <t>RT @roswell2001: .@FoxNews on #Periscope: White House Press Briefing https://t.co/vDFJspNwRi</t>
  </si>
  <si>
    <t>RT @ClintonMSix14: 🚨 FOLLOW ALERT 🚨
Patriots if you're not following @tomdelbeccaro you're missing out!!
He is a brilliant author, lawyer…</t>
  </si>
  <si>
    <t>RT @powerglobalus: @tomdelbeccaro @realDonaldTrump @SaysMissy @SebGorka @seanhannity @KimStrassel @KennedyNation @JesseBWatters @SpeakerTim…</t>
  </si>
  <si>
    <t>RT @tomdelbeccaro: The blame @realDonaldTrump crew simply cannot help themselves.
@SaysMissy @SebGorka @seanhannity @KimStrassel @KennedyN…</t>
  </si>
  <si>
    <t>RT @thinkrightuk: We are the moderate ones. What is more moderate than defending your home and trying to save your nation from an organised…</t>
  </si>
  <si>
    <t>RT @Happyheart411: https://t.co/ngcT2EI7la</t>
  </si>
  <si>
    <t>RT @OliverMcGee: Happy Birthday, Barron Trump! Retweet to wish Barron a Happy Birthday! 🇺🇸🇺🇸 https://t.co/OyAxngL5xZ</t>
  </si>
  <si>
    <t>RT @lsmith4680: Thank you Lord for putting Deputy Sheriff Gaskel at Great Mills High School today! Because of his chivalry &amp;amp; heroism, he ki…</t>
  </si>
  <si>
    <t>RT @TXRedPilled: Dear Mr. #Mueller, You can call off the witch hunt‼️ I found her‼️‼️ https://t.co/oonyeaLEkR</t>
  </si>
  <si>
    <t>RT @holly_thor_gaz: Well, well, well!!!!
What's good for the goose is good for the flipping gander!
"McCabe once suspended an agent witho…</t>
  </si>
  <si>
    <t>RT @GartrellLinda: An armed guard saved the students in this school from a massacre. But schools must install metal detectors to stop an as…</t>
  </si>
  <si>
    <t>RT @MichaelDelauzon: Saudi Crown Prince Mohammed tells @POTUS his country is the oldest ally of the United States in the Middle East. https…</t>
  </si>
  <si>
    <t>RT @RightWingAir: Look up in the sky
Its a bird, no a plane
Lookout y'all
it's the #TrumpTrain!
We're flying now
Version 2.0
#TaxCuts down…</t>
  </si>
  <si>
    <t>RT @DallasIrey: #Trumpville #Vets 🇺🇸
@babycatcher16 
@DragnetPep 
@Ratpack4Trump
@ItsFiveO 
@OldJoedphillips 
@V22_USMC 
@pjbowles4 
@There…</t>
  </si>
  <si>
    <t>RT @Coleen54398058: BREAKING: Media Silent on Maryland School Shooting After They Find Out Who Stopped the Shooter https://t.co/i49thr8Zor…</t>
  </si>
  <si>
    <t>RT @mitchellvii: #Facebook wanted to censor the #TrumpTrain.  In the end, the only thing they censored was their stock price.
Oh, and PS,…</t>
  </si>
  <si>
    <t>RT @skjultster: Seeking to calm nervous Facebook investors, Zuckerberg comes clean https://t.co/ZFd4efZPza</t>
  </si>
  <si>
    <t>RT @bbusa617: GOP: Voter Machine Errors https://t.co/bAOu7oCP0x 
GOP UNCOVERS VOTER MACHINES MISCALIBRATED IN Alleghany Co Only County To…</t>
  </si>
  <si>
    <t>RT @PressSec: .@POTUS mourns for victims of the recent bombings in Austin. We are monitoring the situation, federal authorities are coordin…</t>
  </si>
  <si>
    <t>RT @DallasIrey: #Trumpville would like to wish 
Barron Trump a Happy 12th Birthday
Hope you have a wonderful day 🎈#GodBless 🎈🎈
#BestWishes…</t>
  </si>
  <si>
    <t>RT @girl4_trump: More #Democratic #ObamaAdministration #Corruption It was an 8 yr crime spree. #TuesdayThoughts #Biden #PayToPlay #LockThem…</t>
  </si>
  <si>
    <t>RT @barbarabwatkins: #Obama
#PoliticalDataMining
Obama's Former Campaign Director Makes Bombshell Claim: Facebook Was "On Our Side" | Zero…</t>
  </si>
  <si>
    <t>RT @NotBuyingIt34: Don’t tell us we can’t question you. You aren’t old enough to smoke, drink, or vote. You WILL be questioned. Especially,…</t>
  </si>
  <si>
    <t>RT @zack_nola: 🚨 Walter Jeziorski shot Officer Rich Lehr multiple times. Lehr was brought to St. Joseph’s Hospital, was in good condition a…</t>
  </si>
  <si>
    <t>RT @4uConservatives: Newly released #ICanOnlyImagine is soaring above ticket sales on Avengers: Infinity Wars, Black Panther, and A Wrinkle…</t>
  </si>
  <si>
    <t>RT @dailyreverb: Multiple Injuries Reported In Maryland High School Shooting… https://t.co/0TR2CztMKb https://t.co/F5FQKWCyM1</t>
  </si>
  <si>
    <t>RT @GmanFan45: Thank you wikileaks for exposing the absolute trash that run social media
#MAGA
#Gmanfan45 https://t.co/zn2VPjM8Fq</t>
  </si>
  <si>
    <t>RT @Thomas1774Paine: FBI Ramping Up Full Blown Investigation of Zuckerberg’s Facebook; Larger Scheme Aimed At Electing Hillary https://t.co…</t>
  </si>
  <si>
    <t>RT @MichaelDelauzon: Full statement from @TheJusticeDept. #opioidcrisis https://t.co/u4c5a88vmZ</t>
  </si>
  <si>
    <t>RT @jodaka97: And the walls are crumbling down......
Facebook Chief Security Officer Quits After Clashing Over "Spread Of Disinformation" |…</t>
  </si>
  <si>
    <t>RT @KMGGaryde: 🇺🇸ELECTION DAY, ILLINOIS❗️VOTE RED❗️🇺🇸
🔴Jeanne Ives &amp;amp; Richard Morthland, Gov/Lt Gov🔴
#ILRising
#VoteRED
#ArmyOfTrump
#RedW…</t>
  </si>
  <si>
    <t>RT @Jamierodr10: This is the 5th explosion in Austin 😡 No Motive, No Suspects? This is getting scary and Ridiculous! It’s time to speed up…</t>
  </si>
  <si>
    <t>RT @RightWingAngel: If you are a @VP and family fan you must buy this book, written by his daughter: Proceeds from Marlon Bundo's A Day in…</t>
  </si>
  <si>
    <t>RT @Johnny_Congress: .@dbongino: "Comey was basically a part time leader at the FBI. Coming out very soon, we will discover some after hour…</t>
  </si>
  <si>
    <t>RT @jerome_corsi: READERS SHARING PHOTOS  https://t.co/pVCompw9uz    KILLING THE DEEP STATE: THE FIGHT TO SAVE PRESIDENT TRUMP - #1 on AMAZ…</t>
  </si>
  <si>
    <t>RT @Thomas1774Paine: BOILING POINT: Decorated FBI Heavyweight Spills the Beans on McCabe; Drops Devastating Bombs on Crooked FBI Cartel htt…</t>
  </si>
  <si>
    <t>RT @wikileaks: Facebook scandal widens: Democrats got hold of all Facebook profiles and friends ("the entire social graph") according to fo…</t>
  </si>
  <si>
    <t>RT @USAloveGOD: #Hannity on 'Fox &amp;amp; Friends': I Expect 'Criminal Charges' Against #McCabe 
"It is the biggest abuse of power in the history…</t>
  </si>
  <si>
    <t>RT @jamesldewitt: Early voting for Illinois primary far exceeds last midterm - ABC News https://t.co/qsKW4W7XXl (via @ABC)</t>
  </si>
  <si>
    <t>RT @LisaMei62: I'm convinced that this petition is being throttled somehow. The numbers are not climbing as high as they should be with as…</t>
  </si>
  <si>
    <t>RT @ShowboatBob: #BobsTrumpTrain
@4Mischief🇺🇸
@ShowboatBob
@willbarrett_1
@MarianneHofer
@mikebev45
@Ed08792346
@JoelleKarvois
@Carolyn_4_V…</t>
  </si>
  <si>
    <t>RT @zack_nola: This is the #PatriotGhostTrain 
Only way this train runs is if it keeps getting refueled. 
The train is refueled by retwee…</t>
  </si>
  <si>
    <t>@WildmanTy @zack_nola @Golfinggary5221 @Thom44810402 @holly_thor_gaz @hickorymtnman @rconnell396 @labuda_robert @iMSmedley @Emmylu9 Followed all. Love these lists</t>
  </si>
  <si>
    <t>RT @BB4SP: Here nine MAJOR issues. https://t.co/amOrQUHWbF</t>
  </si>
  <si>
    <t>RT @kazueger1: “Trump is not a Liberal nor a Conservative, ..he’s a pragmatist “. -Charles Krauthammer. .... Pragmatist ; A person guided m…</t>
  </si>
  <si>
    <t>RT @TheLastRefuge2: March 20th – 2018 Presidential Politics – Trump Administration Day #425 https://t.co/6LErf3oNGS https://t.co/87MX0VOcC5</t>
  </si>
  <si>
    <t>RT @ccamsden: That would be subversive.  They could/should be charged with treason. https://t.co/ooDK3TQVpH</t>
  </si>
  <si>
    <t>RT @drawandstrike: Reminder how leak proof the Trump administration is when it comes to real leaks: 
There was a big Middle Eastern Securi…</t>
  </si>
  <si>
    <t>RT @MichaelDelauzon: Happy 12th Birthday to First Son Barron Trump! 🎉🎂 
March 20, 2006 @POTUS @FLOTUS https://t.co/bFrtf1Iq95</t>
  </si>
  <si>
    <t>RT @seanhannity: FINALLY!! https://t.co/wE5sXHk0li</t>
  </si>
  <si>
    <t>RT @KimDotcom: Stay tuned. In a few hours you’ll get access to evidence that shows that the Megaupload raid was a White House operation spe…</t>
  </si>
  <si>
    <t>RT @historylvrsclub: The Romanov children, 1910. Colorized by Marie Velkoknezna. https://t.co/rrj8H7K3NS</t>
  </si>
  <si>
    <t>RT @LionelMedia: Bet you never heard of this. https://t.co/ES9Ivs6fUp</t>
  </si>
  <si>
    <t>RT @FedupWithSwamp: 🎼 ...and another one down... 🎼 https://t.co/Zf2o5olOJr</t>
  </si>
  <si>
    <t>RT @LisaMei62: Guardian: 'No One Can Pretend Facebook is Just Harmless Fun Any More' | Breitbart https://t.co/5wE5B0mZSx via @BreitbartNews</t>
  </si>
  <si>
    <t>RT @SaraCarterDC: Reports of serious damage as tornado rips through Alabama university campus via the @FoxNews App https://t.co/k8ZJlcRsrl</t>
  </si>
  <si>
    <t>RT @DeploreableDoc: Deep state collapsing rats may eat each other alive. LOL https://t.co/JFK4H9fnBP</t>
  </si>
  <si>
    <t>RT @ScottPresler: I just mailed 19 more thank you letters to Trump voters. 
I'm pleased to announce that I'll be training over sixty (60)…</t>
  </si>
  <si>
    <t>RT @ShowboatBob: #BobsTrumpTrain
#ActionTakersRT&amp;amp;FB 
#RidersRetweet!
@ShowboatBob
@sparksburns
@CuseFan3
@Lonestar357
@tradorknot
@simon952…</t>
  </si>
  <si>
    <t>RT @barmore27: Almost had it but not quiet! 
#DrainTheDeepStateSwamp 
#MondayMotivaton https://t.co/m7E6LyhPJA</t>
  </si>
  <si>
    <t>RT @consmover: 💥States Win Another Major Case Against #Obamacare💥
A federal judge in Texas threw out the Obama admin's imposition of a fed…</t>
  </si>
  <si>
    <t>RT @ChristieC733: Open War Breaks Out at #FoxNews 
      "REAL" REPORTING 🤣
      #ShepardSmith 
      #ChrisWallace 
       OPINION 🤔…</t>
  </si>
  <si>
    <t>RT @PoliticalShort: Glenn Simpson of Fusion GPS is married to Mary Jacoby. If we had actual journalists you would know that Jacoby was empl…</t>
  </si>
  <si>
    <t>RT @Thomas1774Paine: UPDATE: New Video Added -- Dem Congressman: Don’t Like Trump? Get a Gun &amp;amp; Do Something About It https://t.co/FfLjs4HLZ8</t>
  </si>
  <si>
    <t>RT @AnthemRespect: 🎥Live footage, From Los Alamitos,CA. City Council meeting tonight to vote on EXEMPTING itself from the disastrous #SANCT…</t>
  </si>
  <si>
    <t>RT @DFBHarvard: I Present the Listers!
@_LCMB_
@_Nitrocompound
@_Wolfie02
@4Mischief
@barmore27
@BigGator5
@bud_cann
@CudaDebbie
@DallasIre…</t>
  </si>
  <si>
    <t>RT @DjLots3: Look at our beautiful, talented @PressSec Sarah Sanders!!  She is smart, witty and quick on her feet.  @realDonaldTrump is luc…</t>
  </si>
  <si>
    <t>RT @mitchellvii: BREXIT NEWS: A deal has been reached between Brussels &amp;amp; Teresa May. It has been decided that the UK will keep EU law &amp;amp; OPE…</t>
  </si>
  <si>
    <t>RT @FoxNews: .@DevinNunes: “We just can’t have, in this country, where you have political dirt that’s paid for by one political party and u…</t>
  </si>
  <si>
    <t>RT @thebradfordfile: Sarah Sanders is a lovely human being. Jim Carrey is not. https://t.co/FHjzIvyyrU</t>
  </si>
  <si>
    <t>RT @TuckerCarlson: 2 questions matter: What did McCabe do &amp;amp; did it justify his firing? According to the FBI's office of prof responsibility…</t>
  </si>
  <si>
    <t>RT @MarkSimoneNY: The Moonbats at MSNBC/CNN/NYT/etc. keep forgetting to mention that it was the FBI that ordered McCabe’s firing and that M…</t>
  </si>
  <si>
    <t>RT @gramminy: #JTFMAGA to release “whistle blowers” report on Dems/FBI collusion.Focus is on a 10/29 meeting at home of former ambassador/D…</t>
  </si>
  <si>
    <t>RT @rumpfshaker: BREAKING: Brother of Parkland Shooter Arrested for Trespassing at School  https://t.co/bxQnGkAYEI</t>
  </si>
  <si>
    <t>RT @ShowboatBob: #1TrumpTrain
#LoveTrumpTrain
#MAGATrumpTrain
@ShowboatBob
@John_Sobeski
@PacerV
@Jeh57John
@mkennedy2104
@ColtsPens85
@Nan…</t>
  </si>
  <si>
    <t>RT @PaulLee85: Here’s a Monday morning laugh. Nancy Pelosi along with many other Democrats turned San Francisco into a pile 💩. They are try…</t>
  </si>
  <si>
    <t>RT @FoxNews: .@TGowdySC on McCabe firing: "Make no mistake, the FBI is who recommended that he be fired. It wasn't crazy House Republicans…</t>
  </si>
  <si>
    <t>RT @TheNYevening: Actress Demi Moore: “I Do Not Want Trump Supporters For Fans, First Of All I Hate Trump This Awful Country With Disgustin…</t>
  </si>
  <si>
    <t>RT @AnnaApp91838450: https://t.co/lc8DIquwYb
PATRIOTS SHOW SOME LOVE FOR THESE STUDENTS THAT STAND WITH OUR BELOVED PRESIDENT
#GodBlessAmer…</t>
  </si>
  <si>
    <t>RT @historylvrsclub: High Schoolers in 1976 https://t.co/onMUqZoJpX</t>
  </si>
  <si>
    <t>RT @MaCQ9N: @realDonaldTrump delivers remarks on efforts to combat the opioid crisis.  
https://t.co/d4jLiHHBwL</t>
  </si>
  <si>
    <t>RT @sarahkendzior: Rural Alabama gas station. I was there getting a Snickers. https://t.co/eGraFplA43</t>
  </si>
  <si>
    <t>RT @linda_knorr: Rod Rosenstein Submitted False Documents To Senate Concerning His Interrogation of Hillary Clinton: https://t.co/krYj4b2OyU</t>
  </si>
  <si>
    <t>RT @RealMAGASteve: Breaking: McCabe Altered Strzok’s 302 Notes On Gen. Flynn Interview, And Destroyed Evidence.
McCabe also changed interv…</t>
  </si>
  <si>
    <t>RT @IWillRedPillU: The Internet Bill of Rights - Petitioning the White House
Please Sign The Petition &amp;amp; Share to Your Friends/Family
@realD…</t>
  </si>
  <si>
    <t>RT @DallasIrey: #Trumpville
@GenFlynn 
@WilburHaines 
@BollesDwayne 
@Junebeeforvetso 
@LanePhillips505
@Issafitfan 
@EarlHurrey 
@DallasIr…</t>
  </si>
  <si>
    <t>RT @ShowboatBob: #BobsTrumpTrain
#ActionTakersRT&amp;amp;FB 
#RidersRetweet!
@ShowboatBob
@EdFlatbeded
@Flowerp94313730
@MeticulousPaul
@aseeger3
@…</t>
  </si>
  <si>
    <t>RT @MarkSimoneNY: Andrew McCabe was fired at the recommendation of the FBI's Office of Professional Responsibility. The head of that office…</t>
  </si>
  <si>
    <t>RT @FoxBusiness: Medieval 'pot o' gold' discovered by construction workers https://t.co/dG4s2iiIoM https://t.co/OPfkr2MpEd</t>
  </si>
  <si>
    <t>RT @MAGANinaJo: .@AdamSchiffCA My guess is you yourself colluded &amp;amp; will continue to collude on many matters for which you will be subject t…</t>
  </si>
  <si>
    <t>RT @RepMattGaetz: In June of 2017, the Justice Department asked the FBI to turn over all of Mr. McCabe’s correspondence to the watchdog gro…</t>
  </si>
  <si>
    <t>RT @OANN: Czech Republic Looking to Move Israeli Embassy to Jerusalem - https://t.co/rLEfjIIYRM #OANN https://t.co/AqsOE5cGHA</t>
  </si>
  <si>
    <t>RT @RepMattGaetz: The @FBI is not above the law, &amp;amp; #McCabe’s dishonesty does not uphold the FBI’s commitment to fidelity, bravery, &amp;amp; integr…</t>
  </si>
  <si>
    <t>RT @tedcruz: Hollywood liberals have made their choice, putting their $$ to work trying to turn Texas blue. They love open borders &amp;amp; grabbi…</t>
  </si>
  <si>
    <t>RT @chuckwoolery: Rod Rosenstein Submitted False Documents To Senate Concerning His Interrogation of Hillary Clinton https://t.co/knwnd5ZSV…</t>
  </si>
  <si>
    <t>RT @cc_candycane: @realDonaldTrump @POTUS #TrumpIsTheStorm #Thunder https://t.co/9XhqmicRvD</t>
  </si>
  <si>
    <t>RT @r3leasethememo: Attempt on another trump?  #Qanon 8chan #QAnon https://t.co/kHeopPa8cx</t>
  </si>
  <si>
    <t>RT @CPMTalk: lol @premiersalesinc https://t.co/jgZlWLusWH</t>
  </si>
  <si>
    <t>RT @RepStevenSmith: WHITE HOUSE Fingers CIA’s Brennan and John McCain for Leaking Anti-Trump Intel &amp;amp; Waging Deep State Smear Campaign https…</t>
  </si>
  <si>
    <t>RT @MilitaryEarth: Happy birthday to oldest living Pearl Harbor survivor. Ray Chavez turned 106 this week! He reportedly still works out wi…</t>
  </si>
  <si>
    <t>RT @BillOReilly: The upcoming report by Justice Department Inspector General Michael Horowitz will tilt this ultra-serious situation.  At t…</t>
  </si>
  <si>
    <t>RT @KamVTV: U.S. Supreme Court rejects Arizona challenge to 'Dreamers' program. 
Slowly but surely our constitution is standing.  https://…</t>
  </si>
  <si>
    <t>RT @DLoesch: Oh my gosh. They loaded the mag backwards. 🤦🏻‍♀️ https://t.co/74s3IaMYsH</t>
  </si>
  <si>
    <t>RT @1776Stonewall: Today In History 1766: After months of protests in the American colonies British Parliament repeals the stamp act. The S…</t>
  </si>
  <si>
    <t>RT @GregAbbott_TX: Thanks to Orange Co. Republicans for the huge turnout &amp;amp; the warm welcome; and for your hard work to #KeepTexasRed. Thank…</t>
  </si>
  <si>
    <t>RT @MilitaryEarth: Honoring Navy SEAL Adam Brown who selflessly sacrificed his life eight years ago today in Afghanistan for our great Coun…</t>
  </si>
  <si>
    <t>RT @MilitaryEarth: This is awesome! https://t.co/q7ppXJg0T7</t>
  </si>
  <si>
    <t>RT @historylvrsclub: The original Sony Walkman, 1980. https://t.co/WITzKanEtB</t>
  </si>
  <si>
    <t>RT @FoxNews: Moments ago, President @realDonaldTrump wished everyone a Happy #StPatricksDay. https://t.co/OHtrM2fPbL</t>
  </si>
  <si>
    <t>RT @Trein3: #TrumpTrain #AllAboard 🚂🇺🇸 @Trein3 
@ShowboatBob
@fugginflorida
@BBRanchGJ
@GreatGalIsHere
@rahiggs
@theleftsaidwhat
@cprhd386…</t>
  </si>
  <si>
    <t>RT @RepMarkMeadows: Andrew McCabe was an incredibly central figure to multiple investigations leading up to the 2016 elections.
His firing…</t>
  </si>
  <si>
    <t>RT @greta: Why was McCabe fired? Below from Wash Post https://t.co/QfboxIjkTK</t>
  </si>
  <si>
    <t>RT @USMC: This week, @SECNAV named a @USNAVY Destroyer after Irish immigrant and Navy Cross recipient, Lance Cpl. Patrick Gallagher. https:…</t>
  </si>
  <si>
    <t>RT @foxandfriends: .@TomFitton: McCabe’s firing is a blow to the deep state effort to target President Trump https://t.co/tB2kENVc7i</t>
  </si>
  <si>
    <t>RT @chfortrump: 🚨Hacker who turned in Bradley/Chelsea Manning for military leaks found dead https://t.co/TmNVPlecp3</t>
  </si>
  <si>
    <t>RT @ByronYork: The IG report that led to McCabe firing is coming at nearly same time James Comey begins big book publicity tour. What could…</t>
  </si>
  <si>
    <t>RT @GartrellLinda: DALLAS DA Looking at Possible Voter Fraud w Over 1200 Absentee Ballot Applications 4 Dead Voters 
Suspicious b/c applica…</t>
  </si>
  <si>
    <t>RT @RealMAGASteve: Sara Carter is reporting her sources are saying there will be criminal charges filed against Andrew McCabe soon.</t>
  </si>
  <si>
    <t>RT @joshdcaplan: AG Sessions' statement on firing Andrew McCabe: "Both the OIG and FBI OPR reports concluded that Mr. McCabe had made an un…</t>
  </si>
  <si>
    <t>RT @JackPosobiec: cc: @GenFlynn https://t.co/cDxBE3SZXx</t>
  </si>
  <si>
    <t>RT @GunOwners: Happy birthday to James Madison, father of the Constitution! https://t.co/OPFgzGDO8h</t>
  </si>
  <si>
    <t>RT @FoxNews: BREAKING: Former FBI Deputy Director Andrew McCabe was fired on Friday night, Attorney General Jeff Sessions announced. https:…</t>
  </si>
  <si>
    <t>RT @realDonaldTrump: Andrew McCabe FIRED, a great day for the hard working men and women of the FBI - A great day for Democracy. Sanctimoni…</t>
  </si>
  <si>
    <t>RT @GrrrGraphics: The Fall of #HillaryClinton new #BenGarrison #cartoon slip sliding' away!
#LockHerUp #FridayFeeling 
more at https://t.co…</t>
  </si>
  <si>
    <t>RT @rzimmermanjr: Dear Friends,
I’m pleased to announce our new organization dedicated to fighting back against the Fake News Media’s destr…</t>
  </si>
  <si>
    <t>RT @peaceandjoy101: AG Sessions,
The #DeepState doesn’t get a free pass. 
Or does it?
 #FireMcCabe https://t.co/e6oxvCothw</t>
  </si>
  <si>
    <t>RT @CaryLynnWolfe1: 186 needed to get to 10k https://t.co/sR2r1j5eRE</t>
  </si>
  <si>
    <t>RT @TruthMatters13: "No man is entitled to the blessings of freedom unless he be vigilant in its preservation." --Gen. Douglas MacArthur #R…</t>
  </si>
  <si>
    <t>RT @TruthMatters13: "The brave die never, though they sleep in dust: Their courage nerves a thousand living men." -- Minot J. Savage #Milit…</t>
  </si>
  <si>
    <t>RT @AllenWestRepub: Incredible. https://t.co/qAp9J7JWV1</t>
  </si>
  <si>
    <t>RT @dcexaminer: House will vote again next week on failed bill to boost experimental drug access https://t.co/BfyyvYDe1d https://t.co/XvJ5f…</t>
  </si>
  <si>
    <t>RT @Fred_Cathy_Ret: WARNING! To all our followers:
This is a twitter virus! Do not re-tweet or click on this!
Just saw this a few minutes…</t>
  </si>
  <si>
    <t>RT @DallasIrey: #Trumpville
@kuch60
@MDavidMorris2 
@susanleemartin 
@DallasIrey
@desireed665 
@TT45Pac 
@pjbowles4 
@JaguarJinx 
@1kickass…</t>
  </si>
  <si>
    <t>RT @realDonaldTrump: Our thoughts and prayers go out to the families and loved ones of the brave troops lost in the helicopter crash on the…</t>
  </si>
  <si>
    <t>RT @FoxNews: Companies behind Florida bridge collapse have history of fines, failures, lawsuits https://t.co/sRjCSGfMr2</t>
  </si>
  <si>
    <t>RT @DeptofDefense: #SecDef Mattis held a town hall with a thousand #servicemembers during a recent stop at NAVCENT headquarters @US5thFleet…</t>
  </si>
  <si>
    <t>RT @LauraLoomer: BREAKING: All 7 U.S. soldiers onboard a Black Hawk helicopter that crashed in western Iraq near the border with Syria yest…</t>
  </si>
  <si>
    <t>RT @SanamMKhi: Twitter pals, pls help - My book on #QandeelBaloch is out in May (fingers crossed), and we want to use this image in the boo…</t>
  </si>
  <si>
    <t>RT @UnTamedInSD: apparently you didn't get the Memo...that is #FakeNews . 
#RINO #obstructionist #Swamp https://t.co/rLdA3616GE</t>
  </si>
  <si>
    <t>RT @PoliticalShort: Turns Out Trump's Nominee to Head CIA Did Not Oversee Waterboarding in Thailand. Haspel was the chief of base in Thaila…</t>
  </si>
  <si>
    <t>RT @pjbowles4: ❤💙❤💙❤💙
#Trumpville Week 3-9-18
@startpackin-9K
@DanAndr66-12K
@rkinseth-10K
@TombStoneBub-20K
@kevinrob1863-8K
@NewtTekell-3…</t>
  </si>
  <si>
    <t>RT @GovMikeHuckabee: If McCabe ISN'T fired as per FBI investigative unit,then can ANYONE lie to FBI w/ no consequences?  Apologize and rest…</t>
  </si>
  <si>
    <t>RT @DFBHarvard: A Favor Please! 
If these lists work for you please Retweet them &amp;amp; check "Liked" so that we have some feedback! 
Otherwis…</t>
  </si>
  <si>
    <t>RT @BillOReilly: There is Trump fatigue sweeping the nation.  Americans are getting to the point where the President’s daily journey throug…</t>
  </si>
  <si>
    <t>RT @PressSec: Just spoke to @POTUS and Gen. H.R. McMaster - contrary to reports they have a good working relationship and there are no chan…</t>
  </si>
  <si>
    <t>RT @DFBHarvard: Thanks Zack! You da Man!
I encourage all to check Zack's Lists &amp;amp; importantly follow him &amp;amp; check the option to follow all Z…</t>
  </si>
  <si>
    <t>RT @Thomas1774Paine: BREAKING -- IDES OF MARCH: FBI’s McCabe Spotted at DOJ HQ to ‘Grovel’ for Retirement, Pension https://t.co/3cGITt9RXE</t>
  </si>
  <si>
    <t>RT @tedcruz: Classic Politi-“fact”:  they conclude YES Beto opposes border wall &amp;amp; wants less border security &amp;amp; YES he wants to ban the most…</t>
  </si>
  <si>
    <t>RT @MikeTokes: BREAKING: @ChuckGrassley &amp;amp; @LindseyGrahamSC sent a letter to Sessions today requesting a Special Counsel be appointed to wor…</t>
  </si>
  <si>
    <t>RT @mike_Zollo: Is this a joke! The illegal alien who was deported 5 times, who murdered Kate Steinle is suing the feds for vindictive pers…</t>
  </si>
  <si>
    <t>RT @ShowboatBob: #LoveTrumpTrain
@ShowboatBob
@LetsFight4tUSA
@league_patriots
@TheJustLogos
@ActiveSpiritT13
@ShawneVinal11
@AllMagoo
@Act…</t>
  </si>
  <si>
    <t>RT @LouDobbs: Biden Bombshell - @SebGorka on Hunter Biden’s billion dollar deal with the Chinese: I am rarely at a loss for words, but this…</t>
  </si>
  <si>
    <t>RT @JewhadiTM: Sources say McCabe “likely” will to keep his pension, but it will be REDUCED, based on the fact that he lied to, or misled,…</t>
  </si>
  <si>
    <t>RT @Boyd_2650: Catherine Herridge explains that these subpoenas could be wrap up subpoenas to finish the work of special counsel or they co…</t>
  </si>
  <si>
    <t>RT @camojo82: Jump on the #TrumpTrain !! #FollowFellowPatriots #FollowBackSunday 
#MAGA @POTUS
@christophmacfa1
@JohnBCool
@HaHaNoNWO  
@J…</t>
  </si>
  <si>
    <t>RT @SaraCarterDC: Video apparently taken on border of Colombia and Ecuador showing exodus of people from Venezuela - the guy shooting the v…</t>
  </si>
  <si>
    <t>RT @ShowboatBob: #LoveTrumpTrain
#1TrumpTrain
#MAGATrumpTrain
New train coming! https://t.co/JO5Wo809qE</t>
  </si>
  <si>
    <t>RT @MilitaryEarth: Never forget Green Beret Sgt. Matthew McClintock who was killed on Jan. 5, 2016 in Afghanistan. Matthew was killed when…</t>
  </si>
  <si>
    <t>RT @DallasIrey: #Trumpville
@FarmgirlBucks 
@usaflaglover72 
@Selinasyfy 
@USNTOARMS
@Durena6
@DennisRenner5 
@NJDeplorableVet 
@Americanve…</t>
  </si>
  <si>
    <t>RT @WhiteHouse: Yesterday, five @Cabinet Secretaries testified on the Hill on the need to rebuild our Nation's crumbling infrastructure. Pr…</t>
  </si>
  <si>
    <t>RT @RealSaavedra: During the National School Walkout, a student at New Prague High School in Minnesota held a sign that said: “guns don’t k…</t>
  </si>
  <si>
    <t>RT @SecretaryPerry: .@POTUS' cabinet is dedicated to "Building a Stronger America," which starts with improving #InfrastructureInAmerica. A…</t>
  </si>
  <si>
    <t>RT @npnikk: Kudlow Accepts Trump's Offer To Replace Gary Cohn As National Economic Council Director https://t.co/frM2AAAbDQ</t>
  </si>
  <si>
    <t>RT @RealJamesWoods: Look at this beautiful photo of this young man. His concentration for his art is so clear and touching. What a terrible…</t>
  </si>
  <si>
    <t>RT @CBSDFW: 'Incredible Hulk' Actor Becomes Honorary Police Officer In North Texas: https://t.co/s2I4KqOYQd (Irving Police Dept.) https://t…</t>
  </si>
  <si>
    <t>RT @realDonaldTrump: It was my honor to welcome Prime Minister Leo Varadkar of Ireland to the @WhiteHouse! https://t.co/ZT3WnIZR2L</t>
  </si>
  <si>
    <t>RT @ACLU: Breaking: 75 judges, district attorneys, police chiefs, and other leaders called on SCOTUS to reject the 241-year sentence given…</t>
  </si>
  <si>
    <t>RT @cala_1111: Statement from the United States, France, Germany, and the United Kingdom on the Attack in Salisbury https://t.co/GmW4zbjRRJ…</t>
  </si>
  <si>
    <t>RT @nypost: JUST IN: Vanessa Trump files for divorce from Donald Trump Jr. https://t.co/YKXQtCqvnk</t>
  </si>
  <si>
    <t>RT @RedNationRising: What is the likelyhood of the steel in this structure was substandard imported steel? Keep watching this story as deta…</t>
  </si>
  <si>
    <t>RT @joshdcaplan: Acting FBI deputy director David Bowdich reveals the Obama DOJ forced the deletion of 500,000 fugitives from the National…</t>
  </si>
  <si>
    <t>RT @FoxBusiness: Art Laffer on Larry Kudlow: "I just can't imagine anyone better than Larry Kudlow for this job and the president really ne…</t>
  </si>
  <si>
    <t>RT @Golfinggary5221: WOW THAT’S AWFUL!
Day Care Operator Who Drugged Children To Go To Tanning Center Sentenced To Over 21 Years! Our kids…</t>
  </si>
  <si>
    <t>RT @Franklin_Graham: We need more Good Samaritans in this world. The Bible says, “Let each of you look not only to his own interests, but a…</t>
  </si>
  <si>
    <t>RT @FoxNews: "The relationship is outstanding and only getting better and it really is a very special group of people."
MOMENTS AGO: @POTU…</t>
  </si>
  <si>
    <t>RT @BackThePolice: A couple of police dogs watching from afar while police catch a suspect. https://t.co/32EAidLVzr</t>
  </si>
  <si>
    <t>RT @AlecHagel: SECRET EMPIRES: Joe Biden and John Kerry’s Sons Struck Billion-Dollar Deal with the Chinese Government 10 Days After Biden T…</t>
  </si>
  <si>
    <t>RT @poconomtn: BREAKING: Trump administration slaps sanctions on Russia https://t.co/LGUQolvkTP
Yeah...Trump is really buddying up with Put…</t>
  </si>
  <si>
    <t>RT @dcexaminer: Trump on nerve agent attack in UK: "Certainly looks like the Russians were behind it" https://t.co/uutcU0X0y9</t>
  </si>
  <si>
    <t>RT @TuckerCarlson: When men’s wages fall, families collapse. It happened in inner cities. Now it’s happening in middle America. For some re…</t>
  </si>
  <si>
    <t>RT @5Strat: #DeepState wishing.  This is playing perfect. T-24 Hours and counting... Beware the Ides of March #MAGA #QAnon #TQFam #8Chan #T…</t>
  </si>
  <si>
    <t>RT @ValerySpun: Followed all! Thank you! https://t.co/FAm7qwBiJV</t>
  </si>
  <si>
    <t>RT @jeepsuzih2: Wilt...&amp;amp; Grace 
🤣🤣🤣😂😂😂 https://t.co/ZWaBlSakee</t>
  </si>
  <si>
    <t>RT @_trumpnews_: BOOM: Trump Picks Top Fox News Analyst To Lead Veteran Affairs https://t.co/dtgxUaNYzH https://t.co/WjZTnWav01</t>
  </si>
  <si>
    <t>RT @bgood12345: WTH⁉️👉💩FACEBOOK Bans MO GOP Candidate for 30 Days - While FACEBOOK COO Donates to Democrat McCaskill‼️ Dems are hypocrites…</t>
  </si>
  <si>
    <t>RT @pjbowles4: #Trumpville
@gonv_survival 
@OlneyChuck  
@onebigsister 
@woodstock151 
@SandraSBreen 
@PatriotsgoRogue 
@jsdr57
@Dvscott81S…</t>
  </si>
  <si>
    <t>RT @pjbowles4: #Trumpville 
@IcyQueenBee 
@bud_cann
@jimspoda 
@NotBuyingIt34 
@Patriot_Mom_17 
@MariannMason2 
@TejasPsycho 
@AmericanLaoc…</t>
  </si>
  <si>
    <t>RT @Scavino45: It’s not to often that I see the @VP join @POTUS in ‘The Beast’ together when we travel (very rare) - so this was a must iPh…</t>
  </si>
  <si>
    <t>RT @thehill: Alabama sheriff kept $750K in funds meant to feed inmates, bought $740K house: report https://t.co/xjDA2rPvp8 https://t.co/tIT…</t>
  </si>
  <si>
    <t>RT @MichaelDelauzon: Your President at work today in St. Louis, MO. https://t.co/KacrB5ab96</t>
  </si>
  <si>
    <t>RT @realDonaldTrump: Today the House took major steps toward securing our schools by passing the STOP School Violence Act. We must put the…</t>
  </si>
  <si>
    <t>RT @GregAbbott_TX: Not many campaigns are knocking on doors in Sulphur Springs. But we are. We are organizing voters across the state to jo…</t>
  </si>
  <si>
    <t>RT @FoxNews: United sends family's dog to Japan instead of Kansas by mistake https://t.co/hTAHEUQz9z</t>
  </si>
  <si>
    <t>RT @MMoorberg: I think I’ll just leave this one right there. Bwahahahaha!!!
Political Cartoons by Tom Stiglich https://t.co/3xROiAONpu</t>
  </si>
  <si>
    <t>RT @buzzman888: 🇺🇸🇺🇸 @TheJusticeDept Jeff Sessions: Sessions Considering Firing Former @FBI Deputy Director McCabe; Eliminating Any Potenti…</t>
  </si>
  <si>
    <t>RT @RedNationRising: .@JesseBWatters: "I found some interesting polling... 74% of Californians oppose sanctuary cities. 65% of Hispanics in…</t>
  </si>
  <si>
    <t>RT @RealEagleWings: U.S. appeals court upholds Texas law targeting sanctuary cities &amp;amp; making it where elected officials can be prosecuted f…</t>
  </si>
  <si>
    <t>RT @FedupWithSwamp: BOOM! https://t.co/sHlheTi5S2</t>
  </si>
  <si>
    <t>RT @HiCaliberLilGal: Oh, Mister @ClintEastwoodLA, have I got a meme for you!
#HClilGal https://t.co/A8KfSWF9qu</t>
  </si>
  <si>
    <t>RT @WBAP247NEWS: ICYMI: @DallasPD need your help to identify a suspect in a recent murder at a Best Western City Place Inn. 
https://t.co/q…</t>
  </si>
  <si>
    <t>RT @yceek: Don Jr. laughs off picture of chocolate bunny 'interviewing' him during campaign stop: 'Still more credible than CNN' https://t.…</t>
  </si>
  <si>
    <t>RT @zigzagman22: 👍Following All ❤️🇺🇸💯🎖️🚂 https://t.co/ov0vLa7qSw</t>
  </si>
  <si>
    <t>RT @RickOhioImBack: It is down to 
575 votes 
With about 1,400 votes to be counted
In #PennsylvaniaSpecialElection ...........</t>
  </si>
  <si>
    <t>RT @mike_Zollo: If you voted for Trump you must get more familiar with local politics. You see how close this race is? Conor Lamb is a left…</t>
  </si>
  <si>
    <t>RT @Thomas1774Paine: RIGGED: Awan Judge Appointed by Obama Delays High-Profile Imran Trial Yet Again; Swamp Running Scared https://t.co/LBm…</t>
  </si>
  <si>
    <t>RT @1GigiSims: .@Saccone4PA18:  “You’re salt of the Earth. You’re the best people in the world. I  couldn’t ask for a better blessing than…</t>
  </si>
  <si>
    <t>RT @AIIAmericanGirI: Illinois Gov. Vetoes Bill Requiring Federal Licensed Gun Dealers to Acquire State License https://t.co/jx7l9mr1Qd @Bre…</t>
  </si>
  <si>
    <t>RT @ScottPresler: VICTORY: Congratulations to Fred Shanks on his win in Mississippi's 60th House District! 
This is the 2nd Republican win…</t>
  </si>
  <si>
    <t>RT @ScottPresler: While I've Got Your Attention:
Wisconsin Republicans, please mark your calendars RIGHT NOW to vote on Tuesday, April 3rd…</t>
  </si>
  <si>
    <t>RT @realDonaldTrump: All across this nation, we pray for our country and we THANK GOD for our United States Marines! Thank you. God Bless Y…</t>
  </si>
  <si>
    <t>RT @TheLastRefuge2: Regardless of who you support PA18 is within the margin of theft. https://t.co/cjh8gWdPMY</t>
  </si>
  <si>
    <t>RT @EjHirschberger: Keep the Trump train rolling, #WootWoot!  #MAGA
@GeorgiaDirtRoad
@APTT45Babe 
@jimlibertarian 
@SharonLesley11 
@LisaMe…</t>
  </si>
  <si>
    <t>RT @mikandynothem: The same liberals that can't grasp a visionary like @realDonaldTrump suggesting a future #SpaceForce also laughed at the…</t>
  </si>
  <si>
    <t>RT @WayneDupreeShow: 585 votes separate Connor Lamb and Rick Saccone at 10:14pm EST with 13 precincts remaining! Join us for LIVE coverage…</t>
  </si>
  <si>
    <t>RT @007cigarjoe: Report: John Kerry’s Former Chief of Staff Circulated Anti-Trump Dossier Summary While at State Department | Breitbart htt…</t>
  </si>
  <si>
    <t>RT @syqau: REVEALED: Trey Gowdy Calls For Second Special Counsel Because IG Horowitz CANNOT ACCESS Comey &amp;amp; McCabe (VIDEO) https://t.co/6Kir…</t>
  </si>
  <si>
    <t>RT @_Makada_: Black Lives Matter and ANTIFA member guilty of sexual abuse of underage girl, faces up to 2 years in prison. https://t.co/GkC…</t>
  </si>
  <si>
    <t>RT @SusanStormXO: @LouDobbs @RepMattGaetz 
Listen to the FRUSTRATION from the CONGRESS MAN - IT’S outrageous hearing that @TGowdySC is sto…</t>
  </si>
  <si>
    <t>RT @SonofLiberty357: 🚨🚨 Texas Teachers, Parents Flock to Firearms Training #2A  https://t.co/4RWee4TKRX</t>
  </si>
  <si>
    <t>RT @LauraLeeBordas: Trump’s longtime personal assistant, John McEntee, is fired after being denied security clearance https://t.co/oMohdbXk…</t>
  </si>
  <si>
    <t>RT @ColumbiaBugle: Live Coverage of the Pennsylvania Special Election: 18th Congressional District.
Follow our thread for live updates! #P…</t>
  </si>
  <si>
    <t>RT @DailyCaller: Tucker Tells Real Story Behind Video Of ICE Pulling Mother From Kids https://t.co/iYbLPb4qSO https://t.co/eHWsoO9ZRZ</t>
  </si>
  <si>
    <t>RT @realDonaldTrump: It was my great honor to deliver a message at the Marine Corps Air Station Miramar to our GREAT U.S. Military, straigh…</t>
  </si>
  <si>
    <t>RT @RealSaavedra: #BREAKING: Illinois GOP governor to veto unconstitutional gun control bill passed in response to Florida school shooting</t>
  </si>
  <si>
    <t>RT @RealJamesWoods: Sanity reigns. https://t.co/wHavjOLl5A</t>
  </si>
  <si>
    <t>RT @KenPaxtonTX: Breaking! The Sanctuary Cities Ban has been upheld by the 5th Circuit. It is lawful, constitutional, and protects the safe…</t>
  </si>
  <si>
    <t>RT @SarahVail1: Oh my! This should be very interesting indeed! Expect lawsuits coming soon Sheriff Israel! https://t.co/vvXxeO0bx3</t>
  </si>
  <si>
    <t>RT @MagaMichigander: Excellent Thread! https://t.co/3HPvyqs4ve</t>
  </si>
  <si>
    <t>RT @TheLastRefuge2: Pennsylvania Special Election – CD18 Rick Saccone (R) vs Conor Lamb (D)… https://t.co/IUCaETqCzH https://t.co/btEC8kKXLU</t>
  </si>
  <si>
    <t>RT @JackPosobiec: He’s right. It’s dangerous to have a Secretary of State who is not on the same page as the President https://t.co/G8121aq…</t>
  </si>
  <si>
    <t>RT @ALWAYSPsalm91: My birthday cake from my daughter. 😂😂😂. @Psalm91ALWAYS #QAnon #FollowTheWhiteRabbit @realDonaldTrump https://t.co/Es7yyP…</t>
  </si>
  <si>
    <t>RT @marklevinshow: Tillerson fired over rogue bid to save Iran nuke deal https://t.co/dk64qOlQIz</t>
  </si>
  <si>
    <t>RT @TracesofTexas: Judge Roy Bean on a horse outside his legendary bar in Langtry, Texas.
@TxStHistAssoc  @texastourism  @TheHistoryofTX @…</t>
  </si>
  <si>
    <t>RT @thehill: Melania Trump to meet with tech companies on cyberbullying: report https://t.co/O4AHG8wLvy https://t.co/B0i9xpNYSU</t>
  </si>
  <si>
    <t>RT @WhiteHouse: Today, President Trump visited prototypes for the border wall designed to help secure our Southwest border. More on how the…</t>
  </si>
  <si>
    <t>RT @SecretaryCarson: Was great to meet with Dean Kamen the creator of the Segway who is taking an innovative approach to expanding children…</t>
  </si>
  <si>
    <t>RT @RealWolfsPride: 🔴🔴     🔴🔴
🔴💖💖🔴💖💖🔴
🔴💖💗💖💗💖🔴
🔴💖💗💓💗💖🔴
  🔴💖💗💗💖🔴
    🔴💖💗💖🔴
         🔴💖🔴
              🔴
God Bless Our #PresidentTrump 
God Bl…</t>
  </si>
  <si>
    <t>RT @EjHirschberger: Keep the Trump train rolling, R/T #WootWoot!  #MAGA
@GeorgiaDirtRoad
@APTT45Babe 
@jimlibertarian 
@SharonLesley11 
@Li…</t>
  </si>
  <si>
    <t>RT @LauraLeeBordas: I have always thought Rick Perry was built for greater things. Not so much POTUS but he definitely belongs in these top…</t>
  </si>
  <si>
    <t>RT @DFBHarvard: (Group 200.5) NEW! NEW
We're Starting on the 200s! Don't be discouraged about Non-Followers!
Even I deleted about 220 toda…</t>
  </si>
  <si>
    <t>RT @RealEagleWings: A little boy makes a touching tribute to an officer killed in the line of duty: saluting a memorial created for the off…</t>
  </si>
  <si>
    <t>RT @NevadaJack2: President Donald Trump blocked Singapore-based Broadcom Limited’s planned takeover of U.S. chip maker Qualcomm https://t.c…</t>
  </si>
  <si>
    <t>RT @PradRachael: New from White House 
The following individual to be Acting Under Secretary of State for Public Diplomacy: HEATHER 
NAUER…</t>
  </si>
  <si>
    <t>RT @Carolin17951107: https://t.co/tEp1yKQBKL
Just a guess BUT, I don't think the UN has realized the days of the #Obama policies are GONE!…</t>
  </si>
  <si>
    <t>RT @AnthemRespect: 🇺🇸Trump Supporters In California Pull Off The Road To Watch The Greatest POTUS Ever Leave On Air Force One🇺🇸
@realDonald…</t>
  </si>
  <si>
    <t>RT @gqforbes4: #dtmag https://t.co/NsKFOv5lGQ "REVEALED: Senior Obama State Department Official Started Christopher Steele-FBI Alliance"</t>
  </si>
  <si>
    <t>RT @SiddonsDan: “The Message from @WhiteHouse is illegal immigration costs $100B from drugs, crime, education &amp;amp; social services. Also how c…</t>
  </si>
  <si>
    <t>RT @GregAbbott_TX: BREAKNG: Texas Ban on Sanctuary City Policies upheld by Federal Court of Appeals. Allegations of discrimination were rej…</t>
  </si>
  <si>
    <t>RT @NevadaJack2: Senate Republicans, after decrying President Donald Trump’s recently announced tariffs on imported steel and aluminum, hav…</t>
  </si>
  <si>
    <t>RT @NBCNews: LIVE: President Trump addresses members of the military in California. https://t.co/UWhIx4Mi0f</t>
  </si>
  <si>
    <t>RT @dcexaminer: Mike Pence accepts Joy Behar's apology for anti-Christian remarks: "One of the things my faith teaches me is grace" https:/…</t>
  </si>
  <si>
    <t>RT @Thomas1774Paine: Judge orders release of Parkland school shooting videos https://t.co/fEEFMbzLbO</t>
  </si>
  <si>
    <t>RT @ScottPresler: ATTENTION:
If you tried to vote today and were told that you CANNOT vote because of a district change, please immediatel…</t>
  </si>
  <si>
    <t>RT @S_Cooper0404: 🚨URGENT CALL TO ACTION!🚨
Democrats are ACTIVELY blocking Conservatives from voting for (R) RICK SACCONE in Pennsylvania…</t>
  </si>
  <si>
    <t>RT @RepMattGaetz: I'm excited about where Mike Pompeo can take the baton and advance the America first agenda. https://t.co/igGhlm6S6g</t>
  </si>
  <si>
    <t>RT @RealSaavedra: #BREAKING: Hundreds of Trump supporters gather in Otay Mesa near the border wall prototypes and chant “Build that wall!”…</t>
  </si>
  <si>
    <t>RT @ColumbiaBugle: #BREAKING President Trump slams Governor Jerry Brown, says the Governor is doing a "very poor job for California." #Trum…</t>
  </si>
  <si>
    <t>RT @RealSaavedra: #BREAKING: President Trump Suggests Putting Soldiers In Space, Creating A Space Force https://t.co/833KcrjR5w</t>
  </si>
  <si>
    <t>RT @dcexaminer: Trump: "The state of California is begging us to build walls in certain areas. They don't tell you that" https://t.co/6oQq1…</t>
  </si>
  <si>
    <t>RT @RealJamesWoods: Finally I would rather eat rusty razor blades than fly on #United. When will they stop making passengers’ lives a miser…</t>
  </si>
  <si>
    <t>RT @realDonaldTrump: If we don’t have a wall system, we’re not going to have a country. Congress must fund the BORDER WALL &amp;amp; prohibit grant…</t>
  </si>
  <si>
    <t>RT @joshdcaplan: Senate Foreign Relations Chair Bob Corker announces hearing on Mike Pompeo's nomination will take place in April, says "Th…</t>
  </si>
  <si>
    <t>RT @Saccone4PA18: Make sure to get out and vote today! If you need a ride to the polls, call (724) 655-3400. #PA18 https://t.co/Z9ZG7IbWjd</t>
  </si>
  <si>
    <t>RT @kwilli1046: Low IQ, High IQ, or No IQ - You Decide. https://t.co/FYhXxfJoya</t>
  </si>
  <si>
    <t>RT @WBAP247NEWS: Following the firing of #RexTillerson ...We're learning more about President Trump's pick to replace him. The details at 1…</t>
  </si>
  <si>
    <t>RT @OliverMcGee: This deserves a retweet. Judy sent a video in of her new song "President Trump is a mighty man". Make this go viral! Great…</t>
  </si>
  <si>
    <t>RT @solentgreenis: Now that the Russian Conspiracy theory is "officially " debunked......
Staying Alive!
#solmemes https://t.co/TDBCUWYX9a</t>
  </si>
  <si>
    <t>RT @GovAbbott: Statement on bus accident involving students from Channelview High School that crashed in Alabama. https://t.co/aDFWcGTQDG</t>
  </si>
  <si>
    <t>RT @President1Trump: .@seanhannity exposes the many Democrats tied to Farrakhan!  https://t.co/3djFb7fzB2</t>
  </si>
  <si>
    <t>RT @yoly4Trump: Election Fraud Exposed: Millions Of Dead Voted And Thousands Of Illegals In Critical Swing State https://t.co/hVfoWzbhfA vi…</t>
  </si>
  <si>
    <t>RT @Patriot_Drew: 🚨YES‼️ GINA HASPEL‼️🚨
Meet The Mad Dog Mattis Of The CIA‼️
Opinion: The Move On Sec State Rex Tillerson &amp;amp; Mike Pompeo I…</t>
  </si>
  <si>
    <t>RT @BetBobJo1947: Today is the day, PA.  Please vote for Rick Saccone, US Congress.  We can’t sit back, but get out the vote.  Here’s to a…</t>
  </si>
  <si>
    <t>RT @usacsmret: North Texas Teachers Attend Gun And Active Shooter Training https://t.co/Qxzl2zCcG7</t>
  </si>
  <si>
    <t>RT @dcexaminer: #BREAKING: State Department spokesman fired for statement contradicting White House on Tillerson firing https://t.co/2EF2qp…</t>
  </si>
  <si>
    <t>RT @dailyreverb: 9-Year-Old South Carolina Boy Saves Neighbor’s Life After Car Falls On Him… https://t.co/EZZTLlNLVp https://t.co/AFeFpABPak</t>
  </si>
  <si>
    <t>RT @Lrihendry: I have no problem with strict background checks for gun purchase but only if we have the same for voter ID. @realDonaldTrump</t>
  </si>
  <si>
    <t>RT @Saccone4PA18: The polls are now open! Vote Rick Saccone! #PA18 https://t.co/RJBpGXEabP</t>
  </si>
  <si>
    <t>RT @TT45Pac: 🇺🇸FOCUS.
Tweets are flying like bullets....
You want to help but are tired of being frustrated?
Focus on our Candidates and he…</t>
  </si>
  <si>
    <t>RT @TruthMaga: My @POTUS .........
Righting the Wrongs .....
Steering The Ship .....
Cleaning The Swamp ....
Fighting For USA 🇺🇸 
Than…</t>
  </si>
  <si>
    <t>RT @DFBHarvard: Hello All! Another Lister! Fantastic!
Please pay attention to @KryptoniteDragn or Brian! 
He's dropping some great lists…</t>
  </si>
  <si>
    <t>RT @FoxNews: .@Stanford reverses decision, will allow American flag on College Republicans’ apparel (via @calebparke)
https://t.co/FLG494QY…</t>
  </si>
  <si>
    <t>RT @JewhadiTM: Joseph Percoco, former aide to New York Gov. Andrew Cuomo, was found guilty of three counts in his federal corruption trial.…</t>
  </si>
  <si>
    <t>RT @JoeFreedomLove: WATCH: Treasury Secretary Mnuchin Mocks UCLA Snowflakes Heckling Him During Speech
"You guys are okay with all the opp…</t>
  </si>
  <si>
    <t>RT @LauraLoomer: Before departing for California today, @realDonaldTrump told the Fake News media "I'll see you at the wall."
Savage. http…</t>
  </si>
  <si>
    <t>RT @realDonaldTrump: Heading to see the BORDER WALL prototypes in California! https://t.co/fU6Ukc271l</t>
  </si>
  <si>
    <t>RT @CaliConsrvative: VIDEO: Man shot dead during trial when he rushes the stand and tries to stab witness!
He was part of the "Tongan Crip…</t>
  </si>
  <si>
    <t>RT @realDonaldTrump: “According to the Center for Immigration Studies, the $18 billion wall will pay for itself by curbing the importation…</t>
  </si>
  <si>
    <t>RT @realDonaldTrump: California’s sanctuary policies are illegal and unconstitutional and put the safety and security of our entire nation…</t>
  </si>
  <si>
    <t>RT @SteveScalise: I'm excited that President Trump has named my friend and former House colleague Mike Pompeo to be our next Secretary of S…</t>
  </si>
  <si>
    <t>RT @realDonaldTrump: Mike Pompeo, Director of the CIA, will become our new Secretary of State. He will do a fantastic job! Thank you to Rex…</t>
  </si>
  <si>
    <t>RT @FoxBusiness: China lawmakers abolish presidential term limits https://t.co/zwcubYkljn https://t.co/7QJGw0r1uK</t>
  </si>
  <si>
    <t>RT @SarahPalinUSA: Did you see this one? https://t.co/3Fa52VUGST</t>
  </si>
  <si>
    <t>RT @BraveConWarrior: @AllenWestRepub Armed Revolt would be the certain response to government forcible gun confiscation - What the Left wou…</t>
  </si>
  <si>
    <t>RT @REALStaceyDash: Earlier today I won the 1st election challenge in my run for Congress. After meeting with members in LA &amp;amp; addressing th…</t>
  </si>
  <si>
    <t>RT @mitchellvii: Trump wants a 'phase two' of tax cuts https://t.co/SwFQ2zvL2q</t>
  </si>
  <si>
    <t>RT @realDonaldTrump: The day after @BarackObama blocks a Texas voter photo ID law, @JamesOkeefeIII exposes more dead people getting ballots…</t>
  </si>
  <si>
    <t>RT @HRClintonPrison: BETTER IDEA FOR SAN FRAN SICKO: NUKE TESTING SITE 
🙄
Department of Justice Mocks California's Request to Move 'Sanctu…</t>
  </si>
  <si>
    <t>RT @IWillRedPillU: Rep. Devin Nunes (R-CA) Calls Out Twitter Censorship of Conservatives for Silencing Legendary Drudge Report
@DRUDGE @DRU…</t>
  </si>
  <si>
    <t>RT @Brendy5264: “House Intelligence Committee” lost all credibility because of leaking from within to media by Adam Schiff. He should have…</t>
  </si>
  <si>
    <t>RT @JamesOKeefeIII: Cruz in Senate Committee Hearing: "There were several videos that were released in recent weeks that I and a lot of oth…</t>
  </si>
  <si>
    <t>RT @Franklin_Graham: There’s a @USAToday story about an atheist running for office in TN. I’m shocked by her profoundly incorrect statement…</t>
  </si>
  <si>
    <t>RT @GregAbbott_TX: Spread the word: I’m offering a reward for info leading to the arrest of the criminals responsible for these deadly bomb…</t>
  </si>
  <si>
    <t>RT @jerome_corsi: Rep. Devin Nunes Warns Drudge: Twitter is Censoring Your Account! https://t.co/THdRSmS4JO TIME FOR #InternetBillsOfRights…</t>
  </si>
  <si>
    <t>RT @thehill: Mueller may put off possible obstruction of justice charges to focus on other parts of Trump-Russia probe: report https://t.co…</t>
  </si>
  <si>
    <t>RT @WhiteHouse: President Trump is proposing an expansion and reform of mental health programs, including those that help identify and trea…</t>
  </si>
  <si>
    <t>RT @TerriMarsh11: Dick Morris: GOP Poised for Big Senate Win https://t.co/mWSJmHz6dN</t>
  </si>
  <si>
    <t>RT @Fuctupmind: House Intel finds 'no evidence of collusion' between Trump campaign and Russia
https://t.co/sPGe0s4W0S</t>
  </si>
  <si>
    <t>RT @zack_nola: 👉Donald Trump’s tight labor market is leading to corporations investing in construction jobs for U.S. veterans and young Ame…</t>
  </si>
  <si>
    <t>RT @mitchellvii: By the end of the weekend in PA, Republicans had dropped more than $8 million on TV ads, outspending Democrats nearly 2 to…</t>
  </si>
  <si>
    <t>RT @RealJamesWoods: Big improvement. That is true progressivism... https://t.co/TxkkLkkGcv</t>
  </si>
  <si>
    <t>RT @MRDEWYFB: Trump Pushes “Right to Try” in Controversial New Bill https://t.co/wLbNxwQdHo</t>
  </si>
  <si>
    <t>RT @BackTheCops: Rest In Peace Deputy Sheriff David Lee'Sean Manning
End Of Watch: March 11, 2018
Deputy David Manning, 24, was killed in a…</t>
  </si>
  <si>
    <t>RT @BreitbartNews: https://t.co/KWUabOwLNB</t>
  </si>
  <si>
    <t>RT @RealJamesWoods: This is not something one should ridicule anybody for. Every time she opens her yap on the other hand...  #ChardonnayQu…</t>
  </si>
  <si>
    <t>RT @robynanne: Hmmm, looks it was a big nothingburger #MSM! @CNN @MSNBC @maddow @AC360 No Collusion 💥Total #WitchHunt 💥What WILL you talk a…</t>
  </si>
  <si>
    <t>RT @GodlessNZ: (20) Photo caption: "Former US politician Hillary Clinton (C) tours the Jahaj Mahal part of an abandoned royal palace comple…</t>
  </si>
</sst>
</file>

<file path=xl/styles.xml><?xml version="1.0" encoding="utf-8"?>
<styleSheet xmlns="http://schemas.openxmlformats.org/spreadsheetml/2006/main">
  <numFmts count="1">
    <numFmt formatCode="yyyy-mm-dd h:mm:ss" numFmtId="164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156"/>
  <sheetViews>
    <sheetView workbookViewId="0">
      <selection activeCell="A1" sqref="A1"/>
    </sheetView>
  </sheetViews>
  <sheetFormatPr baseColWidth="8"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f>HYPERLINK("http://www.twitter.com/NathanBLawrence/status/1001834022706860032", "1001834022706860032")</f>
        <v/>
      </c>
      <c r="B2" s="2" t="n">
        <v>43250.60668981481</v>
      </c>
      <c r="C2" t="n">
        <v>0</v>
      </c>
      <c r="D2" t="n">
        <v>1</v>
      </c>
      <c r="E2" t="s">
        <v>13</v>
      </c>
      <c r="F2" t="s"/>
      <c r="G2" t="s"/>
      <c r="H2" t="s"/>
      <c r="I2" t="s"/>
      <c r="J2" t="n">
        <v>0.2263</v>
      </c>
      <c r="K2" t="n">
        <v>0.144</v>
      </c>
      <c r="L2" t="n">
        <v>0.654</v>
      </c>
      <c r="M2" t="n">
        <v>0.203</v>
      </c>
    </row>
    <row r="3" spans="1:13">
      <c r="A3" s="1">
        <f>HYPERLINK("http://www.twitter.com/NathanBLawrence/status/1001761142983790592", "1001761142983790592")</f>
        <v/>
      </c>
      <c r="B3" s="2" t="n">
        <v>43250.40557870371</v>
      </c>
      <c r="C3" t="n">
        <v>0</v>
      </c>
      <c r="D3" t="n">
        <v>174</v>
      </c>
      <c r="E3" t="s">
        <v>14</v>
      </c>
      <c r="F3" t="s"/>
      <c r="G3" t="s"/>
      <c r="H3" t="s"/>
      <c r="I3" t="s"/>
      <c r="J3" t="n">
        <v>-0.7644</v>
      </c>
      <c r="K3" t="n">
        <v>0.239</v>
      </c>
      <c r="L3" t="n">
        <v>0.761</v>
      </c>
      <c r="M3" t="n">
        <v>0</v>
      </c>
    </row>
    <row r="4" spans="1:13">
      <c r="A4" s="1">
        <f>HYPERLINK("http://www.twitter.com/NathanBLawrence/status/1001760572394889216", "1001760572394889216")</f>
        <v/>
      </c>
      <c r="B4" s="2" t="n">
        <v>43250.40400462963</v>
      </c>
      <c r="C4" t="n">
        <v>0</v>
      </c>
      <c r="D4" t="n">
        <v>51</v>
      </c>
      <c r="E4" t="s">
        <v>15</v>
      </c>
      <c r="F4" t="s"/>
      <c r="G4" t="s"/>
      <c r="H4" t="s"/>
      <c r="I4" t="s"/>
      <c r="J4" t="n">
        <v>0</v>
      </c>
      <c r="K4" t="n">
        <v>0</v>
      </c>
      <c r="L4" t="n">
        <v>1</v>
      </c>
      <c r="M4" t="n">
        <v>0</v>
      </c>
    </row>
    <row r="5" spans="1:13">
      <c r="A5" s="1">
        <f>HYPERLINK("http://www.twitter.com/NathanBLawrence/status/1001664487202619392", "1001664487202619392")</f>
        <v/>
      </c>
      <c r="B5" s="2" t="n">
        <v>43250.13886574074</v>
      </c>
      <c r="C5" t="n">
        <v>0</v>
      </c>
      <c r="D5" t="n">
        <v>49</v>
      </c>
      <c r="E5" t="s">
        <v>16</v>
      </c>
      <c r="F5" t="s"/>
      <c r="G5" t="s"/>
      <c r="H5" t="s"/>
      <c r="I5" t="s"/>
      <c r="J5" t="n">
        <v>0</v>
      </c>
      <c r="K5" t="n">
        <v>0</v>
      </c>
      <c r="L5" t="n">
        <v>1</v>
      </c>
      <c r="M5" t="n">
        <v>0</v>
      </c>
    </row>
    <row r="6" spans="1:13">
      <c r="A6" s="1">
        <f>HYPERLINK("http://www.twitter.com/NathanBLawrence/status/1001664139578789888", "1001664139578789888")</f>
        <v/>
      </c>
      <c r="B6" s="2" t="n">
        <v>43250.13790509259</v>
      </c>
      <c r="C6" t="n">
        <v>0</v>
      </c>
      <c r="D6" t="n">
        <v>513</v>
      </c>
      <c r="E6" t="s">
        <v>17</v>
      </c>
      <c r="F6" t="s"/>
      <c r="G6" t="s"/>
      <c r="H6" t="s"/>
      <c r="I6" t="s"/>
      <c r="J6" t="n">
        <v>0.0516</v>
      </c>
      <c r="K6" t="n">
        <v>0.116</v>
      </c>
      <c r="L6" t="n">
        <v>0.758</v>
      </c>
      <c r="M6" t="n">
        <v>0.126</v>
      </c>
    </row>
    <row r="7" spans="1:13">
      <c r="A7" s="1">
        <f>HYPERLINK("http://www.twitter.com/NathanBLawrence/status/1001662067378737152", "1001662067378737152")</f>
        <v/>
      </c>
      <c r="B7" s="2" t="n">
        <v>43250.1321875</v>
      </c>
      <c r="C7" t="n">
        <v>0</v>
      </c>
      <c r="D7" t="n">
        <v>211</v>
      </c>
      <c r="E7" t="s">
        <v>18</v>
      </c>
      <c r="F7">
        <f>HYPERLINK("http://pbs.twimg.com/media/DeZOluVWkAIKdim.jpg", "http://pbs.twimg.com/media/DeZOluVWkAIKdim.jpg")</f>
        <v/>
      </c>
      <c r="G7" t="s"/>
      <c r="H7" t="s"/>
      <c r="I7" t="s"/>
      <c r="J7" t="n">
        <v>0.9484</v>
      </c>
      <c r="K7" t="n">
        <v>0</v>
      </c>
      <c r="L7" t="n">
        <v>0.507</v>
      </c>
      <c r="M7" t="n">
        <v>0.493</v>
      </c>
    </row>
    <row r="8" spans="1:13">
      <c r="A8" s="1">
        <f>HYPERLINK("http://www.twitter.com/NathanBLawrence/status/1001661794249859077", "1001661794249859077")</f>
        <v/>
      </c>
      <c r="B8" s="2" t="n">
        <v>43250.13143518518</v>
      </c>
      <c r="C8" t="n">
        <v>0</v>
      </c>
      <c r="D8" t="n">
        <v>4480</v>
      </c>
      <c r="E8" t="s">
        <v>19</v>
      </c>
      <c r="F8">
        <f>HYPERLINK("https://video.twimg.com/ext_tw_video/985593299695120385/pu/vid/1280x720/rrUGdH1tM9oyl7be.mp4?tag=2", "https://video.twimg.com/ext_tw_video/985593299695120385/pu/vid/1280x720/rrUGdH1tM9oyl7be.mp4?tag=2")</f>
        <v/>
      </c>
      <c r="G8" t="s"/>
      <c r="H8" t="s"/>
      <c r="I8" t="s"/>
      <c r="J8" t="n">
        <v>-0.1776</v>
      </c>
      <c r="K8" t="n">
        <v>0.267</v>
      </c>
      <c r="L8" t="n">
        <v>0.486</v>
      </c>
      <c r="M8" t="n">
        <v>0.246</v>
      </c>
    </row>
    <row r="9" spans="1:13">
      <c r="A9" s="1">
        <f>HYPERLINK("http://www.twitter.com/NathanBLawrence/status/1001660663218008064", "1001660663218008064")</f>
        <v/>
      </c>
      <c r="B9" s="2" t="n">
        <v>43250.12831018519</v>
      </c>
      <c r="C9" t="n">
        <v>0</v>
      </c>
      <c r="D9" t="n">
        <v>1645</v>
      </c>
      <c r="E9" t="s">
        <v>20</v>
      </c>
      <c r="F9">
        <f>HYPERLINK("http://pbs.twimg.com/media/DeZWCnNX4AA5H5i.jpg", "http://pbs.twimg.com/media/DeZWCnNX4AA5H5i.jpg")</f>
        <v/>
      </c>
      <c r="G9" t="s"/>
      <c r="H9" t="s"/>
      <c r="I9" t="s"/>
      <c r="J9" t="n">
        <v>0.2732</v>
      </c>
      <c r="K9" t="n">
        <v>0</v>
      </c>
      <c r="L9" t="n">
        <v>0.877</v>
      </c>
      <c r="M9" t="n">
        <v>0.123</v>
      </c>
    </row>
    <row r="10" spans="1:13">
      <c r="A10" s="1">
        <f>HYPERLINK("http://www.twitter.com/NathanBLawrence/status/1001581237381853188", "1001581237381853188")</f>
        <v/>
      </c>
      <c r="B10" s="2" t="n">
        <v>43249.90914351852</v>
      </c>
      <c r="C10" t="n">
        <v>0</v>
      </c>
      <c r="D10" t="n">
        <v>375</v>
      </c>
      <c r="E10" t="s">
        <v>21</v>
      </c>
      <c r="F10">
        <f>HYPERLINK("https://video.twimg.com/ext_tw_video/1001545634799796224/pu/vid/1280x720/LqHwvR2B1GxD4Ydm.mp4?tag=3", "https://video.twimg.com/ext_tw_video/1001545634799796224/pu/vid/1280x720/LqHwvR2B1GxD4Ydm.mp4?tag=3")</f>
        <v/>
      </c>
      <c r="G10" t="s"/>
      <c r="H10" t="s"/>
      <c r="I10" t="s"/>
      <c r="J10" t="n">
        <v>-0.2244</v>
      </c>
      <c r="K10" t="n">
        <v>0.184</v>
      </c>
      <c r="L10" t="n">
        <v>0.673</v>
      </c>
      <c r="M10" t="n">
        <v>0.144</v>
      </c>
    </row>
    <row r="11" spans="1:13">
      <c r="A11" s="1">
        <f>HYPERLINK("http://www.twitter.com/NathanBLawrence/status/1001496282198892544", "1001496282198892544")</f>
        <v/>
      </c>
      <c r="B11" s="2" t="n">
        <v>43249.67471064815</v>
      </c>
      <c r="C11" t="n">
        <v>0</v>
      </c>
      <c r="D11" t="n">
        <v>2492</v>
      </c>
      <c r="E11" t="s">
        <v>22</v>
      </c>
      <c r="F11">
        <f>HYPERLINK("https://video.twimg.com/ext_tw_video/1001486670926000128/pu/vid/1280x720/ivtMVLhjI2_S7BVS.mp4?tag=3", "https://video.twimg.com/ext_tw_video/1001486670926000128/pu/vid/1280x720/ivtMVLhjI2_S7BVS.mp4?tag=3")</f>
        <v/>
      </c>
      <c r="G11" t="s"/>
      <c r="H11" t="s"/>
      <c r="I11" t="s"/>
      <c r="J11" t="n">
        <v>0</v>
      </c>
      <c r="K11" t="n">
        <v>0</v>
      </c>
      <c r="L11" t="n">
        <v>1</v>
      </c>
      <c r="M11" t="n">
        <v>0</v>
      </c>
    </row>
    <row r="12" spans="1:13">
      <c r="A12" s="1">
        <f>HYPERLINK("http://www.twitter.com/NathanBLawrence/status/1001496245138001921", "1001496245138001921")</f>
        <v/>
      </c>
      <c r="B12" s="2" t="n">
        <v>43249.67460648148</v>
      </c>
      <c r="C12" t="n">
        <v>0</v>
      </c>
      <c r="D12" t="n">
        <v>5244</v>
      </c>
      <c r="E12" t="s">
        <v>23</v>
      </c>
      <c r="F12" t="s"/>
      <c r="G12" t="s"/>
      <c r="H12" t="s"/>
      <c r="I12" t="s"/>
      <c r="J12" t="n">
        <v>-0.2263</v>
      </c>
      <c r="K12" t="n">
        <v>0.091</v>
      </c>
      <c r="L12" t="n">
        <v>0.909</v>
      </c>
      <c r="M12" t="n">
        <v>0</v>
      </c>
    </row>
    <row r="13" spans="1:13">
      <c r="A13" s="1">
        <f>HYPERLINK("http://www.twitter.com/NathanBLawrence/status/1001089768564903937", "1001089768564903937")</f>
        <v/>
      </c>
      <c r="B13" s="2" t="n">
        <v>43248.55293981481</v>
      </c>
      <c r="C13" t="n">
        <v>0</v>
      </c>
      <c r="D13" t="n">
        <v>135</v>
      </c>
      <c r="E13" t="s">
        <v>24</v>
      </c>
      <c r="F13" t="s"/>
      <c r="G13" t="s"/>
      <c r="H13" t="s"/>
      <c r="I13" t="s"/>
      <c r="J13" t="n">
        <v>0.5266999999999999</v>
      </c>
      <c r="K13" t="n">
        <v>0</v>
      </c>
      <c r="L13" t="n">
        <v>0.541</v>
      </c>
      <c r="M13" t="n">
        <v>0.459</v>
      </c>
    </row>
    <row r="14" spans="1:13">
      <c r="A14" s="1">
        <f>HYPERLINK("http://www.twitter.com/NathanBLawrence/status/1001088163354423296", "1001088163354423296")</f>
        <v/>
      </c>
      <c r="B14" s="2" t="n">
        <v>43248.54851851852</v>
      </c>
      <c r="C14" t="n">
        <v>0</v>
      </c>
      <c r="D14" t="n">
        <v>2878</v>
      </c>
      <c r="E14" t="s">
        <v>25</v>
      </c>
      <c r="F14">
        <f>HYPERLINK("https://video.twimg.com/amplify_video/981627722647646209/vid/1280x720/tBKx2nHO95AXrCk3.mp4?tag=2", "https://video.twimg.com/amplify_video/981627722647646209/vid/1280x720/tBKx2nHO95AXrCk3.mp4?tag=2")</f>
        <v/>
      </c>
      <c r="G14" t="s"/>
      <c r="H14" t="s"/>
      <c r="I14" t="s"/>
      <c r="J14" t="n">
        <v>0.7574</v>
      </c>
      <c r="K14" t="n">
        <v>0</v>
      </c>
      <c r="L14" t="n">
        <v>0.667</v>
      </c>
      <c r="M14" t="n">
        <v>0.333</v>
      </c>
    </row>
    <row r="15" spans="1:13">
      <c r="A15" s="1">
        <f>HYPERLINK("http://www.twitter.com/NathanBLawrence/status/1001087949004574722", "1001087949004574722")</f>
        <v/>
      </c>
      <c r="B15" s="2" t="n">
        <v>43248.54792824074</v>
      </c>
      <c r="C15" t="n">
        <v>0</v>
      </c>
      <c r="D15" t="n">
        <v>4116</v>
      </c>
      <c r="E15" t="s">
        <v>26</v>
      </c>
      <c r="F15">
        <f>HYPERLINK("http://pbs.twimg.com/media/DeSOuHJVwAcUID6.jpg", "http://pbs.twimg.com/media/DeSOuHJVwAcUID6.jpg")</f>
        <v/>
      </c>
      <c r="G15" t="s"/>
      <c r="H15" t="s"/>
      <c r="I15" t="s"/>
      <c r="J15" t="n">
        <v>0</v>
      </c>
      <c r="K15" t="n">
        <v>0</v>
      </c>
      <c r="L15" t="n">
        <v>1</v>
      </c>
      <c r="M15" t="n">
        <v>0</v>
      </c>
    </row>
    <row r="16" spans="1:13">
      <c r="A16" s="1">
        <f>HYPERLINK("http://www.twitter.com/NathanBLawrence/status/1001087734012956672", "1001087734012956672")</f>
        <v/>
      </c>
      <c r="B16" s="2" t="n">
        <v>43248.54732638889</v>
      </c>
      <c r="C16" t="n">
        <v>0</v>
      </c>
      <c r="D16" t="n">
        <v>27147</v>
      </c>
      <c r="E16" t="s">
        <v>27</v>
      </c>
      <c r="F16" t="s"/>
      <c r="G16" t="s"/>
      <c r="H16" t="s"/>
      <c r="I16" t="s"/>
      <c r="J16" t="n">
        <v>0.9319</v>
      </c>
      <c r="K16" t="n">
        <v>0.09</v>
      </c>
      <c r="L16" t="n">
        <v>0.473</v>
      </c>
      <c r="M16" t="n">
        <v>0.437</v>
      </c>
    </row>
    <row r="17" spans="1:13">
      <c r="A17" s="1">
        <f>HYPERLINK("http://www.twitter.com/NathanBLawrence/status/1001086693028564992", "1001086693028564992")</f>
        <v/>
      </c>
      <c r="B17" s="2" t="n">
        <v>43248.54445601852</v>
      </c>
      <c r="C17" t="n">
        <v>0</v>
      </c>
      <c r="D17" t="n">
        <v>168</v>
      </c>
      <c r="E17" t="s">
        <v>28</v>
      </c>
      <c r="F17" t="s"/>
      <c r="G17" t="s"/>
      <c r="H17" t="s"/>
      <c r="I17" t="s"/>
      <c r="J17" t="n">
        <v>0</v>
      </c>
      <c r="K17" t="n">
        <v>0</v>
      </c>
      <c r="L17" t="n">
        <v>1</v>
      </c>
      <c r="M17" t="n">
        <v>0</v>
      </c>
    </row>
    <row r="18" spans="1:13">
      <c r="A18" s="1">
        <f>HYPERLINK("http://www.twitter.com/NathanBLawrence/status/1001086411364360193", "1001086411364360193")</f>
        <v/>
      </c>
      <c r="B18" s="2" t="n">
        <v>43248.54368055556</v>
      </c>
      <c r="C18" t="n">
        <v>0</v>
      </c>
      <c r="D18" t="n">
        <v>3954</v>
      </c>
      <c r="E18" t="s">
        <v>29</v>
      </c>
      <c r="F18">
        <f>HYPERLINK("http://pbs.twimg.com/media/DePs4s3XcAY5ETg.jpg", "http://pbs.twimg.com/media/DePs4s3XcAY5ETg.jpg")</f>
        <v/>
      </c>
      <c r="G18" t="s"/>
      <c r="H18" t="s"/>
      <c r="I18" t="s"/>
      <c r="J18" t="n">
        <v>-0.6908</v>
      </c>
      <c r="K18" t="n">
        <v>0.199</v>
      </c>
      <c r="L18" t="n">
        <v>0.801</v>
      </c>
      <c r="M18" t="n">
        <v>0</v>
      </c>
    </row>
    <row r="19" spans="1:13">
      <c r="A19" s="1">
        <f>HYPERLINK("http://www.twitter.com/NathanBLawrence/status/1001086174566416384", "1001086174566416384")</f>
        <v/>
      </c>
      <c r="B19" s="2" t="n">
        <v>43248.54302083333</v>
      </c>
      <c r="C19" t="n">
        <v>0</v>
      </c>
      <c r="D19" t="n">
        <v>165</v>
      </c>
      <c r="E19" t="s">
        <v>30</v>
      </c>
      <c r="F19" t="s"/>
      <c r="G19" t="s"/>
      <c r="H19" t="s"/>
      <c r="I19" t="s"/>
      <c r="J19" t="n">
        <v>0.4404</v>
      </c>
      <c r="K19" t="n">
        <v>0</v>
      </c>
      <c r="L19" t="n">
        <v>0.892</v>
      </c>
      <c r="M19" t="n">
        <v>0.108</v>
      </c>
    </row>
    <row r="20" spans="1:13">
      <c r="A20" s="1">
        <f>HYPERLINK("http://www.twitter.com/NathanBLawrence/status/1001085968693321728", "1001085968693321728")</f>
        <v/>
      </c>
      <c r="B20" s="2" t="n">
        <v>43248.5424537037</v>
      </c>
      <c r="C20" t="n">
        <v>0</v>
      </c>
      <c r="D20" t="n">
        <v>745</v>
      </c>
      <c r="E20" t="s">
        <v>31</v>
      </c>
      <c r="F20">
        <f>HYPERLINK("http://pbs.twimg.com/media/DeO2_gNX0AEIoew.jpg", "http://pbs.twimg.com/media/DeO2_gNX0AEIoew.jpg")</f>
        <v/>
      </c>
      <c r="G20" t="s"/>
      <c r="H20" t="s"/>
      <c r="I20" t="s"/>
      <c r="J20" t="n">
        <v>0</v>
      </c>
      <c r="K20" t="n">
        <v>0</v>
      </c>
      <c r="L20" t="n">
        <v>1</v>
      </c>
      <c r="M20" t="n">
        <v>0</v>
      </c>
    </row>
    <row r="21" spans="1:13">
      <c r="A21" s="1">
        <f>HYPERLINK("http://www.twitter.com/NathanBLawrence/status/1001084334043000840", "1001084334043000840")</f>
        <v/>
      </c>
      <c r="B21" s="2" t="n">
        <v>43248.53795138889</v>
      </c>
      <c r="C21" t="n">
        <v>0</v>
      </c>
      <c r="D21" t="n">
        <v>298</v>
      </c>
      <c r="E21" t="s">
        <v>32</v>
      </c>
      <c r="F21" t="s"/>
      <c r="G21" t="s"/>
      <c r="H21" t="s"/>
      <c r="I21" t="s"/>
      <c r="J21" t="n">
        <v>-0.3612</v>
      </c>
      <c r="K21" t="n">
        <v>0.135</v>
      </c>
      <c r="L21" t="n">
        <v>0.865</v>
      </c>
      <c r="M21" t="n">
        <v>0</v>
      </c>
    </row>
    <row r="22" spans="1:13">
      <c r="A22" s="1">
        <f>HYPERLINK("http://www.twitter.com/NathanBLawrence/status/1000930305061064704", "1000930305061064704")</f>
        <v/>
      </c>
      <c r="B22" s="2" t="n">
        <v>43248.1129050926</v>
      </c>
      <c r="C22" t="n">
        <v>0</v>
      </c>
      <c r="D22" t="n">
        <v>40</v>
      </c>
      <c r="E22" t="s">
        <v>33</v>
      </c>
      <c r="F22">
        <f>HYPERLINK("http://pbs.twimg.com/media/DePUx6pWkAAxFqp.jpg", "http://pbs.twimg.com/media/DePUx6pWkAAxFqp.jpg")</f>
        <v/>
      </c>
      <c r="G22" t="s"/>
      <c r="H22" t="s"/>
      <c r="I22" t="s"/>
      <c r="J22" t="n">
        <v>-0.5106000000000001</v>
      </c>
      <c r="K22" t="n">
        <v>0.13</v>
      </c>
      <c r="L22" t="n">
        <v>0.87</v>
      </c>
      <c r="M22" t="n">
        <v>0</v>
      </c>
    </row>
    <row r="23" spans="1:13">
      <c r="A23" s="1">
        <f>HYPERLINK("http://www.twitter.com/NathanBLawrence/status/1000929727639584769", "1000929727639584769")</f>
        <v/>
      </c>
      <c r="B23" s="2" t="n">
        <v>43248.11131944445</v>
      </c>
      <c r="C23" t="n">
        <v>0</v>
      </c>
      <c r="D23" t="n">
        <v>2260</v>
      </c>
      <c r="E23" t="s">
        <v>34</v>
      </c>
      <c r="F23">
        <f>HYPERLINK("http://pbs.twimg.com/media/DePGtlIXcAAp2eH.jpg", "http://pbs.twimg.com/media/DePGtlIXcAAp2eH.jpg")</f>
        <v/>
      </c>
      <c r="G23" t="s"/>
      <c r="H23" t="s"/>
      <c r="I23" t="s"/>
      <c r="J23" t="n">
        <v>0</v>
      </c>
      <c r="K23" t="n">
        <v>0</v>
      </c>
      <c r="L23" t="n">
        <v>1</v>
      </c>
      <c r="M23" t="n">
        <v>0</v>
      </c>
    </row>
    <row r="24" spans="1:13">
      <c r="A24" s="1">
        <f>HYPERLINK("http://www.twitter.com/NathanBLawrence/status/1000929416720142336", "1000929416720142336")</f>
        <v/>
      </c>
      <c r="B24" s="2" t="n">
        <v>43248.11045138889</v>
      </c>
      <c r="C24" t="n">
        <v>0</v>
      </c>
      <c r="D24" t="n">
        <v>709</v>
      </c>
      <c r="E24" t="s">
        <v>35</v>
      </c>
      <c r="F24">
        <f>HYPERLINK("http://pbs.twimg.com/media/DeP1e-gXkAAJ-Vv.jpg", "http://pbs.twimg.com/media/DeP1e-gXkAAJ-Vv.jpg")</f>
        <v/>
      </c>
      <c r="G24" t="s"/>
      <c r="H24" t="s"/>
      <c r="I24" t="s"/>
      <c r="J24" t="n">
        <v>0.5106000000000001</v>
      </c>
      <c r="K24" t="n">
        <v>0</v>
      </c>
      <c r="L24" t="n">
        <v>0.858</v>
      </c>
      <c r="M24" t="n">
        <v>0.142</v>
      </c>
    </row>
    <row r="25" spans="1:13">
      <c r="A25" s="1">
        <f>HYPERLINK("http://www.twitter.com/NathanBLawrence/status/1000928976292982785", "1000928976292982785")</f>
        <v/>
      </c>
      <c r="B25" s="2" t="n">
        <v>43248.10923611111</v>
      </c>
      <c r="C25" t="n">
        <v>0</v>
      </c>
      <c r="D25" t="n">
        <v>175</v>
      </c>
      <c r="E25" t="s">
        <v>36</v>
      </c>
      <c r="F25" t="s"/>
      <c r="G25" t="s"/>
      <c r="H25" t="s"/>
      <c r="I25" t="s"/>
      <c r="J25" t="n">
        <v>-0.296</v>
      </c>
      <c r="K25" t="n">
        <v>0.091</v>
      </c>
      <c r="L25" t="n">
        <v>0.909</v>
      </c>
      <c r="M25" t="n">
        <v>0</v>
      </c>
    </row>
    <row r="26" spans="1:13">
      <c r="A26" s="1">
        <f>HYPERLINK("http://www.twitter.com/NathanBLawrence/status/1000923812358221829", "1000923812358221829")</f>
        <v/>
      </c>
      <c r="B26" s="2" t="n">
        <v>43248.09498842592</v>
      </c>
      <c r="C26" t="n">
        <v>0</v>
      </c>
      <c r="D26" t="n">
        <v>726</v>
      </c>
      <c r="E26" t="s">
        <v>37</v>
      </c>
      <c r="F26">
        <f>HYPERLINK("https://video.twimg.com/amplify_video/1000838312754647041/vid/1280x720/lzuMKIP7mUO8WO6D.mp4?tag=2", "https://video.twimg.com/amplify_video/1000838312754647041/vid/1280x720/lzuMKIP7mUO8WO6D.mp4?tag=2")</f>
        <v/>
      </c>
      <c r="G26" t="s"/>
      <c r="H26" t="s"/>
      <c r="I26" t="s"/>
      <c r="J26" t="n">
        <v>0.5411</v>
      </c>
      <c r="K26" t="n">
        <v>0</v>
      </c>
      <c r="L26" t="n">
        <v>0.821</v>
      </c>
      <c r="M26" t="n">
        <v>0.179</v>
      </c>
    </row>
    <row r="27" spans="1:13">
      <c r="A27" s="1">
        <f>HYPERLINK("http://www.twitter.com/NathanBLawrence/status/1000715694202335233", "1000715694202335233")</f>
        <v/>
      </c>
      <c r="B27" s="2" t="n">
        <v>43247.52069444444</v>
      </c>
      <c r="C27" t="n">
        <v>0</v>
      </c>
      <c r="D27" t="n">
        <v>97</v>
      </c>
      <c r="E27" t="s">
        <v>38</v>
      </c>
      <c r="F27" t="s"/>
      <c r="G27" t="s"/>
      <c r="H27" t="s"/>
      <c r="I27" t="s"/>
      <c r="J27" t="n">
        <v>-0.296</v>
      </c>
      <c r="K27" t="n">
        <v>0.121</v>
      </c>
      <c r="L27" t="n">
        <v>0.879</v>
      </c>
      <c r="M27" t="n">
        <v>0</v>
      </c>
    </row>
    <row r="28" spans="1:13">
      <c r="A28" s="1">
        <f>HYPERLINK("http://www.twitter.com/NathanBLawrence/status/1000702267123781632", "1000702267123781632")</f>
        <v/>
      </c>
      <c r="B28" s="2" t="n">
        <v>43247.48364583333</v>
      </c>
      <c r="C28" t="n">
        <v>0</v>
      </c>
      <c r="D28" t="n">
        <v>1375</v>
      </c>
      <c r="E28" t="s">
        <v>39</v>
      </c>
      <c r="F28" t="s"/>
      <c r="G28" t="s"/>
      <c r="H28" t="s"/>
      <c r="I28" t="s"/>
      <c r="J28" t="n">
        <v>0</v>
      </c>
      <c r="K28" t="n">
        <v>0</v>
      </c>
      <c r="L28" t="n">
        <v>1</v>
      </c>
      <c r="M28" t="n">
        <v>0</v>
      </c>
    </row>
    <row r="29" spans="1:13">
      <c r="A29" s="1">
        <f>HYPERLINK("http://www.twitter.com/NathanBLawrence/status/1000570318820401152", "1000570318820401152")</f>
        <v/>
      </c>
      <c r="B29" s="2" t="n">
        <v>43247.11953703704</v>
      </c>
      <c r="C29" t="n">
        <v>0</v>
      </c>
      <c r="D29" t="n">
        <v>322</v>
      </c>
      <c r="E29" t="s">
        <v>40</v>
      </c>
      <c r="F29" t="s"/>
      <c r="G29" t="s"/>
      <c r="H29" t="s"/>
      <c r="I29" t="s"/>
      <c r="J29" t="n">
        <v>0</v>
      </c>
      <c r="K29" t="n">
        <v>0</v>
      </c>
      <c r="L29" t="n">
        <v>1</v>
      </c>
      <c r="M29" t="n">
        <v>0</v>
      </c>
    </row>
    <row r="30" spans="1:13">
      <c r="A30" s="1">
        <f>HYPERLINK("http://www.twitter.com/NathanBLawrence/status/1000570105816928256", "1000570105816928256")</f>
        <v/>
      </c>
      <c r="B30" s="2" t="n">
        <v>43247.11894675926</v>
      </c>
      <c r="C30" t="n">
        <v>0</v>
      </c>
      <c r="D30" t="n">
        <v>22864</v>
      </c>
      <c r="E30" t="s">
        <v>41</v>
      </c>
      <c r="F30">
        <f>HYPERLINK("https://video.twimg.com/ext_tw_video/1000554294582505472/pu/vid/1280x720/MrqbPWGPiH_FMB2j.mp4?tag=3", "https://video.twimg.com/ext_tw_video/1000554294582505472/pu/vid/1280x720/MrqbPWGPiH_FMB2j.mp4?tag=3")</f>
        <v/>
      </c>
      <c r="G30" t="s"/>
      <c r="H30" t="s"/>
      <c r="I30" t="s"/>
      <c r="J30" t="n">
        <v>0.6155</v>
      </c>
      <c r="K30" t="n">
        <v>0</v>
      </c>
      <c r="L30" t="n">
        <v>0.554</v>
      </c>
      <c r="M30" t="n">
        <v>0.446</v>
      </c>
    </row>
    <row r="31" spans="1:13">
      <c r="A31" s="1">
        <f>HYPERLINK("http://www.twitter.com/NathanBLawrence/status/1000568765732605952", "1000568765732605952")</f>
        <v/>
      </c>
      <c r="B31" s="2" t="n">
        <v>43247.11525462963</v>
      </c>
      <c r="C31" t="n">
        <v>0</v>
      </c>
      <c r="D31" t="n">
        <v>2515</v>
      </c>
      <c r="E31" t="s">
        <v>42</v>
      </c>
      <c r="F31" t="s"/>
      <c r="G31" t="s"/>
      <c r="H31" t="s"/>
      <c r="I31" t="s"/>
      <c r="J31" t="n">
        <v>0.902</v>
      </c>
      <c r="K31" t="n">
        <v>0</v>
      </c>
      <c r="L31" t="n">
        <v>0.605</v>
      </c>
      <c r="M31" t="n">
        <v>0.395</v>
      </c>
    </row>
    <row r="32" spans="1:13">
      <c r="A32" s="1">
        <f>HYPERLINK("http://www.twitter.com/NathanBLawrence/status/1000568072711831552", "1000568072711831552")</f>
        <v/>
      </c>
      <c r="B32" s="2" t="n">
        <v>43247.11333333333</v>
      </c>
      <c r="C32" t="n">
        <v>0</v>
      </c>
      <c r="D32" t="n">
        <v>146</v>
      </c>
      <c r="E32" t="s">
        <v>43</v>
      </c>
      <c r="F32">
        <f>HYPERLINK("https://video.twimg.com/amplify_video/1000542795915055104/vid/1280x720/Ha-N-5zq1cJtLM2X.mp4?tag=2", "https://video.twimg.com/amplify_video/1000542795915055104/vid/1280x720/Ha-N-5zq1cJtLM2X.mp4?tag=2")</f>
        <v/>
      </c>
      <c r="G32" t="s"/>
      <c r="H32" t="s"/>
      <c r="I32" t="s"/>
      <c r="J32" t="n">
        <v>0.4588</v>
      </c>
      <c r="K32" t="n">
        <v>0</v>
      </c>
      <c r="L32" t="n">
        <v>0.88</v>
      </c>
      <c r="M32" t="n">
        <v>0.12</v>
      </c>
    </row>
    <row r="33" spans="1:13">
      <c r="A33" s="1">
        <f>HYPERLINK("http://www.twitter.com/NathanBLawrence/status/1000389375123968000", "1000389375123968000")</f>
        <v/>
      </c>
      <c r="B33" s="2" t="n">
        <v>43246.62023148148</v>
      </c>
      <c r="C33" t="n">
        <v>0</v>
      </c>
      <c r="D33" t="n">
        <v>11866</v>
      </c>
      <c r="E33" t="s">
        <v>44</v>
      </c>
      <c r="F33" t="s"/>
      <c r="G33" t="s"/>
      <c r="H33" t="s"/>
      <c r="I33" t="s"/>
      <c r="J33" t="n">
        <v>0.8439</v>
      </c>
      <c r="K33" t="n">
        <v>0</v>
      </c>
      <c r="L33" t="n">
        <v>0.701</v>
      </c>
      <c r="M33" t="n">
        <v>0.299</v>
      </c>
    </row>
    <row r="34" spans="1:13">
      <c r="A34" s="1">
        <f>HYPERLINK("http://www.twitter.com/NathanBLawrence/status/1000368970753630208", "1000368970753630208")</f>
        <v/>
      </c>
      <c r="B34" s="2" t="n">
        <v>43246.56392361111</v>
      </c>
      <c r="C34" t="n">
        <v>0</v>
      </c>
      <c r="D34" t="n">
        <v>1625</v>
      </c>
      <c r="E34" t="s">
        <v>45</v>
      </c>
      <c r="F34">
        <f>HYPERLINK("http://pbs.twimg.com/media/DeH433OWsAA4SJk.jpg", "http://pbs.twimg.com/media/DeH433OWsAA4SJk.jpg")</f>
        <v/>
      </c>
      <c r="G34" t="s"/>
      <c r="H34" t="s"/>
      <c r="I34" t="s"/>
      <c r="J34" t="n">
        <v>-0.2263</v>
      </c>
      <c r="K34" t="n">
        <v>0.08699999999999999</v>
      </c>
      <c r="L34" t="n">
        <v>0.913</v>
      </c>
      <c r="M34" t="n">
        <v>0</v>
      </c>
    </row>
    <row r="35" spans="1:13">
      <c r="A35" s="1">
        <f>HYPERLINK("http://www.twitter.com/NathanBLawrence/status/1000367034037866497", "1000367034037866497")</f>
        <v/>
      </c>
      <c r="B35" s="2" t="n">
        <v>43246.55857638889</v>
      </c>
      <c r="C35" t="n">
        <v>0</v>
      </c>
      <c r="D35" t="n">
        <v>31909</v>
      </c>
      <c r="E35" t="s">
        <v>46</v>
      </c>
      <c r="F35" t="s"/>
      <c r="G35" t="s"/>
      <c r="H35" t="s"/>
      <c r="I35" t="s"/>
      <c r="J35" t="n">
        <v>0.0772</v>
      </c>
      <c r="K35" t="n">
        <v>0.098</v>
      </c>
      <c r="L35" t="n">
        <v>0.792</v>
      </c>
      <c r="M35" t="n">
        <v>0.109</v>
      </c>
    </row>
    <row r="36" spans="1:13">
      <c r="A36" s="1">
        <f>HYPERLINK("http://www.twitter.com/NathanBLawrence/status/1000366183063937024", "1000366183063937024")</f>
        <v/>
      </c>
      <c r="B36" s="2" t="n">
        <v>43246.55622685186</v>
      </c>
      <c r="C36" t="n">
        <v>0</v>
      </c>
      <c r="D36" t="n">
        <v>109</v>
      </c>
      <c r="E36" t="s">
        <v>47</v>
      </c>
      <c r="F36">
        <f>HYPERLINK("http://pbs.twimg.com/media/DeH9ciGW4AADq9Z.jpg", "http://pbs.twimg.com/media/DeH9ciGW4AADq9Z.jpg")</f>
        <v/>
      </c>
      <c r="G36" t="s"/>
      <c r="H36" t="s"/>
      <c r="I36" t="s"/>
      <c r="J36" t="n">
        <v>0.658</v>
      </c>
      <c r="K36" t="n">
        <v>0</v>
      </c>
      <c r="L36" t="n">
        <v>0.795</v>
      </c>
      <c r="M36" t="n">
        <v>0.205</v>
      </c>
    </row>
    <row r="37" spans="1:13">
      <c r="A37" s="1">
        <f>HYPERLINK("http://www.twitter.com/NathanBLawrence/status/1000364393983627264", "1000364393983627264")</f>
        <v/>
      </c>
      <c r="B37" s="2" t="n">
        <v>43246.5512962963</v>
      </c>
      <c r="C37" t="n">
        <v>0</v>
      </c>
      <c r="D37" t="n">
        <v>1</v>
      </c>
      <c r="E37" t="s">
        <v>48</v>
      </c>
      <c r="F37" t="s"/>
      <c r="G37" t="s"/>
      <c r="H37" t="s"/>
      <c r="I37" t="s"/>
      <c r="J37" t="n">
        <v>0</v>
      </c>
      <c r="K37" t="n">
        <v>0</v>
      </c>
      <c r="L37" t="n">
        <v>1</v>
      </c>
      <c r="M37" t="n">
        <v>0</v>
      </c>
    </row>
    <row r="38" spans="1:13">
      <c r="A38" s="1">
        <f>HYPERLINK("http://www.twitter.com/NathanBLawrence/status/1000364098197114882", "1000364098197114882")</f>
        <v/>
      </c>
      <c r="B38" s="2" t="n">
        <v>43246.55047453703</v>
      </c>
      <c r="C38" t="n">
        <v>0</v>
      </c>
      <c r="D38" t="n">
        <v>158</v>
      </c>
      <c r="E38" t="s">
        <v>49</v>
      </c>
      <c r="F38" t="s"/>
      <c r="G38" t="s"/>
      <c r="H38" t="s"/>
      <c r="I38" t="s"/>
      <c r="J38" t="n">
        <v>0</v>
      </c>
      <c r="K38" t="n">
        <v>0</v>
      </c>
      <c r="L38" t="n">
        <v>1</v>
      </c>
      <c r="M38" t="n">
        <v>0</v>
      </c>
    </row>
    <row r="39" spans="1:13">
      <c r="A39" s="1">
        <f>HYPERLINK("http://www.twitter.com/NathanBLawrence/status/1000363893384982528", "1000363893384982528")</f>
        <v/>
      </c>
      <c r="B39" s="2" t="n">
        <v>43246.54990740741</v>
      </c>
      <c r="C39" t="n">
        <v>0</v>
      </c>
      <c r="D39" t="n">
        <v>1456</v>
      </c>
      <c r="E39" t="s">
        <v>50</v>
      </c>
      <c r="F39">
        <f>HYPERLINK("https://video.twimg.com/ext_tw_video/1000022491761381376/pu/vid/1280x720/6BaA7V6oBCZJHnNQ.mp4?tag=3", "https://video.twimg.com/ext_tw_video/1000022491761381376/pu/vid/1280x720/6BaA7V6oBCZJHnNQ.mp4?tag=3")</f>
        <v/>
      </c>
      <c r="G39" t="s"/>
      <c r="H39" t="s"/>
      <c r="I39" t="s"/>
      <c r="J39" t="n">
        <v>0</v>
      </c>
      <c r="K39" t="n">
        <v>0</v>
      </c>
      <c r="L39" t="n">
        <v>1</v>
      </c>
      <c r="M39" t="n">
        <v>0</v>
      </c>
    </row>
    <row r="40" spans="1:13">
      <c r="A40" s="1">
        <f>HYPERLINK("http://www.twitter.com/NathanBLawrence/status/1000361173802541056", "1000361173802541056")</f>
        <v/>
      </c>
      <c r="B40" s="2" t="n">
        <v>43246.54240740741</v>
      </c>
      <c r="C40" t="n">
        <v>0</v>
      </c>
      <c r="D40" t="n">
        <v>17387</v>
      </c>
      <c r="E40" t="s">
        <v>51</v>
      </c>
      <c r="F40">
        <f>HYPERLINK("https://video.twimg.com/amplify_video/1000111712303902720/vid/1280x720/tRyE1R23KOkZpewR.mp4?tag=2", "https://video.twimg.com/amplify_video/1000111712303902720/vid/1280x720/tRyE1R23KOkZpewR.mp4?tag=2")</f>
        <v/>
      </c>
      <c r="G40" t="s"/>
      <c r="H40" t="s"/>
      <c r="I40" t="s"/>
      <c r="J40" t="n">
        <v>0.4767</v>
      </c>
      <c r="K40" t="n">
        <v>0</v>
      </c>
      <c r="L40" t="n">
        <v>0.893</v>
      </c>
      <c r="M40" t="n">
        <v>0.107</v>
      </c>
    </row>
    <row r="41" spans="1:13">
      <c r="A41" s="1">
        <f>HYPERLINK("http://www.twitter.com/NathanBLawrence/status/1000358960371765248", "1000358960371765248")</f>
        <v/>
      </c>
      <c r="B41" s="2" t="n">
        <v>43246.5362962963</v>
      </c>
      <c r="C41" t="n">
        <v>0</v>
      </c>
      <c r="D41" t="n">
        <v>3466</v>
      </c>
      <c r="E41" t="s">
        <v>52</v>
      </c>
      <c r="F41" t="s"/>
      <c r="G41" t="s"/>
      <c r="H41" t="s"/>
      <c r="I41" t="s"/>
      <c r="J41" t="n">
        <v>0</v>
      </c>
      <c r="K41" t="n">
        <v>0</v>
      </c>
      <c r="L41" t="n">
        <v>1</v>
      </c>
      <c r="M41" t="n">
        <v>0</v>
      </c>
    </row>
    <row r="42" spans="1:13">
      <c r="A42" s="1">
        <f>HYPERLINK("http://www.twitter.com/NathanBLawrence/status/1000358443490992128", "1000358443490992128")</f>
        <v/>
      </c>
      <c r="B42" s="2" t="n">
        <v>43246.53487268519</v>
      </c>
      <c r="C42" t="n">
        <v>0</v>
      </c>
      <c r="D42" t="n">
        <v>66</v>
      </c>
      <c r="E42" t="s">
        <v>53</v>
      </c>
      <c r="F42" t="s"/>
      <c r="G42" t="s"/>
      <c r="H42" t="s"/>
      <c r="I42" t="s"/>
      <c r="J42" t="n">
        <v>0</v>
      </c>
      <c r="K42" t="n">
        <v>0</v>
      </c>
      <c r="L42" t="n">
        <v>1</v>
      </c>
      <c r="M42" t="n">
        <v>0</v>
      </c>
    </row>
    <row r="43" spans="1:13">
      <c r="A43" s="1">
        <f>HYPERLINK("http://www.twitter.com/NathanBLawrence/status/1000357430205837312", "1000357430205837312")</f>
        <v/>
      </c>
      <c r="B43" s="2" t="n">
        <v>43246.53207175926</v>
      </c>
      <c r="C43" t="n">
        <v>0</v>
      </c>
      <c r="D43" t="n">
        <v>714</v>
      </c>
      <c r="E43" t="s">
        <v>54</v>
      </c>
      <c r="F43">
        <f>HYPERLINK("https://video.twimg.com/ext_tw_video/1000319860587589632/pu/vid/1280x720/TBTqW5r0XxM2VkG0.mp4?tag=3", "https://video.twimg.com/ext_tw_video/1000319860587589632/pu/vid/1280x720/TBTqW5r0XxM2VkG0.mp4?tag=3")</f>
        <v/>
      </c>
      <c r="G43" t="s"/>
      <c r="H43" t="s"/>
      <c r="I43" t="s"/>
      <c r="J43" t="n">
        <v>0.1027</v>
      </c>
      <c r="K43" t="n">
        <v>0.148</v>
      </c>
      <c r="L43" t="n">
        <v>0.679</v>
      </c>
      <c r="M43" t="n">
        <v>0.173</v>
      </c>
    </row>
    <row r="44" spans="1:13">
      <c r="A44" s="1">
        <f>HYPERLINK("http://www.twitter.com/NathanBLawrence/status/1000357235950866433", "1000357235950866433")</f>
        <v/>
      </c>
      <c r="B44" s="2" t="n">
        <v>43246.53153935185</v>
      </c>
      <c r="C44" t="n">
        <v>0</v>
      </c>
      <c r="D44" t="n">
        <v>393</v>
      </c>
      <c r="E44" t="s">
        <v>55</v>
      </c>
      <c r="F44" t="s"/>
      <c r="G44" t="s"/>
      <c r="H44" t="s"/>
      <c r="I44" t="s"/>
      <c r="J44" t="n">
        <v>0.4588</v>
      </c>
      <c r="K44" t="n">
        <v>0.097</v>
      </c>
      <c r="L44" t="n">
        <v>0.6850000000000001</v>
      </c>
      <c r="M44" t="n">
        <v>0.218</v>
      </c>
    </row>
    <row r="45" spans="1:13">
      <c r="A45" s="1">
        <f>HYPERLINK("http://www.twitter.com/NathanBLawrence/status/1000357056124276736", "1000357056124276736")</f>
        <v/>
      </c>
      <c r="B45" s="2" t="n">
        <v>43246.53104166667</v>
      </c>
      <c r="C45" t="n">
        <v>0</v>
      </c>
      <c r="D45" t="n">
        <v>3752</v>
      </c>
      <c r="E45" t="s">
        <v>56</v>
      </c>
      <c r="F45">
        <f>HYPERLINK("https://video.twimg.com/ext_tw_video/1000207496630317056/pu/vid/1280x720/jvBRmzCi316X5Z56.mp4?tag=3", "https://video.twimg.com/ext_tw_video/1000207496630317056/pu/vid/1280x720/jvBRmzCi316X5Z56.mp4?tag=3")</f>
        <v/>
      </c>
      <c r="G45" t="s"/>
      <c r="H45" t="s"/>
      <c r="I45" t="s"/>
      <c r="J45" t="n">
        <v>0.3182</v>
      </c>
      <c r="K45" t="n">
        <v>0</v>
      </c>
      <c r="L45" t="n">
        <v>0.905</v>
      </c>
      <c r="M45" t="n">
        <v>0.095</v>
      </c>
    </row>
    <row r="46" spans="1:13">
      <c r="A46" s="1">
        <f>HYPERLINK("http://www.twitter.com/NathanBLawrence/status/1000353995288870912", "1000353995288870912")</f>
        <v/>
      </c>
      <c r="B46" s="2" t="n">
        <v>43246.52259259259</v>
      </c>
      <c r="C46" t="n">
        <v>0</v>
      </c>
      <c r="D46" t="n">
        <v>1122</v>
      </c>
      <c r="E46" t="s">
        <v>57</v>
      </c>
      <c r="F46" t="s"/>
      <c r="G46" t="s"/>
      <c r="H46" t="s"/>
      <c r="I46" t="s"/>
      <c r="J46" t="n">
        <v>-0.8472</v>
      </c>
      <c r="K46" t="n">
        <v>0.325</v>
      </c>
      <c r="L46" t="n">
        <v>0.675</v>
      </c>
      <c r="M46" t="n">
        <v>0</v>
      </c>
    </row>
    <row r="47" spans="1:13">
      <c r="A47" s="1">
        <f>HYPERLINK("http://www.twitter.com/NathanBLawrence/status/1000353823309824000", "1000353823309824000")</f>
        <v/>
      </c>
      <c r="B47" s="2" t="n">
        <v>43246.52211805555</v>
      </c>
      <c r="C47" t="n">
        <v>0</v>
      </c>
      <c r="D47" t="n">
        <v>1835</v>
      </c>
      <c r="E47" t="s">
        <v>58</v>
      </c>
      <c r="F47">
        <f>HYPERLINK("https://video.twimg.com/amplify_video/999695865659899905/vid/1280x720/K43TU6rHZlQc8Gbv.mp4?tag=2", "https://video.twimg.com/amplify_video/999695865659899905/vid/1280x720/K43TU6rHZlQc8Gbv.mp4?tag=2")</f>
        <v/>
      </c>
      <c r="G47" t="s"/>
      <c r="H47" t="s"/>
      <c r="I47" t="s"/>
      <c r="J47" t="n">
        <v>0.8176</v>
      </c>
      <c r="K47" t="n">
        <v>0</v>
      </c>
      <c r="L47" t="n">
        <v>0.717</v>
      </c>
      <c r="M47" t="n">
        <v>0.283</v>
      </c>
    </row>
    <row r="48" spans="1:13">
      <c r="A48" s="1">
        <f>HYPERLINK("http://www.twitter.com/NathanBLawrence/status/999997321650765824", "999997321650765824")</f>
        <v/>
      </c>
      <c r="B48" s="2" t="n">
        <v>43245.53836805555</v>
      </c>
      <c r="C48" t="n">
        <v>0</v>
      </c>
      <c r="D48" t="n">
        <v>5</v>
      </c>
      <c r="E48" t="s">
        <v>59</v>
      </c>
      <c r="F48" t="s"/>
      <c r="G48" t="s"/>
      <c r="H48" t="s"/>
      <c r="I48" t="s"/>
      <c r="J48" t="n">
        <v>-0.2732</v>
      </c>
      <c r="K48" t="n">
        <v>0.189</v>
      </c>
      <c r="L48" t="n">
        <v>0.8110000000000001</v>
      </c>
      <c r="M48" t="n">
        <v>0</v>
      </c>
    </row>
    <row r="49" spans="1:13">
      <c r="A49" s="1">
        <f>HYPERLINK("http://www.twitter.com/NathanBLawrence/status/999996567062016000", "999996567062016000")</f>
        <v/>
      </c>
      <c r="B49" s="2" t="n">
        <v>43245.53628472222</v>
      </c>
      <c r="C49" t="n">
        <v>0</v>
      </c>
      <c r="D49" t="n">
        <v>2761</v>
      </c>
      <c r="E49" t="s">
        <v>60</v>
      </c>
      <c r="F49" t="s"/>
      <c r="G49" t="s"/>
      <c r="H49" t="s"/>
      <c r="I49" t="s"/>
      <c r="J49" t="n">
        <v>0.6696</v>
      </c>
      <c r="K49" t="n">
        <v>0</v>
      </c>
      <c r="L49" t="n">
        <v>0.527</v>
      </c>
      <c r="M49" t="n">
        <v>0.473</v>
      </c>
    </row>
    <row r="50" spans="1:13">
      <c r="A50" s="1">
        <f>HYPERLINK("http://www.twitter.com/NathanBLawrence/status/999996296445513730", "999996296445513730")</f>
        <v/>
      </c>
      <c r="B50" s="2" t="n">
        <v>43245.5355324074</v>
      </c>
      <c r="C50" t="n">
        <v>0</v>
      </c>
      <c r="D50" t="n">
        <v>9282</v>
      </c>
      <c r="E50" t="s">
        <v>61</v>
      </c>
      <c r="F50" t="s"/>
      <c r="G50" t="s"/>
      <c r="H50" t="s"/>
      <c r="I50" t="s"/>
      <c r="J50" t="n">
        <v>0.4767</v>
      </c>
      <c r="K50" t="n">
        <v>0</v>
      </c>
      <c r="L50" t="n">
        <v>0.83</v>
      </c>
      <c r="M50" t="n">
        <v>0.17</v>
      </c>
    </row>
    <row r="51" spans="1:13">
      <c r="A51" s="1">
        <f>HYPERLINK("http://www.twitter.com/NathanBLawrence/status/999995992626925568", "999995992626925568")</f>
        <v/>
      </c>
      <c r="B51" s="2" t="n">
        <v>43245.53469907407</v>
      </c>
      <c r="C51" t="n">
        <v>0</v>
      </c>
      <c r="D51" t="n">
        <v>24073</v>
      </c>
      <c r="E51" t="s">
        <v>62</v>
      </c>
      <c r="F51" t="s"/>
      <c r="G51" t="s"/>
      <c r="H51" t="s"/>
      <c r="I51" t="s"/>
      <c r="J51" t="n">
        <v>0.624</v>
      </c>
      <c r="K51" t="n">
        <v>0</v>
      </c>
      <c r="L51" t="n">
        <v>0.8120000000000001</v>
      </c>
      <c r="M51" t="n">
        <v>0.188</v>
      </c>
    </row>
    <row r="52" spans="1:13">
      <c r="A52" s="1">
        <f>HYPERLINK("http://www.twitter.com/NathanBLawrence/status/999990325035913217", "999990325035913217")</f>
        <v/>
      </c>
      <c r="B52" s="2" t="n">
        <v>43245.5190625</v>
      </c>
      <c r="C52" t="n">
        <v>0</v>
      </c>
      <c r="D52" t="n">
        <v>66</v>
      </c>
      <c r="E52" t="s">
        <v>63</v>
      </c>
      <c r="F52" t="s"/>
      <c r="G52" t="s"/>
      <c r="H52" t="s"/>
      <c r="I52" t="s"/>
      <c r="J52" t="n">
        <v>-0.8957000000000001</v>
      </c>
      <c r="K52" t="n">
        <v>0.474</v>
      </c>
      <c r="L52" t="n">
        <v>0.526</v>
      </c>
      <c r="M52" t="n">
        <v>0</v>
      </c>
    </row>
    <row r="53" spans="1:13">
      <c r="A53" s="1">
        <f>HYPERLINK("http://www.twitter.com/NathanBLawrence/status/999989427119239169", "999989427119239169")</f>
        <v/>
      </c>
      <c r="B53" s="2" t="n">
        <v>43245.51657407408</v>
      </c>
      <c r="C53" t="n">
        <v>0</v>
      </c>
      <c r="D53" t="n">
        <v>1548</v>
      </c>
      <c r="E53" t="s">
        <v>64</v>
      </c>
      <c r="F53" t="s"/>
      <c r="G53" t="s"/>
      <c r="H53" t="s"/>
      <c r="I53" t="s"/>
      <c r="J53" t="n">
        <v>0.4898</v>
      </c>
      <c r="K53" t="n">
        <v>0.128</v>
      </c>
      <c r="L53" t="n">
        <v>0.637</v>
      </c>
      <c r="M53" t="n">
        <v>0.235</v>
      </c>
    </row>
    <row r="54" spans="1:13">
      <c r="A54" s="1">
        <f>HYPERLINK("http://www.twitter.com/NathanBLawrence/status/999989150731456513", "999989150731456513")</f>
        <v/>
      </c>
      <c r="B54" s="2" t="n">
        <v>43245.51582175926</v>
      </c>
      <c r="C54" t="n">
        <v>0</v>
      </c>
      <c r="D54" t="n">
        <v>243</v>
      </c>
      <c r="E54" t="s">
        <v>65</v>
      </c>
      <c r="F54">
        <f>HYPERLINK("https://video.twimg.com/amplify_video/999975052043894787/vid/640x360/6Yi0litfg-ZP9xYl.mp4?tag=2", "https://video.twimg.com/amplify_video/999975052043894787/vid/640x360/6Yi0litfg-ZP9xYl.mp4?tag=2")</f>
        <v/>
      </c>
      <c r="G54" t="s"/>
      <c r="H54" t="s"/>
      <c r="I54" t="s"/>
      <c r="J54" t="n">
        <v>0.2732</v>
      </c>
      <c r="K54" t="n">
        <v>0</v>
      </c>
      <c r="L54" t="n">
        <v>0.89</v>
      </c>
      <c r="M54" t="n">
        <v>0.11</v>
      </c>
    </row>
    <row r="55" spans="1:13">
      <c r="A55" s="1">
        <f>HYPERLINK("http://www.twitter.com/NathanBLawrence/status/999988217775644672", "999988217775644672")</f>
        <v/>
      </c>
      <c r="B55" s="2" t="n">
        <v>43245.51324074074</v>
      </c>
      <c r="C55" t="n">
        <v>0</v>
      </c>
      <c r="D55" t="n">
        <v>510</v>
      </c>
      <c r="E55" t="s">
        <v>66</v>
      </c>
      <c r="F55">
        <f>HYPERLINK("http://pbs.twimg.com/media/DeBDrXFUwAEh-ol.jpg", "http://pbs.twimg.com/media/DeBDrXFUwAEh-ol.jpg")</f>
        <v/>
      </c>
      <c r="G55" t="s"/>
      <c r="H55" t="s"/>
      <c r="I55" t="s"/>
      <c r="J55" t="n">
        <v>-0.7184</v>
      </c>
      <c r="K55" t="n">
        <v>0.261</v>
      </c>
      <c r="L55" t="n">
        <v>0.739</v>
      </c>
      <c r="M55" t="n">
        <v>0</v>
      </c>
    </row>
    <row r="56" spans="1:13">
      <c r="A56" s="1">
        <f>HYPERLINK("http://www.twitter.com/NathanBLawrence/status/999988034920697856", "999988034920697856")</f>
        <v/>
      </c>
      <c r="B56" s="2" t="n">
        <v>43245.51274305556</v>
      </c>
      <c r="C56" t="n">
        <v>0</v>
      </c>
      <c r="D56" t="n">
        <v>18532</v>
      </c>
      <c r="E56" t="s">
        <v>67</v>
      </c>
      <c r="F56" t="s"/>
      <c r="G56" t="s"/>
      <c r="H56" t="s"/>
      <c r="I56" t="s"/>
      <c r="J56" t="n">
        <v>0</v>
      </c>
      <c r="K56" t="n">
        <v>0</v>
      </c>
      <c r="L56" t="n">
        <v>1</v>
      </c>
      <c r="M56" t="n">
        <v>0</v>
      </c>
    </row>
    <row r="57" spans="1:13">
      <c r="A57" s="1">
        <f>HYPERLINK("http://www.twitter.com/NathanBLawrence/status/999987602810949632", "999987602810949632")</f>
        <v/>
      </c>
      <c r="B57" s="2" t="n">
        <v>43245.51155092593</v>
      </c>
      <c r="C57" t="n">
        <v>0</v>
      </c>
      <c r="D57" t="n">
        <v>23472</v>
      </c>
      <c r="E57" t="s">
        <v>68</v>
      </c>
      <c r="F57" t="s"/>
      <c r="G57" t="s"/>
      <c r="H57" t="s"/>
      <c r="I57" t="s"/>
      <c r="J57" t="n">
        <v>0.4019</v>
      </c>
      <c r="K57" t="n">
        <v>0</v>
      </c>
      <c r="L57" t="n">
        <v>0.886</v>
      </c>
      <c r="M57" t="n">
        <v>0.114</v>
      </c>
    </row>
    <row r="58" spans="1:13">
      <c r="A58" s="1">
        <f>HYPERLINK("http://www.twitter.com/NathanBLawrence/status/999987593604419584", "999987593604419584")</f>
        <v/>
      </c>
      <c r="B58" s="2" t="n">
        <v>43245.5115162037</v>
      </c>
      <c r="C58" t="n">
        <v>0</v>
      </c>
      <c r="D58" t="n">
        <v>21677</v>
      </c>
      <c r="E58" t="s">
        <v>69</v>
      </c>
      <c r="F58" t="s"/>
      <c r="G58" t="s"/>
      <c r="H58" t="s"/>
      <c r="I58" t="s"/>
      <c r="J58" t="n">
        <v>0</v>
      </c>
      <c r="K58" t="n">
        <v>0</v>
      </c>
      <c r="L58" t="n">
        <v>1</v>
      </c>
      <c r="M58" t="n">
        <v>0</v>
      </c>
    </row>
    <row r="59" spans="1:13">
      <c r="A59" s="1">
        <f>HYPERLINK("http://www.twitter.com/NathanBLawrence/status/999855776486379523", "999855776486379523")</f>
        <v/>
      </c>
      <c r="B59" s="2" t="n">
        <v>43245.14777777778</v>
      </c>
      <c r="C59" t="n">
        <v>0</v>
      </c>
      <c r="D59" t="n">
        <v>64</v>
      </c>
      <c r="E59" t="s">
        <v>70</v>
      </c>
      <c r="F59" t="s"/>
      <c r="G59" t="s"/>
      <c r="H59" t="s"/>
      <c r="I59" t="s"/>
      <c r="J59" t="n">
        <v>0.913</v>
      </c>
      <c r="K59" t="n">
        <v>0</v>
      </c>
      <c r="L59" t="n">
        <v>0.465</v>
      </c>
      <c r="M59" t="n">
        <v>0.535</v>
      </c>
    </row>
    <row r="60" spans="1:13">
      <c r="A60" s="1">
        <f>HYPERLINK("http://www.twitter.com/NathanBLawrence/status/999855450207215616", "999855450207215616")</f>
        <v/>
      </c>
      <c r="B60" s="2" t="n">
        <v>43245.146875</v>
      </c>
      <c r="C60" t="n">
        <v>0</v>
      </c>
      <c r="D60" t="n">
        <v>398</v>
      </c>
      <c r="E60" t="s">
        <v>71</v>
      </c>
      <c r="F60">
        <f>HYPERLINK("http://pbs.twimg.com/media/DeAY84CV0AAQbbD.jpg", "http://pbs.twimg.com/media/DeAY84CV0AAQbbD.jpg")</f>
        <v/>
      </c>
      <c r="G60" t="s"/>
      <c r="H60" t="s"/>
      <c r="I60" t="s"/>
      <c r="J60" t="n">
        <v>0.4678</v>
      </c>
      <c r="K60" t="n">
        <v>0</v>
      </c>
      <c r="L60" t="n">
        <v>0.8080000000000001</v>
      </c>
      <c r="M60" t="n">
        <v>0.192</v>
      </c>
    </row>
    <row r="61" spans="1:13">
      <c r="A61" s="1">
        <f>HYPERLINK("http://www.twitter.com/NathanBLawrence/status/999855235463032832", "999855235463032832")</f>
        <v/>
      </c>
      <c r="B61" s="2" t="n">
        <v>43245.14628472222</v>
      </c>
      <c r="C61" t="n">
        <v>0</v>
      </c>
      <c r="D61" t="n">
        <v>218</v>
      </c>
      <c r="E61" t="s">
        <v>72</v>
      </c>
      <c r="F61" t="s"/>
      <c r="G61" t="s"/>
      <c r="H61" t="s"/>
      <c r="I61" t="s"/>
      <c r="J61" t="n">
        <v>0.3612</v>
      </c>
      <c r="K61" t="n">
        <v>0.078</v>
      </c>
      <c r="L61" t="n">
        <v>0.736</v>
      </c>
      <c r="M61" t="n">
        <v>0.186</v>
      </c>
    </row>
    <row r="62" spans="1:13">
      <c r="A62" s="1">
        <f>HYPERLINK("http://www.twitter.com/NathanBLawrence/status/999854642069729280", "999854642069729280")</f>
        <v/>
      </c>
      <c r="B62" s="2" t="n">
        <v>43245.1446412037</v>
      </c>
      <c r="C62" t="n">
        <v>0</v>
      </c>
      <c r="D62" t="n">
        <v>620</v>
      </c>
      <c r="E62" t="s">
        <v>73</v>
      </c>
      <c r="F62" t="s"/>
      <c r="G62" t="s"/>
      <c r="H62" t="s"/>
      <c r="I62" t="s"/>
      <c r="J62" t="n">
        <v>-0.8217</v>
      </c>
      <c r="K62" t="n">
        <v>0.285</v>
      </c>
      <c r="L62" t="n">
        <v>0.715</v>
      </c>
      <c r="M62" t="n">
        <v>0</v>
      </c>
    </row>
    <row r="63" spans="1:13">
      <c r="A63" s="1">
        <f>HYPERLINK("http://www.twitter.com/NathanBLawrence/status/999854533437206528", "999854533437206528")</f>
        <v/>
      </c>
      <c r="B63" s="2" t="n">
        <v>43245.14434027778</v>
      </c>
      <c r="C63" t="n">
        <v>0</v>
      </c>
      <c r="D63" t="n">
        <v>3420</v>
      </c>
      <c r="E63" t="s">
        <v>74</v>
      </c>
      <c r="F63" t="s"/>
      <c r="G63" t="s"/>
      <c r="H63" t="s"/>
      <c r="I63" t="s"/>
      <c r="J63" t="n">
        <v>0.6739000000000001</v>
      </c>
      <c r="K63" t="n">
        <v>0</v>
      </c>
      <c r="L63" t="n">
        <v>0.8129999999999999</v>
      </c>
      <c r="M63" t="n">
        <v>0.187</v>
      </c>
    </row>
    <row r="64" spans="1:13">
      <c r="A64" s="1">
        <f>HYPERLINK("http://www.twitter.com/NathanBLawrence/status/999854084420263937", "999854084420263937")</f>
        <v/>
      </c>
      <c r="B64" s="2" t="n">
        <v>43245.14310185185</v>
      </c>
      <c r="C64" t="n">
        <v>0</v>
      </c>
      <c r="D64" t="n">
        <v>4</v>
      </c>
      <c r="E64" t="s">
        <v>75</v>
      </c>
      <c r="F64" t="s"/>
      <c r="G64" t="s"/>
      <c r="H64" t="s"/>
      <c r="I64" t="s"/>
      <c r="J64" t="n">
        <v>0</v>
      </c>
      <c r="K64" t="n">
        <v>0</v>
      </c>
      <c r="L64" t="n">
        <v>1</v>
      </c>
      <c r="M64" t="n">
        <v>0</v>
      </c>
    </row>
    <row r="65" spans="1:13">
      <c r="A65" s="1">
        <f>HYPERLINK("http://www.twitter.com/NathanBLawrence/status/999853830446682112", "999853830446682112")</f>
        <v/>
      </c>
      <c r="B65" s="2" t="n">
        <v>43245.14240740741</v>
      </c>
      <c r="C65" t="n">
        <v>0</v>
      </c>
      <c r="D65" t="n">
        <v>398</v>
      </c>
      <c r="E65" t="s">
        <v>76</v>
      </c>
      <c r="F65" t="s"/>
      <c r="G65" t="s"/>
      <c r="H65" t="s"/>
      <c r="I65" t="s"/>
      <c r="J65" t="n">
        <v>0.128</v>
      </c>
      <c r="K65" t="n">
        <v>0.118</v>
      </c>
      <c r="L65" t="n">
        <v>0.739</v>
      </c>
      <c r="M65" t="n">
        <v>0.143</v>
      </c>
    </row>
    <row r="66" spans="1:13">
      <c r="A66" s="1">
        <f>HYPERLINK("http://www.twitter.com/NathanBLawrence/status/999853642009251841", "999853642009251841")</f>
        <v/>
      </c>
      <c r="B66" s="2" t="n">
        <v>43245.14188657407</v>
      </c>
      <c r="C66" t="n">
        <v>0</v>
      </c>
      <c r="D66" t="n">
        <v>285</v>
      </c>
      <c r="E66" t="s">
        <v>77</v>
      </c>
      <c r="F66">
        <f>HYPERLINK("http://pbs.twimg.com/media/Dd-0al-W4AE4b8n.jpg", "http://pbs.twimg.com/media/Dd-0al-W4AE4b8n.jpg")</f>
        <v/>
      </c>
      <c r="G66" t="s"/>
      <c r="H66" t="s"/>
      <c r="I66" t="s"/>
      <c r="J66" t="n">
        <v>0</v>
      </c>
      <c r="K66" t="n">
        <v>0</v>
      </c>
      <c r="L66" t="n">
        <v>1</v>
      </c>
      <c r="M66" t="n">
        <v>0</v>
      </c>
    </row>
    <row r="67" spans="1:13">
      <c r="A67" s="1">
        <f>HYPERLINK("http://www.twitter.com/NathanBLawrence/status/999853132787208193", "999853132787208193")</f>
        <v/>
      </c>
      <c r="B67" s="2" t="n">
        <v>43245.14047453704</v>
      </c>
      <c r="C67" t="n">
        <v>0</v>
      </c>
      <c r="D67" t="n">
        <v>336</v>
      </c>
      <c r="E67" t="s">
        <v>78</v>
      </c>
      <c r="F67" t="s"/>
      <c r="G67" t="s"/>
      <c r="H67" t="s"/>
      <c r="I67" t="s"/>
      <c r="J67" t="n">
        <v>-0.3818</v>
      </c>
      <c r="K67" t="n">
        <v>0.157</v>
      </c>
      <c r="L67" t="n">
        <v>0.843</v>
      </c>
      <c r="M67" t="n">
        <v>0</v>
      </c>
    </row>
    <row r="68" spans="1:13">
      <c r="A68" s="1">
        <f>HYPERLINK("http://www.twitter.com/NathanBLawrence/status/999852659938127877", "999852659938127877")</f>
        <v/>
      </c>
      <c r="B68" s="2" t="n">
        <v>43245.13917824074</v>
      </c>
      <c r="C68" t="n">
        <v>0</v>
      </c>
      <c r="D68" t="n">
        <v>335</v>
      </c>
      <c r="E68" t="s">
        <v>79</v>
      </c>
      <c r="F68" t="s"/>
      <c r="G68" t="s"/>
      <c r="H68" t="s"/>
      <c r="I68" t="s"/>
      <c r="J68" t="n">
        <v>0</v>
      </c>
      <c r="K68" t="n">
        <v>0</v>
      </c>
      <c r="L68" t="n">
        <v>1</v>
      </c>
      <c r="M68" t="n">
        <v>0</v>
      </c>
    </row>
    <row r="69" spans="1:13">
      <c r="A69" s="1">
        <f>HYPERLINK("http://www.twitter.com/NathanBLawrence/status/999851737551921152", "999851737551921152")</f>
        <v/>
      </c>
      <c r="B69" s="2" t="n">
        <v>43245.13663194444</v>
      </c>
      <c r="C69" t="n">
        <v>0</v>
      </c>
      <c r="D69" t="n">
        <v>28</v>
      </c>
      <c r="E69" t="s">
        <v>80</v>
      </c>
      <c r="F69">
        <f>HYPERLINK("http://pbs.twimg.com/media/DeAujNlVMAAJiGs.jpg", "http://pbs.twimg.com/media/DeAujNlVMAAJiGs.jpg")</f>
        <v/>
      </c>
      <c r="G69" t="s"/>
      <c r="H69" t="s"/>
      <c r="I69" t="s"/>
      <c r="J69" t="n">
        <v>-0.6808</v>
      </c>
      <c r="K69" t="n">
        <v>0.286</v>
      </c>
      <c r="L69" t="n">
        <v>0.714</v>
      </c>
      <c r="M69" t="n">
        <v>0</v>
      </c>
    </row>
    <row r="70" spans="1:13">
      <c r="A70" s="1">
        <f>HYPERLINK("http://www.twitter.com/NathanBLawrence/status/999851509834747904", "999851509834747904")</f>
        <v/>
      </c>
      <c r="B70" s="2" t="n">
        <v>43245.13599537037</v>
      </c>
      <c r="C70" t="n">
        <v>0</v>
      </c>
      <c r="D70" t="n">
        <v>457</v>
      </c>
      <c r="E70" t="s">
        <v>81</v>
      </c>
      <c r="F70" t="s"/>
      <c r="G70" t="s"/>
      <c r="H70" t="s"/>
      <c r="I70" t="s"/>
      <c r="J70" t="n">
        <v>0</v>
      </c>
      <c r="K70" t="n">
        <v>0</v>
      </c>
      <c r="L70" t="n">
        <v>1</v>
      </c>
      <c r="M70" t="n">
        <v>0</v>
      </c>
    </row>
    <row r="71" spans="1:13">
      <c r="A71" s="1">
        <f>HYPERLINK("http://www.twitter.com/NathanBLawrence/status/999850673402535936", "999850673402535936")</f>
        <v/>
      </c>
      <c r="B71" s="2" t="n">
        <v>43245.13369212963</v>
      </c>
      <c r="C71" t="n">
        <v>0</v>
      </c>
      <c r="D71" t="n">
        <v>173</v>
      </c>
      <c r="E71" t="s">
        <v>82</v>
      </c>
      <c r="F71" t="s"/>
      <c r="G71" t="s"/>
      <c r="H71" t="s"/>
      <c r="I71" t="s"/>
      <c r="J71" t="n">
        <v>0.128</v>
      </c>
      <c r="K71" t="n">
        <v>0.148</v>
      </c>
      <c r="L71" t="n">
        <v>0.671</v>
      </c>
      <c r="M71" t="n">
        <v>0.181</v>
      </c>
    </row>
    <row r="72" spans="1:13">
      <c r="A72" s="1">
        <f>HYPERLINK("http://www.twitter.com/NathanBLawrence/status/999849964451893248", "999849964451893248")</f>
        <v/>
      </c>
      <c r="B72" s="2" t="n">
        <v>43245.13173611111</v>
      </c>
      <c r="C72" t="n">
        <v>0</v>
      </c>
      <c r="D72" t="n">
        <v>1139</v>
      </c>
      <c r="E72" t="s">
        <v>83</v>
      </c>
      <c r="F72">
        <f>HYPERLINK("http://pbs.twimg.com/media/Dd-MsA-U0AMPjhN.jpg", "http://pbs.twimg.com/media/Dd-MsA-U0AMPjhN.jpg")</f>
        <v/>
      </c>
      <c r="G72">
        <f>HYPERLINK("http://pbs.twimg.com/media/Dd-MsgYUQAAvXhW.jpg", "http://pbs.twimg.com/media/Dd-MsgYUQAAvXhW.jpg")</f>
        <v/>
      </c>
      <c r="H72" t="s"/>
      <c r="I72" t="s"/>
      <c r="J72" t="n">
        <v>-0.2263</v>
      </c>
      <c r="K72" t="n">
        <v>0.083</v>
      </c>
      <c r="L72" t="n">
        <v>0.917</v>
      </c>
      <c r="M72" t="n">
        <v>0</v>
      </c>
    </row>
    <row r="73" spans="1:13">
      <c r="A73" s="1">
        <f>HYPERLINK("http://www.twitter.com/NathanBLawrence/status/999849578374496256", "999849578374496256")</f>
        <v/>
      </c>
      <c r="B73" s="2" t="n">
        <v>43245.1306712963</v>
      </c>
      <c r="C73" t="n">
        <v>0</v>
      </c>
      <c r="D73" t="n">
        <v>127</v>
      </c>
      <c r="E73" t="s">
        <v>84</v>
      </c>
      <c r="F73" t="s"/>
      <c r="G73" t="s"/>
      <c r="H73" t="s"/>
      <c r="I73" t="s"/>
      <c r="J73" t="n">
        <v>0.5266999999999999</v>
      </c>
      <c r="K73" t="n">
        <v>0</v>
      </c>
      <c r="L73" t="n">
        <v>0.841</v>
      </c>
      <c r="M73" t="n">
        <v>0.159</v>
      </c>
    </row>
    <row r="74" spans="1:13">
      <c r="A74" s="1">
        <f>HYPERLINK("http://www.twitter.com/NathanBLawrence/status/999849339064381442", "999849339064381442")</f>
        <v/>
      </c>
      <c r="B74" s="2" t="n">
        <v>43245.13001157407</v>
      </c>
      <c r="C74" t="n">
        <v>0</v>
      </c>
      <c r="D74" t="n">
        <v>16909</v>
      </c>
      <c r="E74" t="s">
        <v>85</v>
      </c>
      <c r="F74">
        <f>HYPERLINK("http://pbs.twimg.com/media/Dd-ZK1AUQAIATMk.jpg", "http://pbs.twimg.com/media/Dd-ZK1AUQAIATMk.jpg")</f>
        <v/>
      </c>
      <c r="G74" t="s"/>
      <c r="H74" t="s"/>
      <c r="I74" t="s"/>
      <c r="J74" t="n">
        <v>-0.7783</v>
      </c>
      <c r="K74" t="n">
        <v>0.358</v>
      </c>
      <c r="L74" t="n">
        <v>0.642</v>
      </c>
      <c r="M74" t="n">
        <v>0</v>
      </c>
    </row>
    <row r="75" spans="1:13">
      <c r="A75" s="1">
        <f>HYPERLINK("http://www.twitter.com/NathanBLawrence/status/999849254544904193", "999849254544904193")</f>
        <v/>
      </c>
      <c r="B75" s="2" t="n">
        <v>43245.12978009259</v>
      </c>
      <c r="C75" t="n">
        <v>0</v>
      </c>
      <c r="D75" t="n">
        <v>3026</v>
      </c>
      <c r="E75" t="s">
        <v>86</v>
      </c>
      <c r="F75" t="s"/>
      <c r="G75" t="s"/>
      <c r="H75" t="s"/>
      <c r="I75" t="s"/>
      <c r="J75" t="n">
        <v>0</v>
      </c>
      <c r="K75" t="n">
        <v>0</v>
      </c>
      <c r="L75" t="n">
        <v>1</v>
      </c>
      <c r="M75" t="n">
        <v>0</v>
      </c>
    </row>
    <row r="76" spans="1:13">
      <c r="A76" s="1">
        <f>HYPERLINK("http://www.twitter.com/NathanBLawrence/status/999849149213356032", "999849149213356032")</f>
        <v/>
      </c>
      <c r="B76" s="2" t="n">
        <v>43245.12949074074</v>
      </c>
      <c r="C76" t="n">
        <v>0</v>
      </c>
      <c r="D76" t="n">
        <v>2953</v>
      </c>
      <c r="E76" t="s">
        <v>87</v>
      </c>
      <c r="F76">
        <f>HYPERLINK("http://pbs.twimg.com/media/Dd-JtXxU8AA_zK9.jpg", "http://pbs.twimg.com/media/Dd-JtXxU8AA_zK9.jpg")</f>
        <v/>
      </c>
      <c r="G76" t="s"/>
      <c r="H76" t="s"/>
      <c r="I76" t="s"/>
      <c r="J76" t="n">
        <v>-0.7579</v>
      </c>
      <c r="K76" t="n">
        <v>0.277</v>
      </c>
      <c r="L76" t="n">
        <v>0.723</v>
      </c>
      <c r="M76" t="n">
        <v>0</v>
      </c>
    </row>
    <row r="77" spans="1:13">
      <c r="A77" s="1">
        <f>HYPERLINK("http://www.twitter.com/NathanBLawrence/status/999848973711093760", "999848973711093760")</f>
        <v/>
      </c>
      <c r="B77" s="2" t="n">
        <v>43245.12900462963</v>
      </c>
      <c r="C77" t="n">
        <v>0</v>
      </c>
      <c r="D77" t="n">
        <v>608</v>
      </c>
      <c r="E77" t="s">
        <v>88</v>
      </c>
      <c r="F77" t="s"/>
      <c r="G77" t="s"/>
      <c r="H77" t="s"/>
      <c r="I77" t="s"/>
      <c r="J77" t="n">
        <v>-0.25</v>
      </c>
      <c r="K77" t="n">
        <v>0.1</v>
      </c>
      <c r="L77" t="n">
        <v>0.9</v>
      </c>
      <c r="M77" t="n">
        <v>0</v>
      </c>
    </row>
    <row r="78" spans="1:13">
      <c r="A78" s="1">
        <f>HYPERLINK("http://www.twitter.com/NathanBLawrence/status/999848910192631808", "999848910192631808")</f>
        <v/>
      </c>
      <c r="B78" s="2" t="n">
        <v>43245.12883101852</v>
      </c>
      <c r="C78" t="n">
        <v>0</v>
      </c>
      <c r="D78" t="n">
        <v>3864</v>
      </c>
      <c r="E78" t="s">
        <v>89</v>
      </c>
      <c r="F78">
        <f>HYPERLINK("https://video.twimg.com/amplify_video/999683907304984578/vid/1280x720/ClptiIRFr_aFgX70.mp4?tag=2", "https://video.twimg.com/amplify_video/999683907304984578/vid/1280x720/ClptiIRFr_aFgX70.mp4?tag=2")</f>
        <v/>
      </c>
      <c r="G78" t="s"/>
      <c r="H78" t="s"/>
      <c r="I78" t="s"/>
      <c r="J78" t="n">
        <v>-0.25</v>
      </c>
      <c r="K78" t="n">
        <v>0.118</v>
      </c>
      <c r="L78" t="n">
        <v>0.882</v>
      </c>
      <c r="M78" t="n">
        <v>0</v>
      </c>
    </row>
    <row r="79" spans="1:13">
      <c r="A79" s="1">
        <f>HYPERLINK("http://www.twitter.com/NathanBLawrence/status/999848879708254208", "999848879708254208")</f>
        <v/>
      </c>
      <c r="B79" s="2" t="n">
        <v>43245.12873842593</v>
      </c>
      <c r="C79" t="n">
        <v>0</v>
      </c>
      <c r="D79" t="n">
        <v>46</v>
      </c>
      <c r="E79" t="s">
        <v>90</v>
      </c>
      <c r="F79" t="s"/>
      <c r="G79" t="s"/>
      <c r="H79" t="s"/>
      <c r="I79" t="s"/>
      <c r="J79" t="n">
        <v>0</v>
      </c>
      <c r="K79" t="n">
        <v>0</v>
      </c>
      <c r="L79" t="n">
        <v>1</v>
      </c>
      <c r="M79" t="n">
        <v>0</v>
      </c>
    </row>
    <row r="80" spans="1:13">
      <c r="A80" s="1">
        <f>HYPERLINK("http://www.twitter.com/NathanBLawrence/status/999848831968796674", "999848831968796674")</f>
        <v/>
      </c>
      <c r="B80" s="2" t="n">
        <v>43245.12861111111</v>
      </c>
      <c r="C80" t="n">
        <v>0</v>
      </c>
      <c r="D80" t="n">
        <v>12919</v>
      </c>
      <c r="E80" t="s">
        <v>91</v>
      </c>
      <c r="F80">
        <f>HYPERLINK("https://video.twimg.com/amplify_video/999680167126560768/vid/1280x720/5knxejiKsPdDDTIH.mp4?tag=2", "https://video.twimg.com/amplify_video/999680167126560768/vid/1280x720/5knxejiKsPdDDTIH.mp4?tag=2")</f>
        <v/>
      </c>
      <c r="G80" t="s"/>
      <c r="H80" t="s"/>
      <c r="I80" t="s"/>
      <c r="J80" t="n">
        <v>0.6597</v>
      </c>
      <c r="K80" t="n">
        <v>0.099</v>
      </c>
      <c r="L80" t="n">
        <v>0.651</v>
      </c>
      <c r="M80" t="n">
        <v>0.25</v>
      </c>
    </row>
    <row r="81" spans="1:13">
      <c r="A81" s="1">
        <f>HYPERLINK("http://www.twitter.com/NathanBLawrence/status/999790725926535168", "999790725926535168")</f>
        <v/>
      </c>
      <c r="B81" s="2" t="n">
        <v>43244.96826388889</v>
      </c>
      <c r="C81" t="n">
        <v>0</v>
      </c>
      <c r="D81" t="n">
        <v>17</v>
      </c>
      <c r="E81" t="s">
        <v>92</v>
      </c>
      <c r="F81" t="s"/>
      <c r="G81" t="s"/>
      <c r="H81" t="s"/>
      <c r="I81" t="s"/>
      <c r="J81" t="n">
        <v>-0.6955</v>
      </c>
      <c r="K81" t="n">
        <v>0.192</v>
      </c>
      <c r="L81" t="n">
        <v>0.8080000000000001</v>
      </c>
      <c r="M81" t="n">
        <v>0</v>
      </c>
    </row>
    <row r="82" spans="1:13">
      <c r="A82" s="1">
        <f>HYPERLINK("http://www.twitter.com/NathanBLawrence/status/999790617277251585", "999790617277251585")</f>
        <v/>
      </c>
      <c r="B82" s="2" t="n">
        <v>43244.96797453704</v>
      </c>
      <c r="C82" t="n">
        <v>0</v>
      </c>
      <c r="D82" t="n">
        <v>724</v>
      </c>
      <c r="E82" t="s">
        <v>93</v>
      </c>
      <c r="F82" t="s"/>
      <c r="G82" t="s"/>
      <c r="H82" t="s"/>
      <c r="I82" t="s"/>
      <c r="J82" t="n">
        <v>0.4767</v>
      </c>
      <c r="K82" t="n">
        <v>0.08</v>
      </c>
      <c r="L82" t="n">
        <v>0.74</v>
      </c>
      <c r="M82" t="n">
        <v>0.18</v>
      </c>
    </row>
    <row r="83" spans="1:13">
      <c r="A83" s="1">
        <f>HYPERLINK("http://www.twitter.com/NathanBLawrence/status/999790165148090368", "999790165148090368")</f>
        <v/>
      </c>
      <c r="B83" s="2" t="n">
        <v>43244.96672453704</v>
      </c>
      <c r="C83" t="n">
        <v>0</v>
      </c>
      <c r="D83" t="n">
        <v>853</v>
      </c>
      <c r="E83" t="s">
        <v>94</v>
      </c>
      <c r="F83">
        <f>HYPERLINK("http://pbs.twimg.com/media/Dd_gzHEVAAMS_IA.jpg", "http://pbs.twimg.com/media/Dd_gzHEVAAMS_IA.jpg")</f>
        <v/>
      </c>
      <c r="G83" t="s"/>
      <c r="H83" t="s"/>
      <c r="I83" t="s"/>
      <c r="J83" t="n">
        <v>0</v>
      </c>
      <c r="K83" t="n">
        <v>0</v>
      </c>
      <c r="L83" t="n">
        <v>1</v>
      </c>
      <c r="M83" t="n">
        <v>0</v>
      </c>
    </row>
    <row r="84" spans="1:13">
      <c r="A84" s="1">
        <f>HYPERLINK("http://www.twitter.com/NathanBLawrence/status/999789830644023301", "999789830644023301")</f>
        <v/>
      </c>
      <c r="B84" s="2" t="n">
        <v>43244.96579861111</v>
      </c>
      <c r="C84" t="n">
        <v>0</v>
      </c>
      <c r="D84" t="n">
        <v>729</v>
      </c>
      <c r="E84" t="s">
        <v>95</v>
      </c>
      <c r="F84">
        <f>HYPERLINK("https://video.twimg.com/amplify_video/999783563217293312/vid/1280x720/Fabgu2YaTePODyQk.mp4?tag=2", "https://video.twimg.com/amplify_video/999783563217293312/vid/1280x720/Fabgu2YaTePODyQk.mp4?tag=2")</f>
        <v/>
      </c>
      <c r="G84" t="s"/>
      <c r="H84" t="s"/>
      <c r="I84" t="s"/>
      <c r="J84" t="n">
        <v>0.4215</v>
      </c>
      <c r="K84" t="n">
        <v>0</v>
      </c>
      <c r="L84" t="n">
        <v>0.863</v>
      </c>
      <c r="M84" t="n">
        <v>0.137</v>
      </c>
    </row>
    <row r="85" spans="1:13">
      <c r="A85" s="1">
        <f>HYPERLINK("http://www.twitter.com/NathanBLawrence/status/999789712859480071", "999789712859480071")</f>
        <v/>
      </c>
      <c r="B85" s="2" t="n">
        <v>43244.96547453704</v>
      </c>
      <c r="C85" t="n">
        <v>0</v>
      </c>
      <c r="D85" t="n">
        <v>4635</v>
      </c>
      <c r="E85" t="s">
        <v>96</v>
      </c>
      <c r="F85" t="s"/>
      <c r="G85" t="s"/>
      <c r="H85" t="s"/>
      <c r="I85" t="s"/>
      <c r="J85" t="n">
        <v>0.5423</v>
      </c>
      <c r="K85" t="n">
        <v>0</v>
      </c>
      <c r="L85" t="n">
        <v>0.769</v>
      </c>
      <c r="M85" t="n">
        <v>0.231</v>
      </c>
    </row>
    <row r="86" spans="1:13">
      <c r="A86" s="1">
        <f>HYPERLINK("http://www.twitter.com/NathanBLawrence/status/999664312321884161", "999664312321884161")</f>
        <v/>
      </c>
      <c r="B86" s="2" t="n">
        <v>43244.61943287037</v>
      </c>
      <c r="C86" t="n">
        <v>0</v>
      </c>
      <c r="D86" t="n">
        <v>3</v>
      </c>
      <c r="E86" t="s">
        <v>97</v>
      </c>
      <c r="F86" t="s"/>
      <c r="G86" t="s"/>
      <c r="H86" t="s"/>
      <c r="I86" t="s"/>
      <c r="J86" t="n">
        <v>-0.6486</v>
      </c>
      <c r="K86" t="n">
        <v>0.22</v>
      </c>
      <c r="L86" t="n">
        <v>0.718</v>
      </c>
      <c r="M86" t="n">
        <v>0.062</v>
      </c>
    </row>
    <row r="87" spans="1:13">
      <c r="A87" s="1">
        <f>HYPERLINK("http://www.twitter.com/NathanBLawrence/status/999662831426564096", "999662831426564096")</f>
        <v/>
      </c>
      <c r="B87" s="2" t="n">
        <v>43244.61534722222</v>
      </c>
      <c r="C87" t="n">
        <v>0</v>
      </c>
      <c r="D87" t="n">
        <v>37</v>
      </c>
      <c r="E87" t="s">
        <v>98</v>
      </c>
      <c r="F87">
        <f>HYPERLINK("http://pbs.twimg.com/media/Dd-BxiKVwAA4ad-.jpg", "http://pbs.twimg.com/media/Dd-BxiKVwAA4ad-.jpg")</f>
        <v/>
      </c>
      <c r="G87" t="s"/>
      <c r="H87" t="s"/>
      <c r="I87" t="s"/>
      <c r="J87" t="n">
        <v>0</v>
      </c>
      <c r="K87" t="n">
        <v>0</v>
      </c>
      <c r="L87" t="n">
        <v>1</v>
      </c>
      <c r="M87" t="n">
        <v>0</v>
      </c>
    </row>
    <row r="88" spans="1:13">
      <c r="A88" s="1">
        <f>HYPERLINK("http://www.twitter.com/NathanBLawrence/status/999660917108498432", "999660917108498432")</f>
        <v/>
      </c>
      <c r="B88" s="2" t="n">
        <v>43244.61006944445</v>
      </c>
      <c r="C88" t="n">
        <v>0</v>
      </c>
      <c r="D88" t="n">
        <v>34494</v>
      </c>
      <c r="E88" t="s">
        <v>99</v>
      </c>
      <c r="F88" t="s"/>
      <c r="G88" t="s"/>
      <c r="H88" t="s"/>
      <c r="I88" t="s"/>
      <c r="J88" t="n">
        <v>0.7925</v>
      </c>
      <c r="K88" t="n">
        <v>0</v>
      </c>
      <c r="L88" t="n">
        <v>0.766</v>
      </c>
      <c r="M88" t="n">
        <v>0.234</v>
      </c>
    </row>
    <row r="89" spans="1:13">
      <c r="A89" s="1">
        <f>HYPERLINK("http://www.twitter.com/NathanBLawrence/status/999657048584400896", "999657048584400896")</f>
        <v/>
      </c>
      <c r="B89" s="2" t="n">
        <v>43244.59938657407</v>
      </c>
      <c r="C89" t="n">
        <v>0</v>
      </c>
      <c r="D89" t="n">
        <v>3655</v>
      </c>
      <c r="E89" t="s">
        <v>100</v>
      </c>
      <c r="F89">
        <f>HYPERLINK("https://video.twimg.com/ext_tw_video/999624639591542784/pu/vid/1280x720/8EDYL82EOyNpcDEn.mp4?tag=3", "https://video.twimg.com/ext_tw_video/999624639591542784/pu/vid/1280x720/8EDYL82EOyNpcDEn.mp4?tag=3")</f>
        <v/>
      </c>
      <c r="G89" t="s"/>
      <c r="H89" t="s"/>
      <c r="I89" t="s"/>
      <c r="J89" t="n">
        <v>0</v>
      </c>
      <c r="K89" t="n">
        <v>0</v>
      </c>
      <c r="L89" t="n">
        <v>1</v>
      </c>
      <c r="M89" t="n">
        <v>0</v>
      </c>
    </row>
    <row r="90" spans="1:13">
      <c r="A90" s="1">
        <f>HYPERLINK("http://www.twitter.com/NathanBLawrence/status/999656756224708609", "999656756224708609")</f>
        <v/>
      </c>
      <c r="B90" s="2" t="n">
        <v>43244.59858796297</v>
      </c>
      <c r="C90" t="n">
        <v>0</v>
      </c>
      <c r="D90" t="n">
        <v>16</v>
      </c>
      <c r="E90" t="s">
        <v>101</v>
      </c>
      <c r="F90">
        <f>HYPERLINK("http://pbs.twimg.com/media/Dd965JDVAAIycwd.jpg", "http://pbs.twimg.com/media/Dd965JDVAAIycwd.jpg")</f>
        <v/>
      </c>
      <c r="G90" t="s"/>
      <c r="H90" t="s"/>
      <c r="I90" t="s"/>
      <c r="J90" t="n">
        <v>-0.5574</v>
      </c>
      <c r="K90" t="n">
        <v>0.205</v>
      </c>
      <c r="L90" t="n">
        <v>0.795</v>
      </c>
      <c r="M90" t="n">
        <v>0</v>
      </c>
    </row>
    <row r="91" spans="1:13">
      <c r="A91" s="1">
        <f>HYPERLINK("http://www.twitter.com/NathanBLawrence/status/999656195798511616", "999656195798511616")</f>
        <v/>
      </c>
      <c r="B91" s="2" t="n">
        <v>43244.59703703703</v>
      </c>
      <c r="C91" t="n">
        <v>0</v>
      </c>
      <c r="D91" t="n">
        <v>32</v>
      </c>
      <c r="E91" t="s">
        <v>102</v>
      </c>
      <c r="F91">
        <f>HYPERLINK("http://pbs.twimg.com/media/Dd93vAsV4AA3Q-M.jpg", "http://pbs.twimg.com/media/Dd93vAsV4AA3Q-M.jpg")</f>
        <v/>
      </c>
      <c r="G91" t="s"/>
      <c r="H91" t="s"/>
      <c r="I91" t="s"/>
      <c r="J91" t="n">
        <v>-0.25</v>
      </c>
      <c r="K91" t="n">
        <v>0.287</v>
      </c>
      <c r="L91" t="n">
        <v>0.492</v>
      </c>
      <c r="M91" t="n">
        <v>0.221</v>
      </c>
    </row>
    <row r="92" spans="1:13">
      <c r="A92" s="1">
        <f>HYPERLINK("http://www.twitter.com/NathanBLawrence/status/999656097010147328", "999656097010147328")</f>
        <v/>
      </c>
      <c r="B92" s="2" t="n">
        <v>43244.59675925926</v>
      </c>
      <c r="C92" t="n">
        <v>0</v>
      </c>
      <c r="D92" t="n">
        <v>52</v>
      </c>
      <c r="E92" t="s">
        <v>103</v>
      </c>
      <c r="F92" t="s"/>
      <c r="G92" t="s"/>
      <c r="H92" t="s"/>
      <c r="I92" t="s"/>
      <c r="J92" t="n">
        <v>0</v>
      </c>
      <c r="K92" t="n">
        <v>0</v>
      </c>
      <c r="L92" t="n">
        <v>1</v>
      </c>
      <c r="M92" t="n">
        <v>0</v>
      </c>
    </row>
    <row r="93" spans="1:13">
      <c r="A93" s="1">
        <f>HYPERLINK("http://www.twitter.com/NathanBLawrence/status/999656038461837312", "999656038461837312")</f>
        <v/>
      </c>
      <c r="B93" s="2" t="n">
        <v>43244.59659722223</v>
      </c>
      <c r="C93" t="n">
        <v>0</v>
      </c>
      <c r="D93" t="n">
        <v>12</v>
      </c>
      <c r="E93" t="s">
        <v>104</v>
      </c>
      <c r="F93" t="s"/>
      <c r="G93" t="s"/>
      <c r="H93" t="s"/>
      <c r="I93" t="s"/>
      <c r="J93" t="n">
        <v>0.6369</v>
      </c>
      <c r="K93" t="n">
        <v>0</v>
      </c>
      <c r="L93" t="n">
        <v>0.826</v>
      </c>
      <c r="M93" t="n">
        <v>0.174</v>
      </c>
    </row>
    <row r="94" spans="1:13">
      <c r="A94" s="1">
        <f>HYPERLINK("http://www.twitter.com/NathanBLawrence/status/999655975731847169", "999655975731847169")</f>
        <v/>
      </c>
      <c r="B94" s="2" t="n">
        <v>43244.59642361111</v>
      </c>
      <c r="C94" t="n">
        <v>0</v>
      </c>
      <c r="D94" t="n">
        <v>252</v>
      </c>
      <c r="E94" t="s">
        <v>105</v>
      </c>
      <c r="F94">
        <f>HYPERLINK("https://video.twimg.com/amplify_video/999651305189728258/vid/1280x720/nD7nnR_fCYDH5pjN.mp4?tag=2", "https://video.twimg.com/amplify_video/999651305189728258/vid/1280x720/nD7nnR_fCYDH5pjN.mp4?tag=2")</f>
        <v/>
      </c>
      <c r="G94" t="s"/>
      <c r="H94" t="s"/>
      <c r="I94" t="s"/>
      <c r="J94" t="n">
        <v>0</v>
      </c>
      <c r="K94" t="n">
        <v>0</v>
      </c>
      <c r="L94" t="n">
        <v>1</v>
      </c>
      <c r="M94" t="n">
        <v>0</v>
      </c>
    </row>
    <row r="95" spans="1:13">
      <c r="A95" s="1">
        <f>HYPERLINK("http://www.twitter.com/NathanBLawrence/status/999655222518706176", "999655222518706176")</f>
        <v/>
      </c>
      <c r="B95" s="2" t="n">
        <v>43244.59435185185</v>
      </c>
      <c r="C95" t="n">
        <v>0</v>
      </c>
      <c r="D95" t="n">
        <v>39</v>
      </c>
      <c r="E95" t="s">
        <v>106</v>
      </c>
      <c r="F95">
        <f>HYPERLINK("http://pbs.twimg.com/media/Dd59Dz5UwAAKeMY.jpg", "http://pbs.twimg.com/media/Dd59Dz5UwAAKeMY.jpg")</f>
        <v/>
      </c>
      <c r="G95" t="s"/>
      <c r="H95" t="s"/>
      <c r="I95" t="s"/>
      <c r="J95" t="n">
        <v>0.0258</v>
      </c>
      <c r="K95" t="n">
        <v>0</v>
      </c>
      <c r="L95" t="n">
        <v>0.922</v>
      </c>
      <c r="M95" t="n">
        <v>0.078</v>
      </c>
    </row>
    <row r="96" spans="1:13">
      <c r="A96" s="1">
        <f>HYPERLINK("http://www.twitter.com/NathanBLawrence/status/999654778694176768", "999654778694176768")</f>
        <v/>
      </c>
      <c r="B96" s="2" t="n">
        <v>43244.593125</v>
      </c>
      <c r="C96" t="n">
        <v>0</v>
      </c>
      <c r="D96" t="n">
        <v>400</v>
      </c>
      <c r="E96" t="s">
        <v>107</v>
      </c>
      <c r="F96">
        <f>HYPERLINK("http://pbs.twimg.com/media/Dd7Izx4V4AUxPP3.jpg", "http://pbs.twimg.com/media/Dd7Izx4V4AUxPP3.jpg")</f>
        <v/>
      </c>
      <c r="G96" t="s"/>
      <c r="H96" t="s"/>
      <c r="I96" t="s"/>
      <c r="J96" t="n">
        <v>0</v>
      </c>
      <c r="K96" t="n">
        <v>0</v>
      </c>
      <c r="L96" t="n">
        <v>1</v>
      </c>
      <c r="M96" t="n">
        <v>0</v>
      </c>
    </row>
    <row r="97" spans="1:13">
      <c r="A97" s="1">
        <f>HYPERLINK("http://www.twitter.com/NathanBLawrence/status/999654032590323714", "999654032590323714")</f>
        <v/>
      </c>
      <c r="B97" s="2" t="n">
        <v>43244.59106481481</v>
      </c>
      <c r="C97" t="n">
        <v>0</v>
      </c>
      <c r="D97" t="n">
        <v>2199</v>
      </c>
      <c r="E97" t="s">
        <v>108</v>
      </c>
      <c r="F97" t="s"/>
      <c r="G97" t="s"/>
      <c r="H97" t="s"/>
      <c r="I97" t="s"/>
      <c r="J97" t="n">
        <v>0</v>
      </c>
      <c r="K97" t="n">
        <v>0</v>
      </c>
      <c r="L97" t="n">
        <v>1</v>
      </c>
      <c r="M97" t="n">
        <v>0</v>
      </c>
    </row>
    <row r="98" spans="1:13">
      <c r="A98" s="1">
        <f>HYPERLINK("http://www.twitter.com/NathanBLawrence/status/999653828076228609", "999653828076228609")</f>
        <v/>
      </c>
      <c r="B98" s="2" t="n">
        <v>43244.59049768518</v>
      </c>
      <c r="C98" t="n">
        <v>0</v>
      </c>
      <c r="D98" t="n">
        <v>642</v>
      </c>
      <c r="E98" t="s">
        <v>109</v>
      </c>
      <c r="F98" t="s"/>
      <c r="G98" t="s"/>
      <c r="H98" t="s"/>
      <c r="I98" t="s"/>
      <c r="J98" t="n">
        <v>-0.1511</v>
      </c>
      <c r="K98" t="n">
        <v>0.137</v>
      </c>
      <c r="L98" t="n">
        <v>0.863</v>
      </c>
      <c r="M98" t="n">
        <v>0</v>
      </c>
    </row>
    <row r="99" spans="1:13">
      <c r="A99" s="1">
        <f>HYPERLINK("http://www.twitter.com/NathanBLawrence/status/999653790302326785", "999653790302326785")</f>
        <v/>
      </c>
      <c r="B99" s="2" t="n">
        <v>43244.59039351852</v>
      </c>
      <c r="C99" t="n">
        <v>0</v>
      </c>
      <c r="D99" t="n">
        <v>16241</v>
      </c>
      <c r="E99" t="s">
        <v>110</v>
      </c>
      <c r="F99" t="s"/>
      <c r="G99" t="s"/>
      <c r="H99" t="s"/>
      <c r="I99" t="s"/>
      <c r="J99" t="n">
        <v>0.8832</v>
      </c>
      <c r="K99" t="n">
        <v>0</v>
      </c>
      <c r="L99" t="n">
        <v>0.517</v>
      </c>
      <c r="M99" t="n">
        <v>0.483</v>
      </c>
    </row>
    <row r="100" spans="1:13">
      <c r="A100" s="1">
        <f>HYPERLINK("http://www.twitter.com/NathanBLawrence/status/999653377490472961", "999653377490472961")</f>
        <v/>
      </c>
      <c r="B100" s="2" t="n">
        <v>43244.58925925926</v>
      </c>
      <c r="C100" t="n">
        <v>0</v>
      </c>
      <c r="D100" t="n">
        <v>132</v>
      </c>
      <c r="E100" t="s">
        <v>111</v>
      </c>
      <c r="F100" t="s"/>
      <c r="G100" t="s"/>
      <c r="H100" t="s"/>
      <c r="I100" t="s"/>
      <c r="J100" t="n">
        <v>0</v>
      </c>
      <c r="K100" t="n">
        <v>0</v>
      </c>
      <c r="L100" t="n">
        <v>1</v>
      </c>
      <c r="M100" t="n">
        <v>0</v>
      </c>
    </row>
    <row r="101" spans="1:13">
      <c r="A101" s="1">
        <f>HYPERLINK("http://www.twitter.com/NathanBLawrence/status/999652724944850944", "999652724944850944")</f>
        <v/>
      </c>
      <c r="B101" s="2" t="n">
        <v>43244.5874537037</v>
      </c>
      <c r="C101" t="n">
        <v>0</v>
      </c>
      <c r="D101" t="n">
        <v>5123</v>
      </c>
      <c r="E101" t="s">
        <v>112</v>
      </c>
      <c r="F101">
        <f>HYPERLINK("http://pbs.twimg.com/media/Dd7rAJuV0AIRy71.jpg", "http://pbs.twimg.com/media/Dd7rAJuV0AIRy71.jpg")</f>
        <v/>
      </c>
      <c r="G101" t="s"/>
      <c r="H101" t="s"/>
      <c r="I101" t="s"/>
      <c r="J101" t="n">
        <v>0.1036</v>
      </c>
      <c r="K101" t="n">
        <v>0.08500000000000001</v>
      </c>
      <c r="L101" t="n">
        <v>0.8139999999999999</v>
      </c>
      <c r="M101" t="n">
        <v>0.101</v>
      </c>
    </row>
    <row r="102" spans="1:13">
      <c r="A102" s="1">
        <f>HYPERLINK("http://www.twitter.com/NathanBLawrence/status/999499840152326144", "999499840152326144")</f>
        <v/>
      </c>
      <c r="B102" s="2" t="n">
        <v>43244.1655787037</v>
      </c>
      <c r="C102" t="n">
        <v>0</v>
      </c>
      <c r="D102" t="n">
        <v>4</v>
      </c>
      <c r="E102" t="s">
        <v>113</v>
      </c>
      <c r="F102">
        <f>HYPERLINK("http://pbs.twimg.com/media/Dd7URIHVAAEbLas.jpg", "http://pbs.twimg.com/media/Dd7URIHVAAEbLas.jpg")</f>
        <v/>
      </c>
      <c r="G102" t="s"/>
      <c r="H102" t="s"/>
      <c r="I102" t="s"/>
      <c r="J102" t="n">
        <v>0</v>
      </c>
      <c r="K102" t="n">
        <v>0</v>
      </c>
      <c r="L102" t="n">
        <v>1</v>
      </c>
      <c r="M102" t="n">
        <v>0</v>
      </c>
    </row>
    <row r="103" spans="1:13">
      <c r="A103" s="1">
        <f>HYPERLINK("http://www.twitter.com/NathanBLawrence/status/999498645211885568", "999498645211885568")</f>
        <v/>
      </c>
      <c r="B103" s="2" t="n">
        <v>43244.16228009259</v>
      </c>
      <c r="C103" t="n">
        <v>0</v>
      </c>
      <c r="D103" t="n">
        <v>1769</v>
      </c>
      <c r="E103" t="s">
        <v>114</v>
      </c>
      <c r="F103">
        <f>HYPERLINK("https://video.twimg.com/amplify_video/999392951280291841/vid/1280x720/eUXflcGnhKGfQgog.mp4?tag=2", "https://video.twimg.com/amplify_video/999392951280291841/vid/1280x720/eUXflcGnhKGfQgog.mp4?tag=2")</f>
        <v/>
      </c>
      <c r="G103" t="s"/>
      <c r="H103" t="s"/>
      <c r="I103" t="s"/>
      <c r="J103" t="n">
        <v>0.4404</v>
      </c>
      <c r="K103" t="n">
        <v>0</v>
      </c>
      <c r="L103" t="n">
        <v>0.674</v>
      </c>
      <c r="M103" t="n">
        <v>0.326</v>
      </c>
    </row>
    <row r="104" spans="1:13">
      <c r="A104" s="1">
        <f>HYPERLINK("http://www.twitter.com/NathanBLawrence/status/999496318191046658", "999496318191046658")</f>
        <v/>
      </c>
      <c r="B104" s="2" t="n">
        <v>43244.15585648148</v>
      </c>
      <c r="C104" t="n">
        <v>0</v>
      </c>
      <c r="D104" t="n">
        <v>5835</v>
      </c>
      <c r="E104" t="s">
        <v>115</v>
      </c>
      <c r="F104" t="s"/>
      <c r="G104" t="s"/>
      <c r="H104" t="s"/>
      <c r="I104" t="s"/>
      <c r="J104" t="n">
        <v>0</v>
      </c>
      <c r="K104" t="n">
        <v>0</v>
      </c>
      <c r="L104" t="n">
        <v>1</v>
      </c>
      <c r="M104" t="n">
        <v>0</v>
      </c>
    </row>
    <row r="105" spans="1:13">
      <c r="A105" s="1">
        <f>HYPERLINK("http://www.twitter.com/NathanBLawrence/status/999495847430754309", "999495847430754309")</f>
        <v/>
      </c>
      <c r="B105" s="2" t="n">
        <v>43244.15456018518</v>
      </c>
      <c r="C105" t="n">
        <v>0</v>
      </c>
      <c r="D105" t="n">
        <v>2608</v>
      </c>
      <c r="E105" t="s">
        <v>116</v>
      </c>
      <c r="F105">
        <f>HYPERLINK("http://pbs.twimg.com/media/Dd7l-ZVVMAEyKbT.jpg", "http://pbs.twimg.com/media/Dd7l-ZVVMAEyKbT.jpg")</f>
        <v/>
      </c>
      <c r="G105" t="s"/>
      <c r="H105" t="s"/>
      <c r="I105" t="s"/>
      <c r="J105" t="n">
        <v>0.3804</v>
      </c>
      <c r="K105" t="n">
        <v>0</v>
      </c>
      <c r="L105" t="n">
        <v>0.899</v>
      </c>
      <c r="M105" t="n">
        <v>0.101</v>
      </c>
    </row>
    <row r="106" spans="1:13">
      <c r="A106" s="1">
        <f>HYPERLINK("http://www.twitter.com/NathanBLawrence/status/999495538281205760", "999495538281205760")</f>
        <v/>
      </c>
      <c r="B106" s="2" t="n">
        <v>43244.15370370371</v>
      </c>
      <c r="C106" t="n">
        <v>0</v>
      </c>
      <c r="D106" t="n">
        <v>14</v>
      </c>
      <c r="E106" t="s">
        <v>117</v>
      </c>
      <c r="F106" t="s"/>
      <c r="G106" t="s"/>
      <c r="H106" t="s"/>
      <c r="I106" t="s"/>
      <c r="J106" t="n">
        <v>-0.128</v>
      </c>
      <c r="K106" t="n">
        <v>0.143</v>
      </c>
      <c r="L106" t="n">
        <v>0.734</v>
      </c>
      <c r="M106" t="n">
        <v>0.124</v>
      </c>
    </row>
    <row r="107" spans="1:13">
      <c r="A107" s="1">
        <f>HYPERLINK("http://www.twitter.com/NathanBLawrence/status/999495254498861056", "999495254498861056")</f>
        <v/>
      </c>
      <c r="B107" s="2" t="n">
        <v>43244.15292824074</v>
      </c>
      <c r="C107" t="n">
        <v>0</v>
      </c>
      <c r="D107" t="n">
        <v>13206</v>
      </c>
      <c r="E107" t="s">
        <v>118</v>
      </c>
      <c r="F107">
        <f>HYPERLINK("https://video.twimg.com/ext_tw_video/999441659887632384/pu/vid/1280x720/-QtaWbhMtO-tP03k.mp4?tag=3", "https://video.twimg.com/ext_tw_video/999441659887632384/pu/vid/1280x720/-QtaWbhMtO-tP03k.mp4?tag=3")</f>
        <v/>
      </c>
      <c r="G107" t="s"/>
      <c r="H107" t="s"/>
      <c r="I107" t="s"/>
      <c r="J107" t="n">
        <v>0.6588000000000001</v>
      </c>
      <c r="K107" t="n">
        <v>0</v>
      </c>
      <c r="L107" t="n">
        <v>0.84</v>
      </c>
      <c r="M107" t="n">
        <v>0.16</v>
      </c>
    </row>
    <row r="108" spans="1:13">
      <c r="A108" s="1">
        <f>HYPERLINK("http://www.twitter.com/NathanBLawrence/status/999493005471076354", "999493005471076354")</f>
        <v/>
      </c>
      <c r="B108" s="2" t="n">
        <v>43244.14671296296</v>
      </c>
      <c r="C108" t="n">
        <v>0</v>
      </c>
      <c r="D108" t="n">
        <v>2766</v>
      </c>
      <c r="E108" t="s">
        <v>119</v>
      </c>
      <c r="F108" t="s"/>
      <c r="G108" t="s"/>
      <c r="H108" t="s"/>
      <c r="I108" t="s"/>
      <c r="J108" t="n">
        <v>0.3612</v>
      </c>
      <c r="K108" t="n">
        <v>0</v>
      </c>
      <c r="L108" t="n">
        <v>0.848</v>
      </c>
      <c r="M108" t="n">
        <v>0.152</v>
      </c>
    </row>
    <row r="109" spans="1:13">
      <c r="A109" s="1">
        <f>HYPERLINK("http://www.twitter.com/NathanBLawrence/status/999492265809731585", "999492265809731585")</f>
        <v/>
      </c>
      <c r="B109" s="2" t="n">
        <v>43244.14467592593</v>
      </c>
      <c r="C109" t="n">
        <v>0</v>
      </c>
      <c r="D109" t="n">
        <v>238</v>
      </c>
      <c r="E109" t="s">
        <v>120</v>
      </c>
      <c r="F109">
        <f>HYPERLINK("https://video.twimg.com/amplify_video/999464339601010688/vid/1280x720/ApfT3dxxcOi1Kv_J.mp4?tag=2", "https://video.twimg.com/amplify_video/999464339601010688/vid/1280x720/ApfT3dxxcOi1Kv_J.mp4?tag=2")</f>
        <v/>
      </c>
      <c r="G109" t="s"/>
      <c r="H109" t="s"/>
      <c r="I109" t="s"/>
      <c r="J109" t="n">
        <v>-0.2755</v>
      </c>
      <c r="K109" t="n">
        <v>0.11</v>
      </c>
      <c r="L109" t="n">
        <v>0.89</v>
      </c>
      <c r="M109" t="n">
        <v>0</v>
      </c>
    </row>
    <row r="110" spans="1:13">
      <c r="A110" s="1">
        <f>HYPERLINK("http://www.twitter.com/NathanBLawrence/status/999491763789287424", "999491763789287424")</f>
        <v/>
      </c>
      <c r="B110" s="2" t="n">
        <v>43244.14328703703</v>
      </c>
      <c r="C110" t="n">
        <v>0</v>
      </c>
      <c r="D110" t="n">
        <v>2676</v>
      </c>
      <c r="E110" t="s">
        <v>121</v>
      </c>
      <c r="F110" t="s"/>
      <c r="G110" t="s"/>
      <c r="H110" t="s"/>
      <c r="I110" t="s"/>
      <c r="J110" t="n">
        <v>0.5622</v>
      </c>
      <c r="K110" t="n">
        <v>0.256</v>
      </c>
      <c r="L110" t="n">
        <v>0.436</v>
      </c>
      <c r="M110" t="n">
        <v>0.307</v>
      </c>
    </row>
    <row r="111" spans="1:13">
      <c r="A111" s="1">
        <f>HYPERLINK("http://www.twitter.com/NathanBLawrence/status/999490813909520384", "999490813909520384")</f>
        <v/>
      </c>
      <c r="B111" s="2" t="n">
        <v>43244.1406712963</v>
      </c>
      <c r="C111" t="n">
        <v>0</v>
      </c>
      <c r="D111" t="n">
        <v>359</v>
      </c>
      <c r="E111" t="s">
        <v>122</v>
      </c>
      <c r="F111" t="s"/>
      <c r="G111" t="s"/>
      <c r="H111" t="s"/>
      <c r="I111" t="s"/>
      <c r="J111" t="n">
        <v>0</v>
      </c>
      <c r="K111" t="n">
        <v>0</v>
      </c>
      <c r="L111" t="n">
        <v>1</v>
      </c>
      <c r="M111" t="n">
        <v>0</v>
      </c>
    </row>
    <row r="112" spans="1:13">
      <c r="A112" s="1">
        <f>HYPERLINK("http://www.twitter.com/NathanBLawrence/status/999490719713808384", "999490719713808384")</f>
        <v/>
      </c>
      <c r="B112" s="2" t="n">
        <v>43244.14040509259</v>
      </c>
      <c r="C112" t="n">
        <v>0</v>
      </c>
      <c r="D112" t="n">
        <v>12516</v>
      </c>
      <c r="E112" t="s">
        <v>123</v>
      </c>
      <c r="F112" t="s"/>
      <c r="G112" t="s"/>
      <c r="H112" t="s"/>
      <c r="I112" t="s"/>
      <c r="J112" t="n">
        <v>0.5411</v>
      </c>
      <c r="K112" t="n">
        <v>0</v>
      </c>
      <c r="L112" t="n">
        <v>0.775</v>
      </c>
      <c r="M112" t="n">
        <v>0.225</v>
      </c>
    </row>
    <row r="113" spans="1:13">
      <c r="A113" s="1">
        <f>HYPERLINK("http://www.twitter.com/NathanBLawrence/status/999405105907687424", "999405105907687424")</f>
        <v/>
      </c>
      <c r="B113" s="2" t="n">
        <v>43243.90415509259</v>
      </c>
      <c r="C113" t="n">
        <v>0</v>
      </c>
      <c r="D113" t="n">
        <v>369</v>
      </c>
      <c r="E113" t="s">
        <v>124</v>
      </c>
      <c r="F113" t="s"/>
      <c r="G113" t="s"/>
      <c r="H113" t="s"/>
      <c r="I113" t="s"/>
      <c r="J113" t="n">
        <v>-0.1901</v>
      </c>
      <c r="K113" t="n">
        <v>0.077</v>
      </c>
      <c r="L113" t="n">
        <v>0.923</v>
      </c>
      <c r="M113" t="n">
        <v>0</v>
      </c>
    </row>
    <row r="114" spans="1:13">
      <c r="A114" s="1">
        <f>HYPERLINK("http://www.twitter.com/NathanBLawrence/status/999403410163200002", "999403410163200002")</f>
        <v/>
      </c>
      <c r="B114" s="2" t="n">
        <v>43243.89947916667</v>
      </c>
      <c r="C114" t="n">
        <v>0</v>
      </c>
      <c r="D114" t="n">
        <v>903</v>
      </c>
      <c r="E114" t="s">
        <v>125</v>
      </c>
      <c r="F114">
        <f>HYPERLINK("https://video.twimg.com/ext_tw_video/999093978220789760/pu/vid/720x720/MSi8ZP0km_sFCWPK.mp4?tag=3", "https://video.twimg.com/ext_tw_video/999093978220789760/pu/vid/720x720/MSi8ZP0km_sFCWPK.mp4?tag=3")</f>
        <v/>
      </c>
      <c r="G114" t="s"/>
      <c r="H114" t="s"/>
      <c r="I114" t="s"/>
      <c r="J114" t="n">
        <v>0</v>
      </c>
      <c r="K114" t="n">
        <v>0</v>
      </c>
      <c r="L114" t="n">
        <v>1</v>
      </c>
      <c r="M114" t="n">
        <v>0</v>
      </c>
    </row>
    <row r="115" spans="1:13">
      <c r="A115" s="1">
        <f>HYPERLINK("http://www.twitter.com/NathanBLawrence/status/999402699744563202", "999402699744563202")</f>
        <v/>
      </c>
      <c r="B115" s="2" t="n">
        <v>43243.89752314815</v>
      </c>
      <c r="C115" t="n">
        <v>0</v>
      </c>
      <c r="D115" t="n">
        <v>779</v>
      </c>
      <c r="E115" t="s">
        <v>126</v>
      </c>
      <c r="F115" t="s"/>
      <c r="G115" t="s"/>
      <c r="H115" t="s"/>
      <c r="I115" t="s"/>
      <c r="J115" t="n">
        <v>0</v>
      </c>
      <c r="K115" t="n">
        <v>0</v>
      </c>
      <c r="L115" t="n">
        <v>1</v>
      </c>
      <c r="M115" t="n">
        <v>0</v>
      </c>
    </row>
    <row r="116" spans="1:13">
      <c r="A116" s="1">
        <f>HYPERLINK("http://www.twitter.com/NathanBLawrence/status/999401400999301120", "999401400999301120")</f>
        <v/>
      </c>
      <c r="B116" s="2" t="n">
        <v>43243.89393518519</v>
      </c>
      <c r="C116" t="n">
        <v>0</v>
      </c>
      <c r="D116" t="n">
        <v>95</v>
      </c>
      <c r="E116" t="s">
        <v>127</v>
      </c>
      <c r="F116" t="s"/>
      <c r="G116" t="s"/>
      <c r="H116" t="s"/>
      <c r="I116" t="s"/>
      <c r="J116" t="n">
        <v>0.0258</v>
      </c>
      <c r="K116" t="n">
        <v>0</v>
      </c>
      <c r="L116" t="n">
        <v>0.927</v>
      </c>
      <c r="M116" t="n">
        <v>0.073</v>
      </c>
    </row>
    <row r="117" spans="1:13">
      <c r="A117" s="1">
        <f>HYPERLINK("http://www.twitter.com/NathanBLawrence/status/999401295470628866", "999401295470628866")</f>
        <v/>
      </c>
      <c r="B117" s="2" t="n">
        <v>43243.89364583333</v>
      </c>
      <c r="C117" t="n">
        <v>0</v>
      </c>
      <c r="D117" t="n">
        <v>198</v>
      </c>
      <c r="E117" t="s">
        <v>128</v>
      </c>
      <c r="F117" t="s"/>
      <c r="G117" t="s"/>
      <c r="H117" t="s"/>
      <c r="I117" t="s"/>
      <c r="J117" t="n">
        <v>0</v>
      </c>
      <c r="K117" t="n">
        <v>0</v>
      </c>
      <c r="L117" t="n">
        <v>1</v>
      </c>
      <c r="M117" t="n">
        <v>0</v>
      </c>
    </row>
    <row r="118" spans="1:13">
      <c r="A118" s="1">
        <f>HYPERLINK("http://www.twitter.com/NathanBLawrence/status/999401137009815552", "999401137009815552")</f>
        <v/>
      </c>
      <c r="B118" s="2" t="n">
        <v>43243.89320601852</v>
      </c>
      <c r="C118" t="n">
        <v>0</v>
      </c>
      <c r="D118" t="n">
        <v>1641</v>
      </c>
      <c r="E118" t="s">
        <v>129</v>
      </c>
      <c r="F118" t="s"/>
      <c r="G118" t="s"/>
      <c r="H118" t="s"/>
      <c r="I118" t="s"/>
      <c r="J118" t="n">
        <v>0</v>
      </c>
      <c r="K118" t="n">
        <v>0</v>
      </c>
      <c r="L118" t="n">
        <v>1</v>
      </c>
      <c r="M118" t="n">
        <v>0</v>
      </c>
    </row>
    <row r="119" spans="1:13">
      <c r="A119" s="1">
        <f>HYPERLINK("http://www.twitter.com/NathanBLawrence/status/999401006667575301", "999401006667575301")</f>
        <v/>
      </c>
      <c r="B119" s="2" t="n">
        <v>43243.89284722223</v>
      </c>
      <c r="C119" t="n">
        <v>0</v>
      </c>
      <c r="D119" t="n">
        <v>1758</v>
      </c>
      <c r="E119" t="s">
        <v>130</v>
      </c>
      <c r="F119" t="s"/>
      <c r="G119" t="s"/>
      <c r="H119" t="s"/>
      <c r="I119" t="s"/>
      <c r="J119" t="n">
        <v>0</v>
      </c>
      <c r="K119" t="n">
        <v>0</v>
      </c>
      <c r="L119" t="n">
        <v>1</v>
      </c>
      <c r="M119" t="n">
        <v>0</v>
      </c>
    </row>
    <row r="120" spans="1:13">
      <c r="A120" s="1">
        <f>HYPERLINK("http://www.twitter.com/NathanBLawrence/status/999400951940251648", "999400951940251648")</f>
        <v/>
      </c>
      <c r="B120" s="2" t="n">
        <v>43243.89269675926</v>
      </c>
      <c r="C120" t="n">
        <v>0</v>
      </c>
      <c r="D120" t="n">
        <v>275</v>
      </c>
      <c r="E120" t="s">
        <v>131</v>
      </c>
      <c r="F120" t="s"/>
      <c r="G120" t="s"/>
      <c r="H120" t="s"/>
      <c r="I120" t="s"/>
      <c r="J120" t="n">
        <v>0.5399</v>
      </c>
      <c r="K120" t="n">
        <v>0</v>
      </c>
      <c r="L120" t="n">
        <v>0.463</v>
      </c>
      <c r="M120" t="n">
        <v>0.537</v>
      </c>
    </row>
    <row r="121" spans="1:13">
      <c r="A121" s="1">
        <f>HYPERLINK("http://www.twitter.com/NathanBLawrence/status/999400650067922946", "999400650067922946")</f>
        <v/>
      </c>
      <c r="B121" s="2" t="n">
        <v>43243.89186342592</v>
      </c>
      <c r="C121" t="n">
        <v>0</v>
      </c>
      <c r="D121" t="n">
        <v>38</v>
      </c>
      <c r="E121" t="s">
        <v>132</v>
      </c>
      <c r="F121">
        <f>HYPERLINK("http://pbs.twimg.com/media/Dd5wQCvV0AA-Eh1.jpg", "http://pbs.twimg.com/media/Dd5wQCvV0AA-Eh1.jpg")</f>
        <v/>
      </c>
      <c r="G121" t="s"/>
      <c r="H121" t="s"/>
      <c r="I121" t="s"/>
      <c r="J121" t="n">
        <v>-0.0258</v>
      </c>
      <c r="K121" t="n">
        <v>0.08799999999999999</v>
      </c>
      <c r="L121" t="n">
        <v>0.829</v>
      </c>
      <c r="M121" t="n">
        <v>0.083</v>
      </c>
    </row>
    <row r="122" spans="1:13">
      <c r="A122" s="1">
        <f>HYPERLINK("http://www.twitter.com/NathanBLawrence/status/999399134724575233", "999399134724575233")</f>
        <v/>
      </c>
      <c r="B122" s="2" t="n">
        <v>43243.88768518518</v>
      </c>
      <c r="C122" t="n">
        <v>0</v>
      </c>
      <c r="D122" t="n">
        <v>2938</v>
      </c>
      <c r="E122" t="s">
        <v>133</v>
      </c>
      <c r="F122" t="s"/>
      <c r="G122" t="s"/>
      <c r="H122" t="s"/>
      <c r="I122" t="s"/>
      <c r="J122" t="n">
        <v>0.3612</v>
      </c>
      <c r="K122" t="n">
        <v>0.147</v>
      </c>
      <c r="L122" t="n">
        <v>0.657</v>
      </c>
      <c r="M122" t="n">
        <v>0.196</v>
      </c>
    </row>
    <row r="123" spans="1:13">
      <c r="A123" s="1">
        <f>HYPERLINK("http://www.twitter.com/NathanBLawrence/status/999399053036343298", "999399053036343298")</f>
        <v/>
      </c>
      <c r="B123" s="2" t="n">
        <v>43243.8874537037</v>
      </c>
      <c r="C123" t="n">
        <v>0</v>
      </c>
      <c r="D123" t="n">
        <v>13803</v>
      </c>
      <c r="E123" t="s">
        <v>134</v>
      </c>
      <c r="F123">
        <f>HYPERLINK("https://video.twimg.com/ext_tw_video/999371558639435776/pu/vid/1280x720/DjV6WcTFVrigbabJ.mp4?tag=3", "https://video.twimg.com/ext_tw_video/999371558639435776/pu/vid/1280x720/DjV6WcTFVrigbabJ.mp4?tag=3")</f>
        <v/>
      </c>
      <c r="G123" t="s"/>
      <c r="H123" t="s"/>
      <c r="I123" t="s"/>
      <c r="J123" t="n">
        <v>-0.7845</v>
      </c>
      <c r="K123" t="n">
        <v>0.247</v>
      </c>
      <c r="L123" t="n">
        <v>0.753</v>
      </c>
      <c r="M123" t="n">
        <v>0</v>
      </c>
    </row>
    <row r="124" spans="1:13">
      <c r="A124" s="1">
        <f>HYPERLINK("http://www.twitter.com/NathanBLawrence/status/999398969452179457", "999398969452179457")</f>
        <v/>
      </c>
      <c r="B124" s="2" t="n">
        <v>43243.88722222222</v>
      </c>
      <c r="C124" t="n">
        <v>0</v>
      </c>
      <c r="D124" t="n">
        <v>17550</v>
      </c>
      <c r="E124" t="s">
        <v>135</v>
      </c>
      <c r="F124">
        <f>HYPERLINK("https://video.twimg.com/ext_tw_video/999373096149598208/pu/vid/1280x720/gJM6nV2Q5uHHzFvf.mp4?tag=3", "https://video.twimg.com/ext_tw_video/999373096149598208/pu/vid/1280x720/gJM6nV2Q5uHHzFvf.mp4?tag=3")</f>
        <v/>
      </c>
      <c r="G124" t="s"/>
      <c r="H124" t="s"/>
      <c r="I124" t="s"/>
      <c r="J124" t="n">
        <v>-0.5719</v>
      </c>
      <c r="K124" t="n">
        <v>0.163</v>
      </c>
      <c r="L124" t="n">
        <v>0.837</v>
      </c>
      <c r="M124" t="n">
        <v>0</v>
      </c>
    </row>
    <row r="125" spans="1:13">
      <c r="A125" s="1">
        <f>HYPERLINK("http://www.twitter.com/NathanBLawrence/status/999276254259040256", "999276254259040256")</f>
        <v/>
      </c>
      <c r="B125" s="2" t="n">
        <v>43243.54859953704</v>
      </c>
      <c r="C125" t="n">
        <v>0</v>
      </c>
      <c r="D125" t="n">
        <v>409</v>
      </c>
      <c r="E125" t="s">
        <v>136</v>
      </c>
      <c r="F125" t="s"/>
      <c r="G125" t="s"/>
      <c r="H125" t="s"/>
      <c r="I125" t="s"/>
      <c r="J125" t="n">
        <v>-0.8316</v>
      </c>
      <c r="K125" t="n">
        <v>0.314</v>
      </c>
      <c r="L125" t="n">
        <v>0.62</v>
      </c>
      <c r="M125" t="n">
        <v>0.066</v>
      </c>
    </row>
    <row r="126" spans="1:13">
      <c r="A126" s="1">
        <f>HYPERLINK("http://www.twitter.com/NathanBLawrence/status/999275246493536257", "999275246493536257")</f>
        <v/>
      </c>
      <c r="B126" s="2" t="n">
        <v>43243.54582175926</v>
      </c>
      <c r="C126" t="n">
        <v>0</v>
      </c>
      <c r="D126" t="n">
        <v>30</v>
      </c>
      <c r="E126" t="s">
        <v>137</v>
      </c>
      <c r="F126" t="s"/>
      <c r="G126" t="s"/>
      <c r="H126" t="s"/>
      <c r="I126" t="s"/>
      <c r="J126" t="n">
        <v>-0.1587</v>
      </c>
      <c r="K126" t="n">
        <v>0.191</v>
      </c>
      <c r="L126" t="n">
        <v>0.68</v>
      </c>
      <c r="M126" t="n">
        <v>0.13</v>
      </c>
    </row>
    <row r="127" spans="1:13">
      <c r="A127" s="1">
        <f>HYPERLINK("http://www.twitter.com/NathanBLawrence/status/999272107635806208", "999272107635806208")</f>
        <v/>
      </c>
      <c r="B127" s="2" t="n">
        <v>43243.53715277778</v>
      </c>
      <c r="C127" t="n">
        <v>0</v>
      </c>
      <c r="D127" t="n">
        <v>4</v>
      </c>
      <c r="E127" t="s">
        <v>138</v>
      </c>
      <c r="F127" t="s"/>
      <c r="G127" t="s"/>
      <c r="H127" t="s"/>
      <c r="I127" t="s"/>
      <c r="J127" t="n">
        <v>0.296</v>
      </c>
      <c r="K127" t="n">
        <v>0</v>
      </c>
      <c r="L127" t="n">
        <v>0.802</v>
      </c>
      <c r="M127" t="n">
        <v>0.198</v>
      </c>
    </row>
    <row r="128" spans="1:13">
      <c r="A128" s="1">
        <f>HYPERLINK("http://www.twitter.com/NathanBLawrence/status/999117402448293888", "999117402448293888")</f>
        <v/>
      </c>
      <c r="B128" s="2" t="n">
        <v>43243.11025462963</v>
      </c>
      <c r="C128" t="n">
        <v>0</v>
      </c>
      <c r="D128" t="n">
        <v>97</v>
      </c>
      <c r="E128" t="s">
        <v>139</v>
      </c>
      <c r="F128">
        <f>HYPERLINK("http://pbs.twimg.com/media/Dd2S7MiVMAEo9P9.jpg", "http://pbs.twimg.com/media/Dd2S7MiVMAEo9P9.jpg")</f>
        <v/>
      </c>
      <c r="G128" t="s"/>
      <c r="H128" t="s"/>
      <c r="I128" t="s"/>
      <c r="J128" t="n">
        <v>0</v>
      </c>
      <c r="K128" t="n">
        <v>0</v>
      </c>
      <c r="L128" t="n">
        <v>1</v>
      </c>
      <c r="M128" t="n">
        <v>0</v>
      </c>
    </row>
    <row r="129" spans="1:13">
      <c r="A129" s="1">
        <f>HYPERLINK("http://www.twitter.com/NathanBLawrence/status/999117276904394752", "999117276904394752")</f>
        <v/>
      </c>
      <c r="B129" s="2" t="n">
        <v>43243.10990740741</v>
      </c>
      <c r="C129" t="n">
        <v>0</v>
      </c>
      <c r="D129" t="n">
        <v>829</v>
      </c>
      <c r="E129" t="s">
        <v>140</v>
      </c>
      <c r="F129" t="s"/>
      <c r="G129" t="s"/>
      <c r="H129" t="s"/>
      <c r="I129" t="s"/>
      <c r="J129" t="n">
        <v>0</v>
      </c>
      <c r="K129" t="n">
        <v>0</v>
      </c>
      <c r="L129" t="n">
        <v>1</v>
      </c>
      <c r="M129" t="n">
        <v>0</v>
      </c>
    </row>
    <row r="130" spans="1:13">
      <c r="A130" s="1">
        <f>HYPERLINK("http://www.twitter.com/NathanBLawrence/status/999116978014081024", "999116978014081024")</f>
        <v/>
      </c>
      <c r="B130" s="2" t="n">
        <v>43243.10907407408</v>
      </c>
      <c r="C130" t="n">
        <v>0</v>
      </c>
      <c r="D130" t="n">
        <v>139</v>
      </c>
      <c r="E130" t="s">
        <v>141</v>
      </c>
      <c r="F130" t="s"/>
      <c r="G130" t="s"/>
      <c r="H130" t="s"/>
      <c r="I130" t="s"/>
      <c r="J130" t="n">
        <v>-0.7359</v>
      </c>
      <c r="K130" t="n">
        <v>0.427</v>
      </c>
      <c r="L130" t="n">
        <v>0.573</v>
      </c>
      <c r="M130" t="n">
        <v>0</v>
      </c>
    </row>
    <row r="131" spans="1:13">
      <c r="A131" s="1">
        <f>HYPERLINK("http://www.twitter.com/NathanBLawrence/status/999116912394211328", "999116912394211328")</f>
        <v/>
      </c>
      <c r="B131" s="2" t="n">
        <v>43243.10890046296</v>
      </c>
      <c r="C131" t="n">
        <v>0</v>
      </c>
      <c r="D131" t="n">
        <v>822</v>
      </c>
      <c r="E131" t="s">
        <v>142</v>
      </c>
      <c r="F131" t="s"/>
      <c r="G131" t="s"/>
      <c r="H131" t="s"/>
      <c r="I131" t="s"/>
      <c r="J131" t="n">
        <v>-0.1531</v>
      </c>
      <c r="K131" t="n">
        <v>0.122</v>
      </c>
      <c r="L131" t="n">
        <v>0.777</v>
      </c>
      <c r="M131" t="n">
        <v>0.101</v>
      </c>
    </row>
    <row r="132" spans="1:13">
      <c r="A132" s="1">
        <f>HYPERLINK("http://www.twitter.com/NathanBLawrence/status/999116681329995777", "999116681329995777")</f>
        <v/>
      </c>
      <c r="B132" s="2" t="n">
        <v>43243.10826388889</v>
      </c>
      <c r="C132" t="n">
        <v>0</v>
      </c>
      <c r="D132" t="n">
        <v>11</v>
      </c>
      <c r="E132" t="s">
        <v>143</v>
      </c>
      <c r="F132">
        <f>HYPERLINK("http://pbs.twimg.com/media/Dd2Mf2aU8AILfA6.jpg", "http://pbs.twimg.com/media/Dd2Mf2aU8AILfA6.jpg")</f>
        <v/>
      </c>
      <c r="G132" t="s"/>
      <c r="H132" t="s"/>
      <c r="I132" t="s"/>
      <c r="J132" t="n">
        <v>0.891</v>
      </c>
      <c r="K132" t="n">
        <v>0</v>
      </c>
      <c r="L132" t="n">
        <v>0.459</v>
      </c>
      <c r="M132" t="n">
        <v>0.541</v>
      </c>
    </row>
    <row r="133" spans="1:13">
      <c r="A133" s="1">
        <f>HYPERLINK("http://www.twitter.com/NathanBLawrence/status/999116609825443841", "999116609825443841")</f>
        <v/>
      </c>
      <c r="B133" s="2" t="n">
        <v>43243.10806712963</v>
      </c>
      <c r="C133" t="n">
        <v>0</v>
      </c>
      <c r="D133" t="n">
        <v>56</v>
      </c>
      <c r="E133" t="s">
        <v>144</v>
      </c>
      <c r="F133">
        <f>HYPERLINK("http://pbs.twimg.com/media/Dd2O72QVQAA7umg.jpg", "http://pbs.twimg.com/media/Dd2O72QVQAA7umg.jpg")</f>
        <v/>
      </c>
      <c r="G133" t="s"/>
      <c r="H133" t="s"/>
      <c r="I133" t="s"/>
      <c r="J133" t="n">
        <v>-0.1511</v>
      </c>
      <c r="K133" t="n">
        <v>0.07000000000000001</v>
      </c>
      <c r="L133" t="n">
        <v>0.93</v>
      </c>
      <c r="M133" t="n">
        <v>0</v>
      </c>
    </row>
    <row r="134" spans="1:13">
      <c r="A134" s="1">
        <f>HYPERLINK("http://www.twitter.com/NathanBLawrence/status/999116452195168256", "999116452195168256")</f>
        <v/>
      </c>
      <c r="B134" s="2" t="n">
        <v>43243.10762731481</v>
      </c>
      <c r="C134" t="n">
        <v>0</v>
      </c>
      <c r="D134" t="n">
        <v>208</v>
      </c>
      <c r="E134" t="s">
        <v>145</v>
      </c>
      <c r="F134" t="s"/>
      <c r="G134" t="s"/>
      <c r="H134" t="s"/>
      <c r="I134" t="s"/>
      <c r="J134" t="n">
        <v>0</v>
      </c>
      <c r="K134" t="n">
        <v>0</v>
      </c>
      <c r="L134" t="n">
        <v>1</v>
      </c>
      <c r="M134" t="n">
        <v>0</v>
      </c>
    </row>
    <row r="135" spans="1:13">
      <c r="A135" s="1">
        <f>HYPERLINK("http://www.twitter.com/NathanBLawrence/status/999115691038072839", "999115691038072839")</f>
        <v/>
      </c>
      <c r="B135" s="2" t="n">
        <v>43243.1055324074</v>
      </c>
      <c r="C135" t="n">
        <v>0</v>
      </c>
      <c r="D135" t="n">
        <v>97</v>
      </c>
      <c r="E135" t="s">
        <v>146</v>
      </c>
      <c r="F135">
        <f>HYPERLINK("http://pbs.twimg.com/media/Dd2K9iRVQAEM6c6.jpg", "http://pbs.twimg.com/media/Dd2K9iRVQAEM6c6.jpg")</f>
        <v/>
      </c>
      <c r="G135">
        <f>HYPERLINK("http://pbs.twimg.com/media/Dd2K9iQVQAEx_sB.jpg", "http://pbs.twimg.com/media/Dd2K9iQVQAEx_sB.jpg")</f>
        <v/>
      </c>
      <c r="H135" t="s"/>
      <c r="I135" t="s"/>
      <c r="J135" t="n">
        <v>0.4574</v>
      </c>
      <c r="K135" t="n">
        <v>0.054</v>
      </c>
      <c r="L135" t="n">
        <v>0.775</v>
      </c>
      <c r="M135" t="n">
        <v>0.17</v>
      </c>
    </row>
    <row r="136" spans="1:13">
      <c r="A136" s="1">
        <f>HYPERLINK("http://www.twitter.com/NathanBLawrence/status/999115584150360065", "999115584150360065")</f>
        <v/>
      </c>
      <c r="B136" s="2" t="n">
        <v>43243.10523148148</v>
      </c>
      <c r="C136" t="n">
        <v>0</v>
      </c>
      <c r="D136" t="n">
        <v>7774</v>
      </c>
      <c r="E136" t="s">
        <v>147</v>
      </c>
      <c r="F136">
        <f>HYPERLINK("https://video.twimg.com/ext_tw_video/999034008972345344/pu/vid/1280x720/9cXgSYlfXEIsjl1q.mp4?tag=3", "https://video.twimg.com/ext_tw_video/999034008972345344/pu/vid/1280x720/9cXgSYlfXEIsjl1q.mp4?tag=3")</f>
        <v/>
      </c>
      <c r="G136" t="s"/>
      <c r="H136" t="s"/>
      <c r="I136" t="s"/>
      <c r="J136" t="n">
        <v>0</v>
      </c>
      <c r="K136" t="n">
        <v>0</v>
      </c>
      <c r="L136" t="n">
        <v>1</v>
      </c>
      <c r="M136" t="n">
        <v>0</v>
      </c>
    </row>
    <row r="137" spans="1:13">
      <c r="A137" s="1">
        <f>HYPERLINK("http://www.twitter.com/NathanBLawrence/status/999115364712755200", "999115364712755200")</f>
        <v/>
      </c>
      <c r="B137" s="2" t="n">
        <v>43243.10462962963</v>
      </c>
      <c r="C137" t="n">
        <v>0</v>
      </c>
      <c r="D137" t="n">
        <v>10767</v>
      </c>
      <c r="E137" t="s">
        <v>148</v>
      </c>
      <c r="F137">
        <f>HYPERLINK("https://video.twimg.com/ext_tw_video/999010693977272320/pu/vid/1280x720/seeQA4YHETyfeQJx.mp4?tag=3", "https://video.twimg.com/ext_tw_video/999010693977272320/pu/vid/1280x720/seeQA4YHETyfeQJx.mp4?tag=3")</f>
        <v/>
      </c>
      <c r="G137" t="s"/>
      <c r="H137" t="s"/>
      <c r="I137" t="s"/>
      <c r="J137" t="n">
        <v>0.8858</v>
      </c>
      <c r="K137" t="n">
        <v>0</v>
      </c>
      <c r="L137" t="n">
        <v>0.634</v>
      </c>
      <c r="M137" t="n">
        <v>0.366</v>
      </c>
    </row>
    <row r="138" spans="1:13">
      <c r="A138" s="1">
        <f>HYPERLINK("http://www.twitter.com/NathanBLawrence/status/999115161553264640", "999115161553264640")</f>
        <v/>
      </c>
      <c r="B138" s="2" t="n">
        <v>43243.1040625</v>
      </c>
      <c r="C138" t="n">
        <v>0</v>
      </c>
      <c r="D138" t="n">
        <v>6</v>
      </c>
      <c r="E138" t="s">
        <v>149</v>
      </c>
      <c r="F138" t="s"/>
      <c r="G138" t="s"/>
      <c r="H138" t="s"/>
      <c r="I138" t="s"/>
      <c r="J138" t="n">
        <v>0</v>
      </c>
      <c r="K138" t="n">
        <v>0</v>
      </c>
      <c r="L138" t="n">
        <v>1</v>
      </c>
      <c r="M138" t="n">
        <v>0</v>
      </c>
    </row>
    <row r="139" spans="1:13">
      <c r="A139" s="1">
        <f>HYPERLINK("http://www.twitter.com/NathanBLawrence/status/999115017986461696", "999115017986461696")</f>
        <v/>
      </c>
      <c r="B139" s="2" t="n">
        <v>43243.10366898148</v>
      </c>
      <c r="C139" t="n">
        <v>0</v>
      </c>
      <c r="D139" t="n">
        <v>681</v>
      </c>
      <c r="E139" t="s">
        <v>150</v>
      </c>
      <c r="F139">
        <f>HYPERLINK("https://video.twimg.com/amplify_video/999101468455194624/vid/1280x720/motw9LvC7OdC7lOV.mp4?tag=2", "https://video.twimg.com/amplify_video/999101468455194624/vid/1280x720/motw9LvC7OdC7lOV.mp4?tag=2")</f>
        <v/>
      </c>
      <c r="G139" t="s"/>
      <c r="H139" t="s"/>
      <c r="I139" t="s"/>
      <c r="J139" t="n">
        <v>0.5423</v>
      </c>
      <c r="K139" t="n">
        <v>0</v>
      </c>
      <c r="L139" t="n">
        <v>0.824</v>
      </c>
      <c r="M139" t="n">
        <v>0.176</v>
      </c>
    </row>
    <row r="140" spans="1:13">
      <c r="A140" s="1">
        <f>HYPERLINK("http://www.twitter.com/NathanBLawrence/status/999114787064819715", "999114787064819715")</f>
        <v/>
      </c>
      <c r="B140" s="2" t="n">
        <v>43243.10303240741</v>
      </c>
      <c r="C140" t="n">
        <v>0</v>
      </c>
      <c r="D140" t="n">
        <v>141</v>
      </c>
      <c r="E140" t="s">
        <v>151</v>
      </c>
      <c r="F140" t="s"/>
      <c r="G140" t="s"/>
      <c r="H140" t="s"/>
      <c r="I140" t="s"/>
      <c r="J140" t="n">
        <v>0</v>
      </c>
      <c r="K140" t="n">
        <v>0</v>
      </c>
      <c r="L140" t="n">
        <v>1</v>
      </c>
      <c r="M140" t="n">
        <v>0</v>
      </c>
    </row>
    <row r="141" spans="1:13">
      <c r="A141" s="1">
        <f>HYPERLINK("http://www.twitter.com/NathanBLawrence/status/998945241796431872", "998945241796431872")</f>
        <v/>
      </c>
      <c r="B141" s="2" t="n">
        <v>43242.63517361111</v>
      </c>
      <c r="C141" t="n">
        <v>0</v>
      </c>
      <c r="D141" t="n">
        <v>1072</v>
      </c>
      <c r="E141" t="s">
        <v>152</v>
      </c>
      <c r="F141">
        <f>HYPERLINK("http://pbs.twimg.com/media/Ddzr9A_V0AAuxZs.jpg", "http://pbs.twimg.com/media/Ddzr9A_V0AAuxZs.jpg")</f>
        <v/>
      </c>
      <c r="G141" t="s"/>
      <c r="H141" t="s"/>
      <c r="I141" t="s"/>
      <c r="J141" t="n">
        <v>0.3862</v>
      </c>
      <c r="K141" t="n">
        <v>0</v>
      </c>
      <c r="L141" t="n">
        <v>0.894</v>
      </c>
      <c r="M141" t="n">
        <v>0.106</v>
      </c>
    </row>
    <row r="142" spans="1:13">
      <c r="A142" s="1">
        <f>HYPERLINK("http://www.twitter.com/NathanBLawrence/status/998926108891537410", "998926108891537410")</f>
        <v/>
      </c>
      <c r="B142" s="2" t="n">
        <v>43242.58238425926</v>
      </c>
      <c r="C142" t="n">
        <v>0</v>
      </c>
      <c r="D142" t="n">
        <v>4</v>
      </c>
      <c r="E142" t="s">
        <v>153</v>
      </c>
      <c r="F142" t="s"/>
      <c r="G142" t="s"/>
      <c r="H142" t="s"/>
      <c r="I142" t="s"/>
      <c r="J142" t="n">
        <v>0</v>
      </c>
      <c r="K142" t="n">
        <v>0</v>
      </c>
      <c r="L142" t="n">
        <v>1</v>
      </c>
      <c r="M142" t="n">
        <v>0</v>
      </c>
    </row>
    <row r="143" spans="1:13">
      <c r="A143" s="1">
        <f>HYPERLINK("http://www.twitter.com/NathanBLawrence/status/998925582950895616", "998925582950895616")</f>
        <v/>
      </c>
      <c r="B143" s="2" t="n">
        <v>43242.58092592593</v>
      </c>
      <c r="C143" t="n">
        <v>0</v>
      </c>
      <c r="D143" t="n">
        <v>638</v>
      </c>
      <c r="E143" t="s">
        <v>154</v>
      </c>
      <c r="F143">
        <f>HYPERLINK("https://video.twimg.com/ext_tw_video/998764151953539072/pu/vid/720x720/IZiFIgFHuIhVIdnJ.mp4?tag=3", "https://video.twimg.com/ext_tw_video/998764151953539072/pu/vid/720x720/IZiFIgFHuIhVIdnJ.mp4?tag=3")</f>
        <v/>
      </c>
      <c r="G143" t="s"/>
      <c r="H143" t="s"/>
      <c r="I143" t="s"/>
      <c r="J143" t="n">
        <v>0</v>
      </c>
      <c r="K143" t="n">
        <v>0</v>
      </c>
      <c r="L143" t="n">
        <v>1</v>
      </c>
      <c r="M143" t="n">
        <v>0</v>
      </c>
    </row>
    <row r="144" spans="1:13">
      <c r="A144" s="1">
        <f>HYPERLINK("http://www.twitter.com/NathanBLawrence/status/998923944588730373", "998923944588730373")</f>
        <v/>
      </c>
      <c r="B144" s="2" t="n">
        <v>43242.57641203704</v>
      </c>
      <c r="C144" t="n">
        <v>0</v>
      </c>
      <c r="D144" t="n">
        <v>237</v>
      </c>
      <c r="E144" t="s">
        <v>155</v>
      </c>
      <c r="F144" t="s"/>
      <c r="G144" t="s"/>
      <c r="H144" t="s"/>
      <c r="I144" t="s"/>
      <c r="J144" t="n">
        <v>-0.8555</v>
      </c>
      <c r="K144" t="n">
        <v>0.37</v>
      </c>
      <c r="L144" t="n">
        <v>0.63</v>
      </c>
      <c r="M144" t="n">
        <v>0</v>
      </c>
    </row>
    <row r="145" spans="1:13">
      <c r="A145" s="1">
        <f>HYPERLINK("http://www.twitter.com/NathanBLawrence/status/998907896439148544", "998907896439148544")</f>
        <v/>
      </c>
      <c r="B145" s="2" t="n">
        <v>43242.53211805555</v>
      </c>
      <c r="C145" t="n">
        <v>0</v>
      </c>
      <c r="D145" t="n">
        <v>5106</v>
      </c>
      <c r="E145" t="s">
        <v>156</v>
      </c>
      <c r="F145">
        <f>HYPERLINK("http://pbs.twimg.com/media/DdxXNl7V0AAX5YG.jpg", "http://pbs.twimg.com/media/DdxXNl7V0AAX5YG.jpg")</f>
        <v/>
      </c>
      <c r="G145">
        <f>HYPERLINK("http://pbs.twimg.com/media/DdxXQU1U0AEm1gw.jpg", "http://pbs.twimg.com/media/DdxXQU1U0AEm1gw.jpg")</f>
        <v/>
      </c>
      <c r="H145">
        <f>HYPERLINK("http://pbs.twimg.com/media/DdxXgpPV0AATRps.jpg", "http://pbs.twimg.com/media/DdxXgpPV0AATRps.jpg")</f>
        <v/>
      </c>
      <c r="I145" t="s"/>
      <c r="J145" t="n">
        <v>0</v>
      </c>
      <c r="K145" t="n">
        <v>0</v>
      </c>
      <c r="L145" t="n">
        <v>1</v>
      </c>
      <c r="M145" t="n">
        <v>0</v>
      </c>
    </row>
    <row r="146" spans="1:13">
      <c r="A146" s="1">
        <f>HYPERLINK("http://www.twitter.com/NathanBLawrence/status/998906311776534528", "998906311776534528")</f>
        <v/>
      </c>
      <c r="B146" s="2" t="n">
        <v>43242.52775462963</v>
      </c>
      <c r="C146" t="n">
        <v>0</v>
      </c>
      <c r="D146" t="n">
        <v>147</v>
      </c>
      <c r="E146" t="s">
        <v>157</v>
      </c>
      <c r="F146">
        <f>HYPERLINK("https://video.twimg.com/ext_tw_video/998774054067687425/pu/vid/1280x720/sO0oddiuNqoBSmeg.mp4?tag=3", "https://video.twimg.com/ext_tw_video/998774054067687425/pu/vid/1280x720/sO0oddiuNqoBSmeg.mp4?tag=3")</f>
        <v/>
      </c>
      <c r="G146" t="s"/>
      <c r="H146" t="s"/>
      <c r="I146" t="s"/>
      <c r="J146" t="n">
        <v>0.4199</v>
      </c>
      <c r="K146" t="n">
        <v>0</v>
      </c>
      <c r="L146" t="n">
        <v>0.883</v>
      </c>
      <c r="M146" t="n">
        <v>0.117</v>
      </c>
    </row>
    <row r="147" spans="1:13">
      <c r="A147" s="1">
        <f>HYPERLINK("http://www.twitter.com/NathanBLawrence/status/998755556130283522", "998755556130283522")</f>
        <v/>
      </c>
      <c r="B147" s="2" t="n">
        <v>43242.11174768519</v>
      </c>
      <c r="C147" t="n">
        <v>0</v>
      </c>
      <c r="D147" t="n">
        <v>152</v>
      </c>
      <c r="E147" t="s">
        <v>158</v>
      </c>
      <c r="F147" t="s"/>
      <c r="G147" t="s"/>
      <c r="H147" t="s"/>
      <c r="I147" t="s"/>
      <c r="J147" t="n">
        <v>0</v>
      </c>
      <c r="K147" t="n">
        <v>0</v>
      </c>
      <c r="L147" t="n">
        <v>1</v>
      </c>
      <c r="M147" t="n">
        <v>0</v>
      </c>
    </row>
    <row r="148" spans="1:13">
      <c r="A148" s="1">
        <f>HYPERLINK("http://www.twitter.com/NathanBLawrence/status/998751992129388544", "998751992129388544")</f>
        <v/>
      </c>
      <c r="B148" s="2" t="n">
        <v>43242.10190972222</v>
      </c>
      <c r="C148" t="n">
        <v>0</v>
      </c>
      <c r="D148" t="n">
        <v>1543</v>
      </c>
      <c r="E148" t="s">
        <v>159</v>
      </c>
      <c r="F148">
        <f>HYPERLINK("http://pbs.twimg.com/media/DdujHyeVQAQ47Lr.jpg", "http://pbs.twimg.com/media/DdujHyeVQAQ47Lr.jpg")</f>
        <v/>
      </c>
      <c r="G148" t="s"/>
      <c r="H148" t="s"/>
      <c r="I148" t="s"/>
      <c r="J148" t="n">
        <v>-0.5423</v>
      </c>
      <c r="K148" t="n">
        <v>0.224</v>
      </c>
      <c r="L148" t="n">
        <v>0.694</v>
      </c>
      <c r="M148" t="n">
        <v>0.082</v>
      </c>
    </row>
    <row r="149" spans="1:13">
      <c r="A149" s="1">
        <f>HYPERLINK("http://www.twitter.com/NathanBLawrence/status/998751320197730305", "998751320197730305")</f>
        <v/>
      </c>
      <c r="B149" s="2" t="n">
        <v>43242.10005787037</v>
      </c>
      <c r="C149" t="n">
        <v>0</v>
      </c>
      <c r="D149" t="n">
        <v>472</v>
      </c>
      <c r="E149" t="s">
        <v>160</v>
      </c>
      <c r="F149" t="s"/>
      <c r="G149" t="s"/>
      <c r="H149" t="s"/>
      <c r="I149" t="s"/>
      <c r="J149" t="n">
        <v>0.5106000000000001</v>
      </c>
      <c r="K149" t="n">
        <v>0</v>
      </c>
      <c r="L149" t="n">
        <v>0.82</v>
      </c>
      <c r="M149" t="n">
        <v>0.18</v>
      </c>
    </row>
    <row r="150" spans="1:13">
      <c r="A150" s="1">
        <f>HYPERLINK("http://www.twitter.com/NathanBLawrence/status/998742625963438081", "998742625963438081")</f>
        <v/>
      </c>
      <c r="B150" s="2" t="n">
        <v>43242.07606481481</v>
      </c>
      <c r="C150" t="n">
        <v>0</v>
      </c>
      <c r="D150" t="n">
        <v>754</v>
      </c>
      <c r="E150" t="s">
        <v>161</v>
      </c>
      <c r="F150" t="s"/>
      <c r="G150" t="s"/>
      <c r="H150" t="s"/>
      <c r="I150" t="s"/>
      <c r="J150" t="n">
        <v>0</v>
      </c>
      <c r="K150" t="n">
        <v>0</v>
      </c>
      <c r="L150" t="n">
        <v>1</v>
      </c>
      <c r="M150" t="n">
        <v>0</v>
      </c>
    </row>
    <row r="151" spans="1:13">
      <c r="A151" s="1">
        <f>HYPERLINK("http://www.twitter.com/NathanBLawrence/status/998566319321731073", "998566319321731073")</f>
        <v/>
      </c>
      <c r="B151" s="2" t="n">
        <v>43241.58954861111</v>
      </c>
      <c r="C151" t="n">
        <v>0</v>
      </c>
      <c r="D151" t="n">
        <v>158</v>
      </c>
      <c r="E151" t="s">
        <v>162</v>
      </c>
      <c r="F151">
        <f>HYPERLINK("http://pbs.twimg.com/media/DduWV0jVAAA0zPG.jpg", "http://pbs.twimg.com/media/DduWV0jVAAA0zPG.jpg")</f>
        <v/>
      </c>
      <c r="G151">
        <f>HYPERLINK("http://pbs.twimg.com/media/DduWV0nUwAA9Nyd.jpg", "http://pbs.twimg.com/media/DduWV0nUwAA9Nyd.jpg")</f>
        <v/>
      </c>
      <c r="H151" t="s"/>
      <c r="I151" t="s"/>
      <c r="J151" t="n">
        <v>0</v>
      </c>
      <c r="K151" t="n">
        <v>0</v>
      </c>
      <c r="L151" t="n">
        <v>1</v>
      </c>
      <c r="M151" t="n">
        <v>0</v>
      </c>
    </row>
    <row r="152" spans="1:13">
      <c r="A152" s="1">
        <f>HYPERLINK("http://www.twitter.com/NathanBLawrence/status/998566053981638656", "998566053981638656")</f>
        <v/>
      </c>
      <c r="B152" s="2" t="n">
        <v>43241.58881944444</v>
      </c>
      <c r="C152" t="n">
        <v>0</v>
      </c>
      <c r="D152" t="n">
        <v>2926</v>
      </c>
      <c r="E152" t="s">
        <v>163</v>
      </c>
      <c r="F152">
        <f>HYPERLINK("http://pbs.twimg.com/media/DdrsYkvU8AEO9tc.jpg", "http://pbs.twimg.com/media/DdrsYkvU8AEO9tc.jpg")</f>
        <v/>
      </c>
      <c r="G152" t="s"/>
      <c r="H152" t="s"/>
      <c r="I152" t="s"/>
      <c r="J152" t="n">
        <v>0.8074</v>
      </c>
      <c r="K152" t="n">
        <v>0</v>
      </c>
      <c r="L152" t="n">
        <v>0.707</v>
      </c>
      <c r="M152" t="n">
        <v>0.293</v>
      </c>
    </row>
    <row r="153" spans="1:13">
      <c r="A153" s="1">
        <f>HYPERLINK("http://www.twitter.com/NathanBLawrence/status/998565181448949761", "998565181448949761")</f>
        <v/>
      </c>
      <c r="B153" s="2" t="n">
        <v>43241.58641203704</v>
      </c>
      <c r="C153" t="n">
        <v>0</v>
      </c>
      <c r="D153" t="n">
        <v>266</v>
      </c>
      <c r="E153" t="s">
        <v>164</v>
      </c>
      <c r="F153" t="s"/>
      <c r="G153" t="s"/>
      <c r="H153" t="s"/>
      <c r="I153" t="s"/>
      <c r="J153" t="n">
        <v>0.1511</v>
      </c>
      <c r="K153" t="n">
        <v>0</v>
      </c>
      <c r="L153" t="n">
        <v>0.919</v>
      </c>
      <c r="M153" t="n">
        <v>0.081</v>
      </c>
    </row>
    <row r="154" spans="1:13">
      <c r="A154" s="1">
        <f>HYPERLINK("http://www.twitter.com/NathanBLawrence/status/998564144348585984", "998564144348585984")</f>
        <v/>
      </c>
      <c r="B154" s="2" t="n">
        <v>43241.58355324074</v>
      </c>
      <c r="C154" t="n">
        <v>0</v>
      </c>
      <c r="D154" t="n">
        <v>416</v>
      </c>
      <c r="E154" t="s">
        <v>165</v>
      </c>
      <c r="F154">
        <f>HYPERLINK("http://pbs.twimg.com/media/Ddr2F8TUwAAQFTM.jpg", "http://pbs.twimg.com/media/Ddr2F8TUwAAQFTM.jpg")</f>
        <v/>
      </c>
      <c r="G154" t="s"/>
      <c r="H154" t="s"/>
      <c r="I154" t="s"/>
      <c r="J154" t="n">
        <v>-0.8957000000000001</v>
      </c>
      <c r="K154" t="n">
        <v>0.383</v>
      </c>
      <c r="L154" t="n">
        <v>0.617</v>
      </c>
      <c r="M154" t="n">
        <v>0</v>
      </c>
    </row>
    <row r="155" spans="1:13">
      <c r="A155" s="1">
        <f>HYPERLINK("http://www.twitter.com/NathanBLawrence/status/998563639912222720", "998563639912222720")</f>
        <v/>
      </c>
      <c r="B155" s="2" t="n">
        <v>43241.58215277778</v>
      </c>
      <c r="C155" t="n">
        <v>0</v>
      </c>
      <c r="D155" t="n">
        <v>264</v>
      </c>
      <c r="E155" t="s">
        <v>166</v>
      </c>
      <c r="F155">
        <f>HYPERLINK("https://video.twimg.com/amplify_video/998538914477551616/vid/1280x720/Qmv87GYzK7aA4LP1.mp4?tag=2", "https://video.twimg.com/amplify_video/998538914477551616/vid/1280x720/Qmv87GYzK7aA4LP1.mp4?tag=2")</f>
        <v/>
      </c>
      <c r="G155" t="s"/>
      <c r="H155" t="s"/>
      <c r="I155" t="s"/>
      <c r="J155" t="n">
        <v>0</v>
      </c>
      <c r="K155" t="n">
        <v>0</v>
      </c>
      <c r="L155" t="n">
        <v>1</v>
      </c>
      <c r="M155" t="n">
        <v>0</v>
      </c>
    </row>
    <row r="156" spans="1:13">
      <c r="A156" s="1">
        <f>HYPERLINK("http://www.twitter.com/NathanBLawrence/status/998563377537519617", "998563377537519617")</f>
        <v/>
      </c>
      <c r="B156" s="2" t="n">
        <v>43241.58143518519</v>
      </c>
      <c r="C156" t="n">
        <v>0</v>
      </c>
      <c r="D156" t="n">
        <v>1394</v>
      </c>
      <c r="E156" t="s">
        <v>167</v>
      </c>
      <c r="F156" t="s"/>
      <c r="G156" t="s"/>
      <c r="H156" t="s"/>
      <c r="I156" t="s"/>
      <c r="J156" t="n">
        <v>0</v>
      </c>
      <c r="K156" t="n">
        <v>0</v>
      </c>
      <c r="L156" t="n">
        <v>1</v>
      </c>
      <c r="M156" t="n">
        <v>0</v>
      </c>
    </row>
    <row r="157" spans="1:13">
      <c r="A157" s="1">
        <f>HYPERLINK("http://www.twitter.com/NathanBLawrence/status/998563247082139649", "998563247082139649")</f>
        <v/>
      </c>
      <c r="B157" s="2" t="n">
        <v>43241.58107638889</v>
      </c>
      <c r="C157" t="n">
        <v>0</v>
      </c>
      <c r="D157" t="n">
        <v>1380</v>
      </c>
      <c r="E157" t="s">
        <v>168</v>
      </c>
      <c r="F157" t="s"/>
      <c r="G157" t="s"/>
      <c r="H157" t="s"/>
      <c r="I157" t="s"/>
      <c r="J157" t="n">
        <v>-0.0531</v>
      </c>
      <c r="K157" t="n">
        <v>0.09</v>
      </c>
      <c r="L157" t="n">
        <v>0.827</v>
      </c>
      <c r="M157" t="n">
        <v>0.083</v>
      </c>
    </row>
    <row r="158" spans="1:13">
      <c r="A158" s="1">
        <f>HYPERLINK("http://www.twitter.com/NathanBLawrence/status/998562867879260161", "998562867879260161")</f>
        <v/>
      </c>
      <c r="B158" s="2" t="n">
        <v>43241.58002314815</v>
      </c>
      <c r="C158" t="n">
        <v>0</v>
      </c>
      <c r="D158" t="n">
        <v>65</v>
      </c>
      <c r="E158" t="s">
        <v>169</v>
      </c>
      <c r="F158">
        <f>HYPERLINK("https://video.twimg.com/amplify_video/996069924836651009/vid/1280x720/ImQk0Pjb7EFB07MN.mp4?tag=2", "https://video.twimg.com/amplify_video/996069924836651009/vid/1280x720/ImQk0Pjb7EFB07MN.mp4?tag=2")</f>
        <v/>
      </c>
      <c r="G158" t="s"/>
      <c r="H158" t="s"/>
      <c r="I158" t="s"/>
      <c r="J158" t="n">
        <v>0.7804</v>
      </c>
      <c r="K158" t="n">
        <v>0</v>
      </c>
      <c r="L158" t="n">
        <v>0.671</v>
      </c>
      <c r="M158" t="n">
        <v>0.329</v>
      </c>
    </row>
    <row r="159" spans="1:13">
      <c r="A159" s="1">
        <f>HYPERLINK("http://www.twitter.com/NathanBLawrence/status/998562732730474498", "998562732730474498")</f>
        <v/>
      </c>
      <c r="B159" s="2" t="n">
        <v>43241.57965277778</v>
      </c>
      <c r="C159" t="n">
        <v>0</v>
      </c>
      <c r="D159" t="n">
        <v>130</v>
      </c>
      <c r="E159" t="s">
        <v>170</v>
      </c>
      <c r="F159">
        <f>HYPERLINK("http://pbs.twimg.com/media/DduZXWeVAAEsGg-.jpg", "http://pbs.twimg.com/media/DduZXWeVAAEsGg-.jpg")</f>
        <v/>
      </c>
      <c r="G159" t="s"/>
      <c r="H159" t="s"/>
      <c r="I159" t="s"/>
      <c r="J159" t="n">
        <v>0</v>
      </c>
      <c r="K159" t="n">
        <v>0</v>
      </c>
      <c r="L159" t="n">
        <v>1</v>
      </c>
      <c r="M159" t="n">
        <v>0</v>
      </c>
    </row>
    <row r="160" spans="1:13">
      <c r="A160" s="1">
        <f>HYPERLINK("http://www.twitter.com/NathanBLawrence/status/998562287735726080", "998562287735726080")</f>
        <v/>
      </c>
      <c r="B160" s="2" t="n">
        <v>43241.57842592592</v>
      </c>
      <c r="C160" t="n">
        <v>0</v>
      </c>
      <c r="D160" t="n">
        <v>182</v>
      </c>
      <c r="E160" t="s">
        <v>171</v>
      </c>
      <c r="F160">
        <f>HYPERLINK("https://video.twimg.com/ext_tw_video/998559275327733760/pu/vid/1254x720/17hwXWGnfND2uWlt.mp4?tag=3", "https://video.twimg.com/ext_tw_video/998559275327733760/pu/vid/1254x720/17hwXWGnfND2uWlt.mp4?tag=3")</f>
        <v/>
      </c>
      <c r="G160" t="s"/>
      <c r="H160" t="s"/>
      <c r="I160" t="s"/>
      <c r="J160" t="n">
        <v>0</v>
      </c>
      <c r="K160" t="n">
        <v>0</v>
      </c>
      <c r="L160" t="n">
        <v>1</v>
      </c>
      <c r="M160" t="n">
        <v>0</v>
      </c>
    </row>
    <row r="161" spans="1:13">
      <c r="A161" s="1">
        <f>HYPERLINK("http://www.twitter.com/NathanBLawrence/status/998562223449624576", "998562223449624576")</f>
        <v/>
      </c>
      <c r="B161" s="2" t="n">
        <v>43241.57825231482</v>
      </c>
      <c r="C161" t="n">
        <v>0</v>
      </c>
      <c r="D161" t="n">
        <v>6453</v>
      </c>
      <c r="E161" t="s">
        <v>172</v>
      </c>
      <c r="F161" t="s"/>
      <c r="G161" t="s"/>
      <c r="H161" t="s"/>
      <c r="I161" t="s"/>
      <c r="J161" t="n">
        <v>-0.6697</v>
      </c>
      <c r="K161" t="n">
        <v>0.215</v>
      </c>
      <c r="L161" t="n">
        <v>0.785</v>
      </c>
      <c r="M161" t="n">
        <v>0</v>
      </c>
    </row>
    <row r="162" spans="1:13">
      <c r="A162" s="1">
        <f>HYPERLINK("http://www.twitter.com/NathanBLawrence/status/998562048975036421", "998562048975036421")</f>
        <v/>
      </c>
      <c r="B162" s="2" t="n">
        <v>43241.57776620371</v>
      </c>
      <c r="C162" t="n">
        <v>0</v>
      </c>
      <c r="D162" t="n">
        <v>240</v>
      </c>
      <c r="E162" t="s">
        <v>173</v>
      </c>
      <c r="F162">
        <f>HYPERLINK("http://pbs.twimg.com/media/DduZmIbVwAAaEWM.jpg", "http://pbs.twimg.com/media/DduZmIbVwAAaEWM.jpg")</f>
        <v/>
      </c>
      <c r="G162" t="s"/>
      <c r="H162" t="s"/>
      <c r="I162" t="s"/>
      <c r="J162" t="n">
        <v>0.93</v>
      </c>
      <c r="K162" t="n">
        <v>0</v>
      </c>
      <c r="L162" t="n">
        <v>0.486</v>
      </c>
      <c r="M162" t="n">
        <v>0.514</v>
      </c>
    </row>
    <row r="163" spans="1:13">
      <c r="A163" s="1">
        <f>HYPERLINK("http://www.twitter.com/NathanBLawrence/status/998562009858920449", "998562009858920449")</f>
        <v/>
      </c>
      <c r="B163" s="2" t="n">
        <v>43241.57766203704</v>
      </c>
      <c r="C163" t="n">
        <v>0</v>
      </c>
      <c r="D163" t="n">
        <v>4009</v>
      </c>
      <c r="E163" t="s">
        <v>174</v>
      </c>
      <c r="F163" t="s"/>
      <c r="G163" t="s"/>
      <c r="H163" t="s"/>
      <c r="I163" t="s"/>
      <c r="J163" t="n">
        <v>0</v>
      </c>
      <c r="K163" t="n">
        <v>0</v>
      </c>
      <c r="L163" t="n">
        <v>1</v>
      </c>
      <c r="M163" t="n">
        <v>0</v>
      </c>
    </row>
    <row r="164" spans="1:13">
      <c r="A164" s="1">
        <f>HYPERLINK("http://www.twitter.com/NathanBLawrence/status/998560497145393152", "998560497145393152")</f>
        <v/>
      </c>
      <c r="B164" s="2" t="n">
        <v>43241.5734837963</v>
      </c>
      <c r="C164" t="n">
        <v>0</v>
      </c>
      <c r="D164" t="n">
        <v>2450</v>
      </c>
      <c r="E164" t="s">
        <v>175</v>
      </c>
      <c r="F164" t="s"/>
      <c r="G164" t="s"/>
      <c r="H164" t="s"/>
      <c r="I164" t="s"/>
      <c r="J164" t="n">
        <v>0</v>
      </c>
      <c r="K164" t="n">
        <v>0</v>
      </c>
      <c r="L164" t="n">
        <v>1</v>
      </c>
      <c r="M164" t="n">
        <v>0</v>
      </c>
    </row>
    <row r="165" spans="1:13">
      <c r="A165" s="1">
        <f>HYPERLINK("http://www.twitter.com/NathanBLawrence/status/998559734172147713", "998559734172147713")</f>
        <v/>
      </c>
      <c r="B165" s="2" t="n">
        <v>43241.57137731482</v>
      </c>
      <c r="C165" t="n">
        <v>0</v>
      </c>
      <c r="D165" t="n">
        <v>50</v>
      </c>
      <c r="E165" t="s">
        <v>176</v>
      </c>
      <c r="F165">
        <f>HYPERLINK("http://pbs.twimg.com/media/DduM7otU8AIxCBQ.jpg", "http://pbs.twimg.com/media/DduM7otU8AIxCBQ.jpg")</f>
        <v/>
      </c>
      <c r="G165" t="s"/>
      <c r="H165" t="s"/>
      <c r="I165" t="s"/>
      <c r="J165" t="n">
        <v>0</v>
      </c>
      <c r="K165" t="n">
        <v>0</v>
      </c>
      <c r="L165" t="n">
        <v>1</v>
      </c>
      <c r="M165" t="n">
        <v>0</v>
      </c>
    </row>
    <row r="166" spans="1:13">
      <c r="A166" s="1">
        <f>HYPERLINK("http://www.twitter.com/NathanBLawrence/status/998559377740259329", "998559377740259329")</f>
        <v/>
      </c>
      <c r="B166" s="2" t="n">
        <v>43241.57039351852</v>
      </c>
      <c r="C166" t="n">
        <v>0</v>
      </c>
      <c r="D166" t="n">
        <v>10857</v>
      </c>
      <c r="E166" t="s">
        <v>177</v>
      </c>
      <c r="F166">
        <f>HYPERLINK("http://pbs.twimg.com/media/DdkvwGtU8AAciBz.jpg", "http://pbs.twimg.com/media/DdkvwGtU8AAciBz.jpg")</f>
        <v/>
      </c>
      <c r="G166">
        <f>HYPERLINK("http://pbs.twimg.com/media/DdkvwGtVwAU40sA.jpg", "http://pbs.twimg.com/media/DdkvwGtVwAU40sA.jpg")</f>
        <v/>
      </c>
      <c r="H166" t="s"/>
      <c r="I166" t="s"/>
      <c r="J166" t="n">
        <v>0.8908</v>
      </c>
      <c r="K166" t="n">
        <v>0</v>
      </c>
      <c r="L166" t="n">
        <v>0.644</v>
      </c>
      <c r="M166" t="n">
        <v>0.356</v>
      </c>
    </row>
    <row r="167" spans="1:13">
      <c r="A167" s="1">
        <f>HYPERLINK("http://www.twitter.com/NathanBLawrence/status/998559249595883521", "998559249595883521")</f>
        <v/>
      </c>
      <c r="B167" s="2" t="n">
        <v>43241.5700462963</v>
      </c>
      <c r="C167" t="n">
        <v>0</v>
      </c>
      <c r="D167" t="n">
        <v>4800</v>
      </c>
      <c r="E167" t="s">
        <v>178</v>
      </c>
      <c r="F167" t="s"/>
      <c r="G167" t="s"/>
      <c r="H167" t="s"/>
      <c r="I167" t="s"/>
      <c r="J167" t="n">
        <v>0.5266999999999999</v>
      </c>
      <c r="K167" t="n">
        <v>0.089</v>
      </c>
      <c r="L167" t="n">
        <v>0.678</v>
      </c>
      <c r="M167" t="n">
        <v>0.233</v>
      </c>
    </row>
    <row r="168" spans="1:13">
      <c r="A168" s="1">
        <f>HYPERLINK("http://www.twitter.com/NathanBLawrence/status/998558143377440768", "998558143377440768")</f>
        <v/>
      </c>
      <c r="B168" s="2" t="n">
        <v>43241.56699074074</v>
      </c>
      <c r="C168" t="n">
        <v>0</v>
      </c>
      <c r="D168" t="n">
        <v>4135</v>
      </c>
      <c r="E168" t="s">
        <v>179</v>
      </c>
      <c r="F168" t="s"/>
      <c r="G168" t="s"/>
      <c r="H168" t="s"/>
      <c r="I168" t="s"/>
      <c r="J168" t="n">
        <v>0</v>
      </c>
      <c r="K168" t="n">
        <v>0</v>
      </c>
      <c r="L168" t="n">
        <v>1</v>
      </c>
      <c r="M168" t="n">
        <v>0</v>
      </c>
    </row>
    <row r="169" spans="1:13">
      <c r="A169" s="1">
        <f>HYPERLINK("http://www.twitter.com/NathanBLawrence/status/998557551141761024", "998557551141761024")</f>
        <v/>
      </c>
      <c r="B169" s="2" t="n">
        <v>43241.5653587963</v>
      </c>
      <c r="C169" t="n">
        <v>0</v>
      </c>
      <c r="D169" t="n">
        <v>551</v>
      </c>
      <c r="E169" t="s">
        <v>180</v>
      </c>
      <c r="F169">
        <f>HYPERLINK("http://pbs.twimg.com/media/DduR9tgXUAEaAP5.jpg", "http://pbs.twimg.com/media/DduR9tgXUAEaAP5.jpg")</f>
        <v/>
      </c>
      <c r="G169" t="s"/>
      <c r="H169" t="s"/>
      <c r="I169" t="s"/>
      <c r="J169" t="n">
        <v>0.4215</v>
      </c>
      <c r="K169" t="n">
        <v>0</v>
      </c>
      <c r="L169" t="n">
        <v>0.877</v>
      </c>
      <c r="M169" t="n">
        <v>0.123</v>
      </c>
    </row>
    <row r="170" spans="1:13">
      <c r="A170" s="1">
        <f>HYPERLINK("http://www.twitter.com/NathanBLawrence/status/998557192231051264", "998557192231051264")</f>
        <v/>
      </c>
      <c r="B170" s="2" t="n">
        <v>43241.56436342592</v>
      </c>
      <c r="C170" t="n">
        <v>0</v>
      </c>
      <c r="D170" t="n">
        <v>10589</v>
      </c>
      <c r="E170" t="s">
        <v>181</v>
      </c>
      <c r="F170" t="s"/>
      <c r="G170" t="s"/>
      <c r="H170" t="s"/>
      <c r="I170" t="s"/>
      <c r="J170" t="n">
        <v>-0.1531</v>
      </c>
      <c r="K170" t="n">
        <v>0.143</v>
      </c>
      <c r="L170" t="n">
        <v>0.739</v>
      </c>
      <c r="M170" t="n">
        <v>0.117</v>
      </c>
    </row>
    <row r="171" spans="1:13">
      <c r="A171" s="1">
        <f>HYPERLINK("http://www.twitter.com/NathanBLawrence/status/998556972038393857", "998556972038393857")</f>
        <v/>
      </c>
      <c r="B171" s="2" t="n">
        <v>43241.56376157407</v>
      </c>
      <c r="C171" t="n">
        <v>0</v>
      </c>
      <c r="D171" t="n">
        <v>38</v>
      </c>
      <c r="E171" t="s">
        <v>182</v>
      </c>
      <c r="F171">
        <f>HYPERLINK("http://pbs.twimg.com/media/DduQYcrV4AcfwL0.jpg", "http://pbs.twimg.com/media/DduQYcrV4AcfwL0.jpg")</f>
        <v/>
      </c>
      <c r="G171" t="s"/>
      <c r="H171" t="s"/>
      <c r="I171" t="s"/>
      <c r="J171" t="n">
        <v>-0.296</v>
      </c>
      <c r="K171" t="n">
        <v>0.121</v>
      </c>
      <c r="L171" t="n">
        <v>0.879</v>
      </c>
      <c r="M171" t="n">
        <v>0</v>
      </c>
    </row>
    <row r="172" spans="1:13">
      <c r="A172" s="1">
        <f>HYPERLINK("http://www.twitter.com/NathanBLawrence/status/998556415009738752", "998556415009738752")</f>
        <v/>
      </c>
      <c r="B172" s="2" t="n">
        <v>43241.56222222222</v>
      </c>
      <c r="C172" t="n">
        <v>0</v>
      </c>
      <c r="D172" t="n">
        <v>3987</v>
      </c>
      <c r="E172" t="s">
        <v>183</v>
      </c>
      <c r="F172" t="s"/>
      <c r="G172" t="s"/>
      <c r="H172" t="s"/>
      <c r="I172" t="s"/>
      <c r="J172" t="n">
        <v>0.6486</v>
      </c>
      <c r="K172" t="n">
        <v>0</v>
      </c>
      <c r="L172" t="n">
        <v>0.762</v>
      </c>
      <c r="M172" t="n">
        <v>0.238</v>
      </c>
    </row>
    <row r="173" spans="1:13">
      <c r="A173" s="1">
        <f>HYPERLINK("http://www.twitter.com/NathanBLawrence/status/998555859499266048", "998555859499266048")</f>
        <v/>
      </c>
      <c r="B173" s="2" t="n">
        <v>43241.56068287037</v>
      </c>
      <c r="C173" t="n">
        <v>0</v>
      </c>
      <c r="D173" t="n">
        <v>293</v>
      </c>
      <c r="E173" t="s">
        <v>184</v>
      </c>
      <c r="F173" t="s"/>
      <c r="G173" t="s"/>
      <c r="H173" t="s"/>
      <c r="I173" t="s"/>
      <c r="J173" t="n">
        <v>0.4215</v>
      </c>
      <c r="K173" t="n">
        <v>0</v>
      </c>
      <c r="L173" t="n">
        <v>0.823</v>
      </c>
      <c r="M173" t="n">
        <v>0.177</v>
      </c>
    </row>
    <row r="174" spans="1:13">
      <c r="A174" s="1">
        <f>HYPERLINK("http://www.twitter.com/NathanBLawrence/status/998555757825150976", "998555757825150976")</f>
        <v/>
      </c>
      <c r="B174" s="2" t="n">
        <v>43241.56040509259</v>
      </c>
      <c r="C174" t="n">
        <v>0</v>
      </c>
      <c r="D174" t="n">
        <v>3722</v>
      </c>
      <c r="E174" t="s">
        <v>185</v>
      </c>
      <c r="F174" t="s"/>
      <c r="G174" t="s"/>
      <c r="H174" t="s"/>
      <c r="I174" t="s"/>
      <c r="J174" t="n">
        <v>0</v>
      </c>
      <c r="K174" t="n">
        <v>0</v>
      </c>
      <c r="L174" t="n">
        <v>1</v>
      </c>
      <c r="M174" t="n">
        <v>0</v>
      </c>
    </row>
    <row r="175" spans="1:13">
      <c r="A175" s="1">
        <f>HYPERLINK("http://www.twitter.com/NathanBLawrence/status/998555616976293888", "998555616976293888")</f>
        <v/>
      </c>
      <c r="B175" s="2" t="n">
        <v>43241.56002314815</v>
      </c>
      <c r="C175" t="n">
        <v>0</v>
      </c>
      <c r="D175" t="n">
        <v>7582</v>
      </c>
      <c r="E175" t="s">
        <v>186</v>
      </c>
      <c r="F175" t="s"/>
      <c r="G175" t="s"/>
      <c r="H175" t="s"/>
      <c r="I175" t="s"/>
      <c r="J175" t="n">
        <v>0.0772</v>
      </c>
      <c r="K175" t="n">
        <v>0</v>
      </c>
      <c r="L175" t="n">
        <v>0.944</v>
      </c>
      <c r="M175" t="n">
        <v>0.056</v>
      </c>
    </row>
    <row r="176" spans="1:13">
      <c r="A176" s="1">
        <f>HYPERLINK("http://www.twitter.com/NathanBLawrence/status/998196788933939200", "998196788933939200")</f>
        <v/>
      </c>
      <c r="B176" s="2" t="n">
        <v>43240.56983796296</v>
      </c>
      <c r="C176" t="n">
        <v>0</v>
      </c>
      <c r="D176" t="n">
        <v>360</v>
      </c>
      <c r="E176" t="s">
        <v>187</v>
      </c>
      <c r="F176">
        <f>HYPERLINK("http://pbs.twimg.com/media/DdlklhgU8AANokk.jpg", "http://pbs.twimg.com/media/DdlklhgU8AANokk.jpg")</f>
        <v/>
      </c>
      <c r="G176" t="s"/>
      <c r="H176" t="s"/>
      <c r="I176" t="s"/>
      <c r="J176" t="n">
        <v>-0.296</v>
      </c>
      <c r="K176" t="n">
        <v>0.104</v>
      </c>
      <c r="L176" t="n">
        <v>0.896</v>
      </c>
      <c r="M176" t="n">
        <v>0</v>
      </c>
    </row>
    <row r="177" spans="1:13">
      <c r="A177" s="1">
        <f>HYPERLINK("http://www.twitter.com/NathanBLawrence/status/998196683669475334", "998196683669475334")</f>
        <v/>
      </c>
      <c r="B177" s="2" t="n">
        <v>43240.56954861111</v>
      </c>
      <c r="C177" t="n">
        <v>0</v>
      </c>
      <c r="D177" t="n">
        <v>89</v>
      </c>
      <c r="E177" t="s">
        <v>188</v>
      </c>
      <c r="F177">
        <f>HYPERLINK("http://pbs.twimg.com/media/DdhJIeEXUAE1uN9.jpg", "http://pbs.twimg.com/media/DdhJIeEXUAE1uN9.jpg")</f>
        <v/>
      </c>
      <c r="G177" t="s"/>
      <c r="H177" t="s"/>
      <c r="I177" t="s"/>
      <c r="J177" t="n">
        <v>0.1531</v>
      </c>
      <c r="K177" t="n">
        <v>0.108</v>
      </c>
      <c r="L177" t="n">
        <v>0.76</v>
      </c>
      <c r="M177" t="n">
        <v>0.132</v>
      </c>
    </row>
    <row r="178" spans="1:13">
      <c r="A178" s="1">
        <f>HYPERLINK("http://www.twitter.com/NathanBLawrence/status/998194411443023873", "998194411443023873")</f>
        <v/>
      </c>
      <c r="B178" s="2" t="n">
        <v>43240.56327546296</v>
      </c>
      <c r="C178" t="n">
        <v>0</v>
      </c>
      <c r="D178" t="n">
        <v>80</v>
      </c>
      <c r="E178" t="s">
        <v>189</v>
      </c>
      <c r="F178">
        <f>HYPERLINK("http://pbs.twimg.com/media/DdnlaU5V4AYEmyi.jpg", "http://pbs.twimg.com/media/DdnlaU5V4AYEmyi.jpg")</f>
        <v/>
      </c>
      <c r="G178" t="s"/>
      <c r="H178" t="s"/>
      <c r="I178" t="s"/>
      <c r="J178" t="n">
        <v>-0.296</v>
      </c>
      <c r="K178" t="n">
        <v>0.306</v>
      </c>
      <c r="L178" t="n">
        <v>0.694</v>
      </c>
      <c r="M178" t="n">
        <v>0</v>
      </c>
    </row>
    <row r="179" spans="1:13">
      <c r="A179" s="1">
        <f>HYPERLINK("http://www.twitter.com/NathanBLawrence/status/998194122711322626", "998194122711322626")</f>
        <v/>
      </c>
      <c r="B179" s="2" t="n">
        <v>43240.56248842592</v>
      </c>
      <c r="C179" t="n">
        <v>0</v>
      </c>
      <c r="D179" t="n">
        <v>356</v>
      </c>
      <c r="E179" t="s">
        <v>190</v>
      </c>
      <c r="F179" t="s"/>
      <c r="G179" t="s"/>
      <c r="H179" t="s"/>
      <c r="I179" t="s"/>
      <c r="J179" t="n">
        <v>0</v>
      </c>
      <c r="K179" t="n">
        <v>0</v>
      </c>
      <c r="L179" t="n">
        <v>1</v>
      </c>
      <c r="M179" t="n">
        <v>0</v>
      </c>
    </row>
    <row r="180" spans="1:13">
      <c r="A180" s="1">
        <f>HYPERLINK("http://www.twitter.com/NathanBLawrence/status/998193699606749185", "998193699606749185")</f>
        <v/>
      </c>
      <c r="B180" s="2" t="n">
        <v>43240.56131944444</v>
      </c>
      <c r="C180" t="n">
        <v>0</v>
      </c>
      <c r="D180" t="n">
        <v>392</v>
      </c>
      <c r="E180" t="s">
        <v>191</v>
      </c>
      <c r="F180" t="s"/>
      <c r="G180" t="s"/>
      <c r="H180" t="s"/>
      <c r="I180" t="s"/>
      <c r="J180" t="n">
        <v>-0.8588</v>
      </c>
      <c r="K180" t="n">
        <v>0.463</v>
      </c>
      <c r="L180" t="n">
        <v>0.537</v>
      </c>
      <c r="M180" t="n">
        <v>0</v>
      </c>
    </row>
    <row r="181" spans="1:13">
      <c r="A181" s="1">
        <f>HYPERLINK("http://www.twitter.com/NathanBLawrence/status/998189447803006977", "998189447803006977")</f>
        <v/>
      </c>
      <c r="B181" s="2" t="n">
        <v>43240.54958333333</v>
      </c>
      <c r="C181" t="n">
        <v>0</v>
      </c>
      <c r="D181" t="n">
        <v>3770</v>
      </c>
      <c r="E181" t="s">
        <v>192</v>
      </c>
      <c r="F181">
        <f>HYPERLINK("https://video.twimg.com/ext_tw_video/997583211965300736/pu/vid/1280x720/zUR3FuqqK2N3PLbG.mp4?tag=3", "https://video.twimg.com/ext_tw_video/997583211965300736/pu/vid/1280x720/zUR3FuqqK2N3PLbG.mp4?tag=3")</f>
        <v/>
      </c>
      <c r="G181" t="s"/>
      <c r="H181" t="s"/>
      <c r="I181" t="s"/>
      <c r="J181" t="n">
        <v>0.508</v>
      </c>
      <c r="K181" t="n">
        <v>0</v>
      </c>
      <c r="L181" t="n">
        <v>0.865</v>
      </c>
      <c r="M181" t="n">
        <v>0.135</v>
      </c>
    </row>
    <row r="182" spans="1:13">
      <c r="A182" s="1">
        <f>HYPERLINK("http://www.twitter.com/NathanBLawrence/status/998187400676462592", "998187400676462592")</f>
        <v/>
      </c>
      <c r="B182" s="2" t="n">
        <v>43240.54393518518</v>
      </c>
      <c r="C182" t="n">
        <v>0</v>
      </c>
      <c r="D182" t="n">
        <v>1350</v>
      </c>
      <c r="E182" t="s">
        <v>193</v>
      </c>
      <c r="F182">
        <f>HYPERLINK("http://pbs.twimg.com/media/Ddney79V0AEFQ9f.jpg", "http://pbs.twimg.com/media/Ddney79V0AEFQ9f.jpg")</f>
        <v/>
      </c>
      <c r="G182" t="s"/>
      <c r="H182" t="s"/>
      <c r="I182" t="s"/>
      <c r="J182" t="n">
        <v>0</v>
      </c>
      <c r="K182" t="n">
        <v>0</v>
      </c>
      <c r="L182" t="n">
        <v>1</v>
      </c>
      <c r="M182" t="n">
        <v>0</v>
      </c>
    </row>
    <row r="183" spans="1:13">
      <c r="A183" s="1">
        <f>HYPERLINK("http://www.twitter.com/NathanBLawrence/status/998187226096914432", "998187226096914432")</f>
        <v/>
      </c>
      <c r="B183" s="2" t="n">
        <v>43240.54344907407</v>
      </c>
      <c r="C183" t="n">
        <v>0</v>
      </c>
      <c r="D183" t="n">
        <v>53</v>
      </c>
      <c r="E183" t="s">
        <v>194</v>
      </c>
      <c r="F183">
        <f>HYPERLINK("http://pbs.twimg.com/media/Ddo8bZGV4AAcXuC.jpg", "http://pbs.twimg.com/media/Ddo8bZGV4AAcXuC.jpg")</f>
        <v/>
      </c>
      <c r="G183" t="s"/>
      <c r="H183" t="s"/>
      <c r="I183" t="s"/>
      <c r="J183" t="n">
        <v>0.7184</v>
      </c>
      <c r="K183" t="n">
        <v>0</v>
      </c>
      <c r="L183" t="n">
        <v>0.6840000000000001</v>
      </c>
      <c r="M183" t="n">
        <v>0.316</v>
      </c>
    </row>
    <row r="184" spans="1:13">
      <c r="A184" s="1">
        <f>HYPERLINK("http://www.twitter.com/NathanBLawrence/status/998186795413188608", "998186795413188608")</f>
        <v/>
      </c>
      <c r="B184" s="2" t="n">
        <v>43240.54226851852</v>
      </c>
      <c r="C184" t="n">
        <v>0</v>
      </c>
      <c r="D184" t="n">
        <v>18</v>
      </c>
      <c r="E184" t="s">
        <v>195</v>
      </c>
      <c r="F184">
        <f>HYPERLINK("http://pbs.twimg.com/media/DdpCEpRU0AE53gm.jpg", "http://pbs.twimg.com/media/DdpCEpRU0AE53gm.jpg")</f>
        <v/>
      </c>
      <c r="G184" t="s"/>
      <c r="H184" t="s"/>
      <c r="I184" t="s"/>
      <c r="J184" t="n">
        <v>0.4404</v>
      </c>
      <c r="K184" t="n">
        <v>0</v>
      </c>
      <c r="L184" t="n">
        <v>0.868</v>
      </c>
      <c r="M184" t="n">
        <v>0.132</v>
      </c>
    </row>
    <row r="185" spans="1:13">
      <c r="A185" s="1">
        <f>HYPERLINK("http://www.twitter.com/NathanBLawrence/status/998183545121181697", "998183545121181697")</f>
        <v/>
      </c>
      <c r="B185" s="2" t="n">
        <v>43240.53329861111</v>
      </c>
      <c r="C185" t="n">
        <v>0</v>
      </c>
      <c r="D185" t="n">
        <v>901</v>
      </c>
      <c r="E185" t="s">
        <v>196</v>
      </c>
      <c r="F185">
        <f>HYPERLINK("https://video.twimg.com/ext_tw_video/998030350130425856/pu/vid/524x640/dTK24k6NYLQ1RHAM.mp4?tag=3", "https://video.twimg.com/ext_tw_video/998030350130425856/pu/vid/524x640/dTK24k6NYLQ1RHAM.mp4?tag=3")</f>
        <v/>
      </c>
      <c r="G185" t="s"/>
      <c r="H185" t="s"/>
      <c r="I185" t="s"/>
      <c r="J185" t="n">
        <v>0</v>
      </c>
      <c r="K185" t="n">
        <v>0</v>
      </c>
      <c r="L185" t="n">
        <v>1</v>
      </c>
      <c r="M185" t="n">
        <v>0</v>
      </c>
    </row>
    <row r="186" spans="1:13">
      <c r="A186" s="1">
        <f>HYPERLINK("http://www.twitter.com/NathanBLawrence/status/998182644054675456", "998182644054675456")</f>
        <v/>
      </c>
      <c r="B186" s="2" t="n">
        <v>43240.53081018518</v>
      </c>
      <c r="C186" t="n">
        <v>0</v>
      </c>
      <c r="D186" t="n">
        <v>302</v>
      </c>
      <c r="E186" t="s">
        <v>197</v>
      </c>
      <c r="F186">
        <f>HYPERLINK("http://pbs.twimg.com/media/Ddly6u1U8AALh0h.jpg", "http://pbs.twimg.com/media/Ddly6u1U8AALh0h.jpg")</f>
        <v/>
      </c>
      <c r="G186" t="s"/>
      <c r="H186" t="s"/>
      <c r="I186" t="s"/>
      <c r="J186" t="n">
        <v>0.3818</v>
      </c>
      <c r="K186" t="n">
        <v>0</v>
      </c>
      <c r="L186" t="n">
        <v>0.867</v>
      </c>
      <c r="M186" t="n">
        <v>0.133</v>
      </c>
    </row>
    <row r="187" spans="1:13">
      <c r="A187" s="1">
        <f>HYPERLINK("http://www.twitter.com/NathanBLawrence/status/998182114146312193", "998182114146312193")</f>
        <v/>
      </c>
      <c r="B187" s="2" t="n">
        <v>43240.52934027778</v>
      </c>
      <c r="C187" t="n">
        <v>0</v>
      </c>
      <c r="D187" t="n">
        <v>15</v>
      </c>
      <c r="E187" t="s">
        <v>198</v>
      </c>
      <c r="F187">
        <f>HYPERLINK("http://pbs.twimg.com/media/DdpA4IFVMAErLxn.jpg", "http://pbs.twimg.com/media/DdpA4IFVMAErLxn.jpg")</f>
        <v/>
      </c>
      <c r="G187" t="s"/>
      <c r="H187" t="s"/>
      <c r="I187" t="s"/>
      <c r="J187" t="n">
        <v>0.636</v>
      </c>
      <c r="K187" t="n">
        <v>0</v>
      </c>
      <c r="L187" t="n">
        <v>0.544</v>
      </c>
      <c r="M187" t="n">
        <v>0.456</v>
      </c>
    </row>
    <row r="188" spans="1:13">
      <c r="A188" s="1">
        <f>HYPERLINK("http://www.twitter.com/NathanBLawrence/status/998179704619327488", "998179704619327488")</f>
        <v/>
      </c>
      <c r="B188" s="2" t="n">
        <v>43240.52269675926</v>
      </c>
      <c r="C188" t="n">
        <v>0</v>
      </c>
      <c r="D188" t="n">
        <v>155</v>
      </c>
      <c r="E188" t="s">
        <v>199</v>
      </c>
      <c r="F188" t="s"/>
      <c r="G188" t="s"/>
      <c r="H188" t="s"/>
      <c r="I188" t="s"/>
      <c r="J188" t="n">
        <v>-0.5266999999999999</v>
      </c>
      <c r="K188" t="n">
        <v>0.155</v>
      </c>
      <c r="L188" t="n">
        <v>0.845</v>
      </c>
      <c r="M188" t="n">
        <v>0</v>
      </c>
    </row>
    <row r="189" spans="1:13">
      <c r="A189" s="1">
        <f>HYPERLINK("http://www.twitter.com/NathanBLawrence/status/998052380573945856", "998052380573945856")</f>
        <v/>
      </c>
      <c r="B189" s="2" t="n">
        <v>43240.17135416667</v>
      </c>
      <c r="C189" t="n">
        <v>0</v>
      </c>
      <c r="D189" t="n">
        <v>1319</v>
      </c>
      <c r="E189" t="s">
        <v>200</v>
      </c>
      <c r="F189">
        <f>HYPERLINK("http://pbs.twimg.com/media/DdlYX8aWkAE-Ec1.jpg", "http://pbs.twimg.com/media/DdlYX8aWkAE-Ec1.jpg")</f>
        <v/>
      </c>
      <c r="G189" t="s"/>
      <c r="H189" t="s"/>
      <c r="I189" t="s"/>
      <c r="J189" t="n">
        <v>-0.6486</v>
      </c>
      <c r="K189" t="n">
        <v>0.177</v>
      </c>
      <c r="L189" t="n">
        <v>0.823</v>
      </c>
      <c r="M189" t="n">
        <v>0</v>
      </c>
    </row>
    <row r="190" spans="1:13">
      <c r="A190" s="1">
        <f>HYPERLINK("http://www.twitter.com/NathanBLawrence/status/998051850304802818", "998051850304802818")</f>
        <v/>
      </c>
      <c r="B190" s="2" t="n">
        <v>43240.16988425926</v>
      </c>
      <c r="C190" t="n">
        <v>0</v>
      </c>
      <c r="D190" t="n">
        <v>59</v>
      </c>
      <c r="E190" t="s">
        <v>201</v>
      </c>
      <c r="F190" t="s"/>
      <c r="G190" t="s"/>
      <c r="H190" t="s"/>
      <c r="I190" t="s"/>
      <c r="J190" t="n">
        <v>-0.3818</v>
      </c>
      <c r="K190" t="n">
        <v>0.115</v>
      </c>
      <c r="L190" t="n">
        <v>0.885</v>
      </c>
      <c r="M190" t="n">
        <v>0</v>
      </c>
    </row>
    <row r="191" spans="1:13">
      <c r="A191" s="1">
        <f>HYPERLINK("http://www.twitter.com/NathanBLawrence/status/998045436387700737", "998045436387700737")</f>
        <v/>
      </c>
      <c r="B191" s="2" t="n">
        <v>43240.1521875</v>
      </c>
      <c r="C191" t="n">
        <v>0</v>
      </c>
      <c r="D191" t="n">
        <v>92</v>
      </c>
      <c r="E191" t="s">
        <v>202</v>
      </c>
      <c r="F191" t="s"/>
      <c r="G191" t="s"/>
      <c r="H191" t="s"/>
      <c r="I191" t="s"/>
      <c r="J191" t="n">
        <v>0</v>
      </c>
      <c r="K191" t="n">
        <v>0</v>
      </c>
      <c r="L191" t="n">
        <v>1</v>
      </c>
      <c r="M191" t="n">
        <v>0</v>
      </c>
    </row>
    <row r="192" spans="1:13">
      <c r="A192" s="1">
        <f>HYPERLINK("http://www.twitter.com/NathanBLawrence/status/998045311154184193", "998045311154184193")</f>
        <v/>
      </c>
      <c r="B192" s="2" t="n">
        <v>43240.15184027778</v>
      </c>
      <c r="C192" t="n">
        <v>0</v>
      </c>
      <c r="D192" t="n">
        <v>688</v>
      </c>
      <c r="E192" t="s">
        <v>203</v>
      </c>
      <c r="F192" t="s"/>
      <c r="G192" t="s"/>
      <c r="H192" t="s"/>
      <c r="I192" t="s"/>
      <c r="J192" t="n">
        <v>-0.9441000000000001</v>
      </c>
      <c r="K192" t="n">
        <v>0.461</v>
      </c>
      <c r="L192" t="n">
        <v>0.478</v>
      </c>
      <c r="M192" t="n">
        <v>0.061</v>
      </c>
    </row>
    <row r="193" spans="1:13">
      <c r="A193" s="1">
        <f>HYPERLINK("http://www.twitter.com/NathanBLawrence/status/998015334849437696", "998015334849437696")</f>
        <v/>
      </c>
      <c r="B193" s="2" t="n">
        <v>43240.06912037037</v>
      </c>
      <c r="C193" t="n">
        <v>0</v>
      </c>
      <c r="D193" t="n">
        <v>26</v>
      </c>
      <c r="E193" t="s">
        <v>204</v>
      </c>
      <c r="F193">
        <f>HYPERLINK("https://video.twimg.com/ext_tw_video/973711633372467200/pu/vid/1280x720/NwJrpR5_FZwQgNco.mp4", "https://video.twimg.com/ext_tw_video/973711633372467200/pu/vid/1280x720/NwJrpR5_FZwQgNco.mp4")</f>
        <v/>
      </c>
      <c r="G193" t="s"/>
      <c r="H193" t="s"/>
      <c r="I193" t="s"/>
      <c r="J193" t="n">
        <v>0</v>
      </c>
      <c r="K193" t="n">
        <v>0</v>
      </c>
      <c r="L193" t="n">
        <v>1</v>
      </c>
      <c r="M193" t="n">
        <v>0</v>
      </c>
    </row>
    <row r="194" spans="1:13">
      <c r="A194" s="1">
        <f>HYPERLINK("http://www.twitter.com/NathanBLawrence/status/998015281690824704", "998015281690824704")</f>
        <v/>
      </c>
      <c r="B194" s="2" t="n">
        <v>43240.06898148148</v>
      </c>
      <c r="C194" t="n">
        <v>0</v>
      </c>
      <c r="D194" t="n">
        <v>1037</v>
      </c>
      <c r="E194" t="s">
        <v>205</v>
      </c>
      <c r="F194">
        <f>HYPERLINK("https://video.twimg.com/ext_tw_video/997973808140115968/pu/vid/1280x720/6KkMZJY-0s5WUG2n.mp4?tag=3", "https://video.twimg.com/ext_tw_video/997973808140115968/pu/vid/1280x720/6KkMZJY-0s5WUG2n.mp4?tag=3")</f>
        <v/>
      </c>
      <c r="G194" t="s"/>
      <c r="H194" t="s"/>
      <c r="I194" t="s"/>
      <c r="J194" t="n">
        <v>-0.3612</v>
      </c>
      <c r="K194" t="n">
        <v>0.122</v>
      </c>
      <c r="L194" t="n">
        <v>0.878</v>
      </c>
      <c r="M194" t="n">
        <v>0</v>
      </c>
    </row>
    <row r="195" spans="1:13">
      <c r="A195" s="1">
        <f>HYPERLINK("http://www.twitter.com/NathanBLawrence/status/998015066791464960", "998015066791464960")</f>
        <v/>
      </c>
      <c r="B195" s="2" t="n">
        <v>43240.06837962963</v>
      </c>
      <c r="C195" t="n">
        <v>0</v>
      </c>
      <c r="D195" t="n">
        <v>795</v>
      </c>
      <c r="E195" t="s">
        <v>206</v>
      </c>
      <c r="F195">
        <f>HYPERLINK("http://pbs.twimg.com/media/DdibYkEUQAI53wD.jpg", "http://pbs.twimg.com/media/DdibYkEUQAI53wD.jpg")</f>
        <v/>
      </c>
      <c r="G195" t="s"/>
      <c r="H195" t="s"/>
      <c r="I195" t="s"/>
      <c r="J195" t="n">
        <v>0</v>
      </c>
      <c r="K195" t="n">
        <v>0</v>
      </c>
      <c r="L195" t="n">
        <v>1</v>
      </c>
      <c r="M195" t="n">
        <v>0</v>
      </c>
    </row>
    <row r="196" spans="1:13">
      <c r="A196" s="1">
        <f>HYPERLINK("http://www.twitter.com/NathanBLawrence/status/998014179746476032", "998014179746476032")</f>
        <v/>
      </c>
      <c r="B196" s="2" t="n">
        <v>43240.0659375</v>
      </c>
      <c r="C196" t="n">
        <v>0</v>
      </c>
      <c r="D196" t="n">
        <v>89</v>
      </c>
      <c r="E196" t="s">
        <v>207</v>
      </c>
      <c r="F196">
        <f>HYPERLINK("http://pbs.twimg.com/media/DdmRSyAVQAAQeJ7.jpg", "http://pbs.twimg.com/media/DdmRSyAVQAAQeJ7.jpg")</f>
        <v/>
      </c>
      <c r="G196" t="s"/>
      <c r="H196" t="s"/>
      <c r="I196" t="s"/>
      <c r="J196" t="n">
        <v>-0.0191</v>
      </c>
      <c r="K196" t="n">
        <v>0.067</v>
      </c>
      <c r="L196" t="n">
        <v>0.9330000000000001</v>
      </c>
      <c r="M196" t="n">
        <v>0</v>
      </c>
    </row>
    <row r="197" spans="1:13">
      <c r="A197" s="1">
        <f>HYPERLINK("http://www.twitter.com/NathanBLawrence/status/998013910883164161", "998013910883164161")</f>
        <v/>
      </c>
      <c r="B197" s="2" t="n">
        <v>43240.06519675926</v>
      </c>
      <c r="C197" t="n">
        <v>0</v>
      </c>
      <c r="D197" t="n">
        <v>92</v>
      </c>
      <c r="E197" t="s">
        <v>208</v>
      </c>
      <c r="F197">
        <f>HYPERLINK("http://pbs.twimg.com/media/DdmKvZYVMAAX3rI.jpg", "http://pbs.twimg.com/media/DdmKvZYVMAAX3rI.jpg")</f>
        <v/>
      </c>
      <c r="G197" t="s"/>
      <c r="H197" t="s"/>
      <c r="I197" t="s"/>
      <c r="J197" t="n">
        <v>0</v>
      </c>
      <c r="K197" t="n">
        <v>0</v>
      </c>
      <c r="L197" t="n">
        <v>1</v>
      </c>
      <c r="M197" t="n">
        <v>0</v>
      </c>
    </row>
    <row r="198" spans="1:13">
      <c r="A198" s="1">
        <f>HYPERLINK("http://www.twitter.com/NathanBLawrence/status/998013847477907456", "998013847477907456")</f>
        <v/>
      </c>
      <c r="B198" s="2" t="n">
        <v>43240.06502314815</v>
      </c>
      <c r="C198" t="n">
        <v>0</v>
      </c>
      <c r="D198" t="n">
        <v>5</v>
      </c>
      <c r="E198" t="s">
        <v>209</v>
      </c>
      <c r="F198" t="s"/>
      <c r="G198" t="s"/>
      <c r="H198" t="s"/>
      <c r="I198" t="s"/>
      <c r="J198" t="n">
        <v>0</v>
      </c>
      <c r="K198" t="n">
        <v>0</v>
      </c>
      <c r="L198" t="n">
        <v>1</v>
      </c>
      <c r="M198" t="n">
        <v>0</v>
      </c>
    </row>
    <row r="199" spans="1:13">
      <c r="A199" s="1">
        <f>HYPERLINK("http://www.twitter.com/NathanBLawrence/status/998013657895374849", "998013657895374849")</f>
        <v/>
      </c>
      <c r="B199" s="2" t="n">
        <v>43240.06449074074</v>
      </c>
      <c r="C199" t="n">
        <v>0</v>
      </c>
      <c r="D199" t="n">
        <v>5602</v>
      </c>
      <c r="E199" t="s">
        <v>210</v>
      </c>
      <c r="F199" t="s"/>
      <c r="G199" t="s"/>
      <c r="H199" t="s"/>
      <c r="I199" t="s"/>
      <c r="J199" t="n">
        <v>-0.8331</v>
      </c>
      <c r="K199" t="n">
        <v>0.356</v>
      </c>
      <c r="L199" t="n">
        <v>0.644</v>
      </c>
      <c r="M199" t="n">
        <v>0</v>
      </c>
    </row>
    <row r="200" spans="1:13">
      <c r="A200" s="1">
        <f>HYPERLINK("http://www.twitter.com/NathanBLawrence/status/997990315649839104", "997990315649839104")</f>
        <v/>
      </c>
      <c r="B200" s="2" t="n">
        <v>43240.00008101852</v>
      </c>
      <c r="C200" t="n">
        <v>0</v>
      </c>
      <c r="D200" t="n">
        <v>36128</v>
      </c>
      <c r="E200" t="s">
        <v>211</v>
      </c>
      <c r="F200" t="s"/>
      <c r="G200" t="s"/>
      <c r="H200" t="s"/>
      <c r="I200" t="s"/>
      <c r="J200" t="n">
        <v>0.4588</v>
      </c>
      <c r="K200" t="n">
        <v>0</v>
      </c>
      <c r="L200" t="n">
        <v>0.88</v>
      </c>
      <c r="M200" t="n">
        <v>0.12</v>
      </c>
    </row>
    <row r="201" spans="1:13">
      <c r="A201" s="1">
        <f>HYPERLINK("http://www.twitter.com/NathanBLawrence/status/997936858465259521", "997936858465259521")</f>
        <v/>
      </c>
      <c r="B201" s="2" t="n">
        <v>43239.85256944445</v>
      </c>
      <c r="C201" t="n">
        <v>0</v>
      </c>
      <c r="D201" t="n">
        <v>5937</v>
      </c>
      <c r="E201" t="s">
        <v>212</v>
      </c>
      <c r="F201" t="s"/>
      <c r="G201" t="s"/>
      <c r="H201" t="s"/>
      <c r="I201" t="s"/>
      <c r="J201" t="n">
        <v>0.1926</v>
      </c>
      <c r="K201" t="n">
        <v>0.117</v>
      </c>
      <c r="L201" t="n">
        <v>0.73</v>
      </c>
      <c r="M201" t="n">
        <v>0.154</v>
      </c>
    </row>
    <row r="202" spans="1:13">
      <c r="A202" s="1">
        <f>HYPERLINK("http://www.twitter.com/NathanBLawrence/status/997936817122004994", "997936817122004994")</f>
        <v/>
      </c>
      <c r="B202" s="2" t="n">
        <v>43239.8524537037</v>
      </c>
      <c r="C202" t="n">
        <v>0</v>
      </c>
      <c r="D202" t="n">
        <v>17495</v>
      </c>
      <c r="E202" t="s">
        <v>213</v>
      </c>
      <c r="F202">
        <f>HYPERLINK("https://video.twimg.com/ext_tw_video/997899842817961985/pu/vid/1280x720/iGoZT79tZ4eQ9hwk.mp4?tag=3", "https://video.twimg.com/ext_tw_video/997899842817961985/pu/vid/1280x720/iGoZT79tZ4eQ9hwk.mp4?tag=3")</f>
        <v/>
      </c>
      <c r="G202" t="s"/>
      <c r="H202" t="s"/>
      <c r="I202" t="s"/>
      <c r="J202" t="n">
        <v>0.8697</v>
      </c>
      <c r="K202" t="n">
        <v>0</v>
      </c>
      <c r="L202" t="n">
        <v>0.658</v>
      </c>
      <c r="M202" t="n">
        <v>0.342</v>
      </c>
    </row>
    <row r="203" spans="1:13">
      <c r="A203" s="1">
        <f>HYPERLINK("http://www.twitter.com/NathanBLawrence/status/997936768463851520", "997936768463851520")</f>
        <v/>
      </c>
      <c r="B203" s="2" t="n">
        <v>43239.85232638889</v>
      </c>
      <c r="C203" t="n">
        <v>0</v>
      </c>
      <c r="D203" t="n">
        <v>23724</v>
      </c>
      <c r="E203" t="s">
        <v>214</v>
      </c>
      <c r="F203" t="s"/>
      <c r="G203" t="s"/>
      <c r="H203" t="s"/>
      <c r="I203" t="s"/>
      <c r="J203" t="n">
        <v>0.7902</v>
      </c>
      <c r="K203" t="n">
        <v>0</v>
      </c>
      <c r="L203" t="n">
        <v>0.714</v>
      </c>
      <c r="M203" t="n">
        <v>0.286</v>
      </c>
    </row>
    <row r="204" spans="1:13">
      <c r="A204" s="1">
        <f>HYPERLINK("http://www.twitter.com/NathanBLawrence/status/997528064635662336", "997528064635662336")</f>
        <v/>
      </c>
      <c r="B204" s="2" t="n">
        <v>43238.72451388889</v>
      </c>
      <c r="C204" t="n">
        <v>0</v>
      </c>
      <c r="D204" t="n">
        <v>199</v>
      </c>
      <c r="E204" t="s">
        <v>215</v>
      </c>
      <c r="F204" t="s"/>
      <c r="G204" t="s"/>
      <c r="H204" t="s"/>
      <c r="I204" t="s"/>
      <c r="J204" t="n">
        <v>-0.5266999999999999</v>
      </c>
      <c r="K204" t="n">
        <v>0.21</v>
      </c>
      <c r="L204" t="n">
        <v>0.699</v>
      </c>
      <c r="M204" t="n">
        <v>0.091</v>
      </c>
    </row>
    <row r="205" spans="1:13">
      <c r="A205" s="1">
        <f>HYPERLINK("http://www.twitter.com/NathanBLawrence/status/997527342305218561", "997527342305218561")</f>
        <v/>
      </c>
      <c r="B205" s="2" t="n">
        <v>43238.72252314815</v>
      </c>
      <c r="C205" t="n">
        <v>0</v>
      </c>
      <c r="D205" t="n">
        <v>1002</v>
      </c>
      <c r="E205" t="s">
        <v>216</v>
      </c>
      <c r="F205" t="s"/>
      <c r="G205" t="s"/>
      <c r="H205" t="s"/>
      <c r="I205" t="s"/>
      <c r="J205" t="n">
        <v>0</v>
      </c>
      <c r="K205" t="n">
        <v>0</v>
      </c>
      <c r="L205" t="n">
        <v>1</v>
      </c>
      <c r="M205" t="n">
        <v>0</v>
      </c>
    </row>
    <row r="206" spans="1:13">
      <c r="A206" s="1">
        <f>HYPERLINK("http://www.twitter.com/NathanBLawrence/status/997526303191519232", "997526303191519232")</f>
        <v/>
      </c>
      <c r="B206" s="2" t="n">
        <v>43238.71965277778</v>
      </c>
      <c r="C206" t="n">
        <v>0</v>
      </c>
      <c r="D206" t="n">
        <v>3</v>
      </c>
      <c r="E206" t="s">
        <v>217</v>
      </c>
      <c r="F206" t="s"/>
      <c r="G206" t="s"/>
      <c r="H206" t="s"/>
      <c r="I206" t="s"/>
      <c r="J206" t="n">
        <v>0.6369</v>
      </c>
      <c r="K206" t="n">
        <v>0</v>
      </c>
      <c r="L206" t="n">
        <v>0.741</v>
      </c>
      <c r="M206" t="n">
        <v>0.259</v>
      </c>
    </row>
    <row r="207" spans="1:13">
      <c r="A207" s="1">
        <f>HYPERLINK("http://www.twitter.com/NathanBLawrence/status/997526191547568128", "997526191547568128")</f>
        <v/>
      </c>
      <c r="B207" s="2" t="n">
        <v>43238.71934027778</v>
      </c>
      <c r="C207" t="n">
        <v>0</v>
      </c>
      <c r="D207" t="n">
        <v>554</v>
      </c>
      <c r="E207" t="s">
        <v>218</v>
      </c>
      <c r="F207" t="s"/>
      <c r="G207" t="s"/>
      <c r="H207" t="s"/>
      <c r="I207" t="s"/>
      <c r="J207" t="n">
        <v>0.8341</v>
      </c>
      <c r="K207" t="n">
        <v>0</v>
      </c>
      <c r="L207" t="n">
        <v>0.644</v>
      </c>
      <c r="M207" t="n">
        <v>0.356</v>
      </c>
    </row>
    <row r="208" spans="1:13">
      <c r="A208" s="1">
        <f>HYPERLINK("http://www.twitter.com/NathanBLawrence/status/997525833911648257", "997525833911648257")</f>
        <v/>
      </c>
      <c r="B208" s="2" t="n">
        <v>43238.71835648148</v>
      </c>
      <c r="C208" t="n">
        <v>0</v>
      </c>
      <c r="D208" t="n">
        <v>186</v>
      </c>
      <c r="E208" t="s">
        <v>219</v>
      </c>
      <c r="F208">
        <f>HYPERLINK("http://pbs.twimg.com/media/DdfsJlRVMAACA1Z.jpg", "http://pbs.twimg.com/media/DdfsJlRVMAACA1Z.jpg")</f>
        <v/>
      </c>
      <c r="G208" t="s"/>
      <c r="H208" t="s"/>
      <c r="I208" t="s"/>
      <c r="J208" t="n">
        <v>0</v>
      </c>
      <c r="K208" t="n">
        <v>0</v>
      </c>
      <c r="L208" t="n">
        <v>1</v>
      </c>
      <c r="M208" t="n">
        <v>0</v>
      </c>
    </row>
    <row r="209" spans="1:13">
      <c r="A209" s="1">
        <f>HYPERLINK("http://www.twitter.com/NathanBLawrence/status/997525159136452609", "997525159136452609")</f>
        <v/>
      </c>
      <c r="B209" s="2" t="n">
        <v>43238.71649305556</v>
      </c>
      <c r="C209" t="n">
        <v>0</v>
      </c>
      <c r="D209" t="n">
        <v>79</v>
      </c>
      <c r="E209" t="s">
        <v>220</v>
      </c>
      <c r="F209">
        <f>HYPERLINK("http://pbs.twimg.com/media/Ddfq6HIVMAAWKj4.jpg", "http://pbs.twimg.com/media/Ddfq6HIVMAAWKj4.jpg")</f>
        <v/>
      </c>
      <c r="G209" t="s"/>
      <c r="H209" t="s"/>
      <c r="I209" t="s"/>
      <c r="J209" t="n">
        <v>0.4939</v>
      </c>
      <c r="K209" t="n">
        <v>0.08599999999999999</v>
      </c>
      <c r="L209" t="n">
        <v>0.709</v>
      </c>
      <c r="M209" t="n">
        <v>0.205</v>
      </c>
    </row>
    <row r="210" spans="1:13">
      <c r="A210" s="1">
        <f>HYPERLINK("http://www.twitter.com/NathanBLawrence/status/997525023874256897", "997525023874256897")</f>
        <v/>
      </c>
      <c r="B210" s="2" t="n">
        <v>43238.71612268518</v>
      </c>
      <c r="C210" t="n">
        <v>0</v>
      </c>
      <c r="D210" t="n">
        <v>163</v>
      </c>
      <c r="E210" t="s">
        <v>221</v>
      </c>
      <c r="F210">
        <f>HYPERLINK("http://pbs.twimg.com/media/DdfplfKUwAA-b4c.jpg", "http://pbs.twimg.com/media/DdfplfKUwAA-b4c.jpg")</f>
        <v/>
      </c>
      <c r="G210" t="s"/>
      <c r="H210" t="s"/>
      <c r="I210" t="s"/>
      <c r="J210" t="n">
        <v>-0.8972</v>
      </c>
      <c r="K210" t="n">
        <v>0.372</v>
      </c>
      <c r="L210" t="n">
        <v>0.503</v>
      </c>
      <c r="M210" t="n">
        <v>0.124</v>
      </c>
    </row>
    <row r="211" spans="1:13">
      <c r="A211" s="1">
        <f>HYPERLINK("http://www.twitter.com/NathanBLawrence/status/997524899206922240", "997524899206922240")</f>
        <v/>
      </c>
      <c r="B211" s="2" t="n">
        <v>43238.71577546297</v>
      </c>
      <c r="C211" t="n">
        <v>0</v>
      </c>
      <c r="D211" t="n">
        <v>2611</v>
      </c>
      <c r="E211" t="s">
        <v>222</v>
      </c>
      <c r="F211">
        <f>HYPERLINK("http://pbs.twimg.com/media/DdcbSZnUQAA3zvQ.jpg", "http://pbs.twimg.com/media/DdcbSZnUQAA3zvQ.jpg")</f>
        <v/>
      </c>
      <c r="G211" t="s"/>
      <c r="H211" t="s"/>
      <c r="I211" t="s"/>
      <c r="J211" t="n">
        <v>-0.4404</v>
      </c>
      <c r="K211" t="n">
        <v>0.172</v>
      </c>
      <c r="L211" t="n">
        <v>0.828</v>
      </c>
      <c r="M211" t="n">
        <v>0</v>
      </c>
    </row>
    <row r="212" spans="1:13">
      <c r="A212" s="1">
        <f>HYPERLINK("http://www.twitter.com/NathanBLawrence/status/997524563910160384", "997524563910160384")</f>
        <v/>
      </c>
      <c r="B212" s="2" t="n">
        <v>43238.71484953703</v>
      </c>
      <c r="C212" t="n">
        <v>0</v>
      </c>
      <c r="D212" t="n">
        <v>59</v>
      </c>
      <c r="E212" t="s">
        <v>223</v>
      </c>
      <c r="F212">
        <f>HYPERLINK("http://pbs.twimg.com/media/DdfZ4elV4AU7TJo.jpg", "http://pbs.twimg.com/media/DdfZ4elV4AU7TJo.jpg")</f>
        <v/>
      </c>
      <c r="G212" t="s"/>
      <c r="H212" t="s"/>
      <c r="I212" t="s"/>
      <c r="J212" t="n">
        <v>0</v>
      </c>
      <c r="K212" t="n">
        <v>0</v>
      </c>
      <c r="L212" t="n">
        <v>1</v>
      </c>
      <c r="M212" t="n">
        <v>0</v>
      </c>
    </row>
    <row r="213" spans="1:13">
      <c r="A213" s="1">
        <f>HYPERLINK("http://www.twitter.com/NathanBLawrence/status/997523504617721857", "997523504617721857")</f>
        <v/>
      </c>
      <c r="B213" s="2" t="n">
        <v>43238.71193287037</v>
      </c>
      <c r="C213" t="n">
        <v>0</v>
      </c>
      <c r="D213" t="n">
        <v>4019</v>
      </c>
      <c r="E213" t="s">
        <v>224</v>
      </c>
      <c r="F213" t="s"/>
      <c r="G213" t="s"/>
      <c r="H213" t="s"/>
      <c r="I213" t="s"/>
      <c r="J213" t="n">
        <v>0.0772</v>
      </c>
      <c r="K213" t="n">
        <v>0</v>
      </c>
      <c r="L213" t="n">
        <v>0.9389999999999999</v>
      </c>
      <c r="M213" t="n">
        <v>0.061</v>
      </c>
    </row>
    <row r="214" spans="1:13">
      <c r="A214" s="1">
        <f>HYPERLINK("http://www.twitter.com/NathanBLawrence/status/997520049073254403", "997520049073254403")</f>
        <v/>
      </c>
      <c r="B214" s="2" t="n">
        <v>43238.70239583333</v>
      </c>
      <c r="C214" t="n">
        <v>0</v>
      </c>
      <c r="D214" t="n">
        <v>416</v>
      </c>
      <c r="E214" t="s">
        <v>225</v>
      </c>
      <c r="F214" t="s"/>
      <c r="G214" t="s"/>
      <c r="H214" t="s"/>
      <c r="I214" t="s"/>
      <c r="J214" t="n">
        <v>-0.504</v>
      </c>
      <c r="K214" t="n">
        <v>0.188</v>
      </c>
      <c r="L214" t="n">
        <v>0.738</v>
      </c>
      <c r="M214" t="n">
        <v>0.074</v>
      </c>
    </row>
    <row r="215" spans="1:13">
      <c r="A215" s="1">
        <f>HYPERLINK("http://www.twitter.com/NathanBLawrence/status/997519924594724866", "997519924594724866")</f>
        <v/>
      </c>
      <c r="B215" s="2" t="n">
        <v>43238.70204861111</v>
      </c>
      <c r="C215" t="n">
        <v>0</v>
      </c>
      <c r="D215" t="n">
        <v>1681</v>
      </c>
      <c r="E215" t="s">
        <v>226</v>
      </c>
      <c r="F215" t="s"/>
      <c r="G215" t="s"/>
      <c r="H215" t="s"/>
      <c r="I215" t="s"/>
      <c r="J215" t="n">
        <v>0.5106000000000001</v>
      </c>
      <c r="K215" t="n">
        <v>0</v>
      </c>
      <c r="L215" t="n">
        <v>0.87</v>
      </c>
      <c r="M215" t="n">
        <v>0.13</v>
      </c>
    </row>
    <row r="216" spans="1:13">
      <c r="A216" s="1">
        <f>HYPERLINK("http://www.twitter.com/NathanBLawrence/status/997519789709918208", "997519789709918208")</f>
        <v/>
      </c>
      <c r="B216" s="2" t="n">
        <v>43238.70167824074</v>
      </c>
      <c r="C216" t="n">
        <v>0</v>
      </c>
      <c r="D216" t="n">
        <v>236</v>
      </c>
      <c r="E216" t="s">
        <v>227</v>
      </c>
      <c r="F216">
        <f>HYPERLINK("http://pbs.twimg.com/media/DdfcqCuV4AEJ9Xh.jpg", "http://pbs.twimg.com/media/DdfcqCuV4AEJ9Xh.jpg")</f>
        <v/>
      </c>
      <c r="G216" t="s"/>
      <c r="H216" t="s"/>
      <c r="I216" t="s"/>
      <c r="J216" t="n">
        <v>-0.4939</v>
      </c>
      <c r="K216" t="n">
        <v>0.273</v>
      </c>
      <c r="L216" t="n">
        <v>0.488</v>
      </c>
      <c r="M216" t="n">
        <v>0.239</v>
      </c>
    </row>
    <row r="217" spans="1:13">
      <c r="A217" s="1">
        <f>HYPERLINK("http://www.twitter.com/NathanBLawrence/status/997519604401524736", "997519604401524736")</f>
        <v/>
      </c>
      <c r="B217" s="2" t="n">
        <v>43238.70116898148</v>
      </c>
      <c r="C217" t="n">
        <v>0</v>
      </c>
      <c r="D217" t="n">
        <v>1322</v>
      </c>
      <c r="E217" t="s">
        <v>228</v>
      </c>
      <c r="F217" t="s"/>
      <c r="G217" t="s"/>
      <c r="H217" t="s"/>
      <c r="I217" t="s"/>
      <c r="J217" t="n">
        <v>0.119</v>
      </c>
      <c r="K217" t="n">
        <v>0.08</v>
      </c>
      <c r="L217" t="n">
        <v>0.822</v>
      </c>
      <c r="M217" t="n">
        <v>0.098</v>
      </c>
    </row>
    <row r="218" spans="1:13">
      <c r="A218" s="1">
        <f>HYPERLINK("http://www.twitter.com/NathanBLawrence/status/997519382329872386", "997519382329872386")</f>
        <v/>
      </c>
      <c r="B218" s="2" t="n">
        <v>43238.70055555556</v>
      </c>
      <c r="C218" t="n">
        <v>0</v>
      </c>
      <c r="D218" t="n">
        <v>219</v>
      </c>
      <c r="E218" t="s">
        <v>229</v>
      </c>
      <c r="F218" t="s"/>
      <c r="G218" t="s"/>
      <c r="H218" t="s"/>
      <c r="I218" t="s"/>
      <c r="J218" t="n">
        <v>-0.7632</v>
      </c>
      <c r="K218" t="n">
        <v>0.257</v>
      </c>
      <c r="L218" t="n">
        <v>0.743</v>
      </c>
      <c r="M218" t="n">
        <v>0</v>
      </c>
    </row>
    <row r="219" spans="1:13">
      <c r="A219" s="1">
        <f>HYPERLINK("http://www.twitter.com/NathanBLawrence/status/997519187940642816", "997519187940642816")</f>
        <v/>
      </c>
      <c r="B219" s="2" t="n">
        <v>43238.70002314815</v>
      </c>
      <c r="C219" t="n">
        <v>0</v>
      </c>
      <c r="D219" t="n">
        <v>167</v>
      </c>
      <c r="E219" t="s">
        <v>230</v>
      </c>
      <c r="F219" t="s"/>
      <c r="G219" t="s"/>
      <c r="H219" t="s"/>
      <c r="I219" t="s"/>
      <c r="J219" t="n">
        <v>0</v>
      </c>
      <c r="K219" t="n">
        <v>0</v>
      </c>
      <c r="L219" t="n">
        <v>1</v>
      </c>
      <c r="M219" t="n">
        <v>0</v>
      </c>
    </row>
    <row r="220" spans="1:13">
      <c r="A220" s="1">
        <f>HYPERLINK("http://www.twitter.com/NathanBLawrence/status/997519047464976384", "997519047464976384")</f>
        <v/>
      </c>
      <c r="B220" s="2" t="n">
        <v>43238.69962962963</v>
      </c>
      <c r="C220" t="n">
        <v>0</v>
      </c>
      <c r="D220" t="n">
        <v>891</v>
      </c>
      <c r="E220" t="s">
        <v>231</v>
      </c>
      <c r="F220" t="s"/>
      <c r="G220" t="s"/>
      <c r="H220" t="s"/>
      <c r="I220" t="s"/>
      <c r="J220" t="n">
        <v>-0.5423</v>
      </c>
      <c r="K220" t="n">
        <v>0.189</v>
      </c>
      <c r="L220" t="n">
        <v>0.8110000000000001</v>
      </c>
      <c r="M220" t="n">
        <v>0</v>
      </c>
    </row>
    <row r="221" spans="1:13">
      <c r="A221" s="1">
        <f>HYPERLINK("http://www.twitter.com/NathanBLawrence/status/997518905018142720", "997518905018142720")</f>
        <v/>
      </c>
      <c r="B221" s="2" t="n">
        <v>43238.69923611111</v>
      </c>
      <c r="C221" t="n">
        <v>0</v>
      </c>
      <c r="D221" t="n">
        <v>87</v>
      </c>
      <c r="E221" t="s">
        <v>232</v>
      </c>
      <c r="F221" t="s"/>
      <c r="G221" t="s"/>
      <c r="H221" t="s"/>
      <c r="I221" t="s"/>
      <c r="J221" t="n">
        <v>0</v>
      </c>
      <c r="K221" t="n">
        <v>0</v>
      </c>
      <c r="L221" t="n">
        <v>1</v>
      </c>
      <c r="M221" t="n">
        <v>0</v>
      </c>
    </row>
    <row r="222" spans="1:13">
      <c r="A222" s="1">
        <f>HYPERLINK("http://www.twitter.com/NathanBLawrence/status/997518839142387712", "997518839142387712")</f>
        <v/>
      </c>
      <c r="B222" s="2" t="n">
        <v>43238.69905092593</v>
      </c>
      <c r="C222" t="n">
        <v>0</v>
      </c>
      <c r="D222" t="n">
        <v>545</v>
      </c>
      <c r="E222" t="s">
        <v>233</v>
      </c>
      <c r="F222">
        <f>HYPERLINK("http://pbs.twimg.com/media/DdffoD2VAAEBMkm.jpg", "http://pbs.twimg.com/media/DdffoD2VAAEBMkm.jpg")</f>
        <v/>
      </c>
      <c r="G222" t="s"/>
      <c r="H222" t="s"/>
      <c r="I222" t="s"/>
      <c r="J222" t="n">
        <v>0</v>
      </c>
      <c r="K222" t="n">
        <v>0</v>
      </c>
      <c r="L222" t="n">
        <v>1</v>
      </c>
      <c r="M222" t="n">
        <v>0</v>
      </c>
    </row>
    <row r="223" spans="1:13">
      <c r="A223" s="1">
        <f>HYPERLINK("http://www.twitter.com/NathanBLawrence/status/997518744875347968", "997518744875347968")</f>
        <v/>
      </c>
      <c r="B223" s="2" t="n">
        <v>43238.6987962963</v>
      </c>
      <c r="C223" t="n">
        <v>0</v>
      </c>
      <c r="D223" t="n">
        <v>13962</v>
      </c>
      <c r="E223" t="s">
        <v>234</v>
      </c>
      <c r="F223" t="s"/>
      <c r="G223" t="s"/>
      <c r="H223" t="s"/>
      <c r="I223" t="s"/>
      <c r="J223" t="n">
        <v>0</v>
      </c>
      <c r="K223" t="n">
        <v>0.097</v>
      </c>
      <c r="L223" t="n">
        <v>0.805</v>
      </c>
      <c r="M223" t="n">
        <v>0.097</v>
      </c>
    </row>
    <row r="224" spans="1:13">
      <c r="A224" s="1">
        <f>HYPERLINK("http://www.twitter.com/NathanBLawrence/status/997518532949741569", "997518532949741569")</f>
        <v/>
      </c>
      <c r="B224" s="2" t="n">
        <v>43238.69820601852</v>
      </c>
      <c r="C224" t="n">
        <v>0</v>
      </c>
      <c r="D224" t="n">
        <v>17596</v>
      </c>
      <c r="E224" t="s">
        <v>235</v>
      </c>
      <c r="F224" t="s"/>
      <c r="G224" t="s"/>
      <c r="H224" t="s"/>
      <c r="I224" t="s"/>
      <c r="J224" t="n">
        <v>-0.1808</v>
      </c>
      <c r="K224" t="n">
        <v>0.246</v>
      </c>
      <c r="L224" t="n">
        <v>0.601</v>
      </c>
      <c r="M224" t="n">
        <v>0.153</v>
      </c>
    </row>
    <row r="225" spans="1:13">
      <c r="A225" s="1">
        <f>HYPERLINK("http://www.twitter.com/NathanBLawrence/status/997518345590145025", "997518345590145025")</f>
        <v/>
      </c>
      <c r="B225" s="2" t="n">
        <v>43238.69769675926</v>
      </c>
      <c r="C225" t="n">
        <v>0</v>
      </c>
      <c r="D225" t="n">
        <v>2</v>
      </c>
      <c r="E225" t="s">
        <v>236</v>
      </c>
      <c r="F225" t="s"/>
      <c r="G225" t="s"/>
      <c r="H225" t="s"/>
      <c r="I225" t="s"/>
      <c r="J225" t="n">
        <v>0</v>
      </c>
      <c r="K225" t="n">
        <v>0</v>
      </c>
      <c r="L225" t="n">
        <v>1</v>
      </c>
      <c r="M225" t="n">
        <v>0</v>
      </c>
    </row>
    <row r="226" spans="1:13">
      <c r="A226" s="1">
        <f>HYPERLINK("http://www.twitter.com/NathanBLawrence/status/997518121379516420", "997518121379516420")</f>
        <v/>
      </c>
      <c r="B226" s="2" t="n">
        <v>43238.69707175926</v>
      </c>
      <c r="C226" t="n">
        <v>0</v>
      </c>
      <c r="D226" t="n">
        <v>399</v>
      </c>
      <c r="E226" t="s">
        <v>237</v>
      </c>
      <c r="F226">
        <f>HYPERLINK("http://pbs.twimg.com/media/DdV7HY1WkAAcBZI.jpg", "http://pbs.twimg.com/media/DdV7HY1WkAAcBZI.jpg")</f>
        <v/>
      </c>
      <c r="G226" t="s"/>
      <c r="H226" t="s"/>
      <c r="I226" t="s"/>
      <c r="J226" t="n">
        <v>-0.1655</v>
      </c>
      <c r="K226" t="n">
        <v>0.064</v>
      </c>
      <c r="L226" t="n">
        <v>0.9360000000000001</v>
      </c>
      <c r="M226" t="n">
        <v>0</v>
      </c>
    </row>
    <row r="227" spans="1:13">
      <c r="A227" s="1">
        <f>HYPERLINK("http://www.twitter.com/NathanBLawrence/status/997517963073916931", "997517963073916931")</f>
        <v/>
      </c>
      <c r="B227" s="2" t="n">
        <v>43238.69664351852</v>
      </c>
      <c r="C227" t="n">
        <v>0</v>
      </c>
      <c r="D227" t="n">
        <v>186</v>
      </c>
      <c r="E227" t="s">
        <v>238</v>
      </c>
      <c r="F227">
        <f>HYPERLINK("https://video.twimg.com/amplify_video/997516322014547968/vid/638x360/XmIIr0I6ge5uppfs.mp4?tag=2", "https://video.twimg.com/amplify_video/997516322014547968/vid/638x360/XmIIr0I6ge5uppfs.mp4?tag=2")</f>
        <v/>
      </c>
      <c r="G227" t="s"/>
      <c r="H227" t="s"/>
      <c r="I227" t="s"/>
      <c r="J227" t="n">
        <v>0</v>
      </c>
      <c r="K227" t="n">
        <v>0</v>
      </c>
      <c r="L227" t="n">
        <v>1</v>
      </c>
      <c r="M227" t="n">
        <v>0</v>
      </c>
    </row>
    <row r="228" spans="1:13">
      <c r="A228" s="1">
        <f>HYPERLINK("http://www.twitter.com/NathanBLawrence/status/997517648601780224", "997517648601780224")</f>
        <v/>
      </c>
      <c r="B228" s="2" t="n">
        <v>43238.69577546296</v>
      </c>
      <c r="C228" t="n">
        <v>0</v>
      </c>
      <c r="D228" t="n">
        <v>2</v>
      </c>
      <c r="E228" t="s">
        <v>239</v>
      </c>
      <c r="F228" t="s"/>
      <c r="G228" t="s"/>
      <c r="H228" t="s"/>
      <c r="I228" t="s"/>
      <c r="J228" t="n">
        <v>0.7184</v>
      </c>
      <c r="K228" t="n">
        <v>0</v>
      </c>
      <c r="L228" t="n">
        <v>0.667</v>
      </c>
      <c r="M228" t="n">
        <v>0.333</v>
      </c>
    </row>
    <row r="229" spans="1:13">
      <c r="A229" s="1">
        <f>HYPERLINK("http://www.twitter.com/NathanBLawrence/status/997516923553419267", "997516923553419267")</f>
        <v/>
      </c>
      <c r="B229" s="2" t="n">
        <v>43238.69377314814</v>
      </c>
      <c r="C229" t="n">
        <v>0</v>
      </c>
      <c r="D229" t="n">
        <v>17836</v>
      </c>
      <c r="E229" t="s">
        <v>240</v>
      </c>
      <c r="F229">
        <f>HYPERLINK("https://video.twimg.com/ext_tw_video/997515433052782592/pu/vid/1280x720/kwZGuEmzbU7629sF.mp4?tag=3", "https://video.twimg.com/ext_tw_video/997515433052782592/pu/vid/1280x720/kwZGuEmzbU7629sF.mp4?tag=3")</f>
        <v/>
      </c>
      <c r="G229" t="s"/>
      <c r="H229" t="s"/>
      <c r="I229" t="s"/>
      <c r="J229" t="n">
        <v>-0.8074</v>
      </c>
      <c r="K229" t="n">
        <v>0.414</v>
      </c>
      <c r="L229" t="n">
        <v>0.409</v>
      </c>
      <c r="M229" t="n">
        <v>0.176</v>
      </c>
    </row>
    <row r="230" spans="1:13">
      <c r="A230" s="1">
        <f>HYPERLINK("http://www.twitter.com/NathanBLawrence/status/997516479712067584", "997516479712067584")</f>
        <v/>
      </c>
      <c r="B230" s="2" t="n">
        <v>43238.6925462963</v>
      </c>
      <c r="C230" t="n">
        <v>0</v>
      </c>
      <c r="D230" t="n">
        <v>265</v>
      </c>
      <c r="E230" t="s">
        <v>241</v>
      </c>
      <c r="F230">
        <f>HYPERLINK("http://pbs.twimg.com/media/Dde0xp8VQAUFizW.jpg", "http://pbs.twimg.com/media/Dde0xp8VQAUFizW.jpg")</f>
        <v/>
      </c>
      <c r="G230" t="s"/>
      <c r="H230" t="s"/>
      <c r="I230" t="s"/>
      <c r="J230" t="n">
        <v>0.5719</v>
      </c>
      <c r="K230" t="n">
        <v>0</v>
      </c>
      <c r="L230" t="n">
        <v>0.856</v>
      </c>
      <c r="M230" t="n">
        <v>0.144</v>
      </c>
    </row>
    <row r="231" spans="1:13">
      <c r="A231" s="1">
        <f>HYPERLINK("http://www.twitter.com/NathanBLawrence/status/997516379715723264", "997516379715723264")</f>
        <v/>
      </c>
      <c r="B231" s="2" t="n">
        <v>43238.69226851852</v>
      </c>
      <c r="C231" t="n">
        <v>0</v>
      </c>
      <c r="D231" t="n">
        <v>133</v>
      </c>
      <c r="E231" t="s">
        <v>242</v>
      </c>
      <c r="F231">
        <f>HYPERLINK("http://pbs.twimg.com/media/DdegBsZW0AEOb2u.jpg", "http://pbs.twimg.com/media/DdegBsZW0AEOb2u.jpg")</f>
        <v/>
      </c>
      <c r="G231" t="s"/>
      <c r="H231" t="s"/>
      <c r="I231" t="s"/>
      <c r="J231" t="n">
        <v>0</v>
      </c>
      <c r="K231" t="n">
        <v>0</v>
      </c>
      <c r="L231" t="n">
        <v>1</v>
      </c>
      <c r="M231" t="n">
        <v>0</v>
      </c>
    </row>
    <row r="232" spans="1:13">
      <c r="A232" s="1">
        <f>HYPERLINK("http://www.twitter.com/NathanBLawrence/status/997516228636893184", "997516228636893184")</f>
        <v/>
      </c>
      <c r="B232" s="2" t="n">
        <v>43238.69185185185</v>
      </c>
      <c r="C232" t="n">
        <v>0</v>
      </c>
      <c r="D232" t="n">
        <v>27</v>
      </c>
      <c r="E232" t="s">
        <v>243</v>
      </c>
      <c r="F232" t="s"/>
      <c r="G232" t="s"/>
      <c r="H232" t="s"/>
      <c r="I232" t="s"/>
      <c r="J232" t="n">
        <v>-0.5106000000000001</v>
      </c>
      <c r="K232" t="n">
        <v>0.171</v>
      </c>
      <c r="L232" t="n">
        <v>0.829</v>
      </c>
      <c r="M232" t="n">
        <v>0</v>
      </c>
    </row>
    <row r="233" spans="1:13">
      <c r="A233" s="1">
        <f>HYPERLINK("http://www.twitter.com/NathanBLawrence/status/997491998566252545", "997491998566252545")</f>
        <v/>
      </c>
      <c r="B233" s="2" t="n">
        <v>43238.62498842592</v>
      </c>
      <c r="C233" t="n">
        <v>0</v>
      </c>
      <c r="D233" t="n">
        <v>90</v>
      </c>
      <c r="E233" t="s">
        <v>244</v>
      </c>
      <c r="F233">
        <f>HYPERLINK("http://pbs.twimg.com/media/DdfLTZrVQAAifVr.jpg", "http://pbs.twimg.com/media/DdfLTZrVQAAifVr.jpg")</f>
        <v/>
      </c>
      <c r="G233" t="s"/>
      <c r="H233" t="s"/>
      <c r="I233" t="s"/>
      <c r="J233" t="n">
        <v>0</v>
      </c>
      <c r="K233" t="n">
        <v>0</v>
      </c>
      <c r="L233" t="n">
        <v>1</v>
      </c>
      <c r="M233" t="n">
        <v>0</v>
      </c>
    </row>
    <row r="234" spans="1:13">
      <c r="A234" s="1">
        <f>HYPERLINK("http://www.twitter.com/NathanBLawrence/status/997491517550931969", "997491517550931969")</f>
        <v/>
      </c>
      <c r="B234" s="2" t="n">
        <v>43238.62365740741</v>
      </c>
      <c r="C234" t="n">
        <v>0</v>
      </c>
      <c r="D234" t="n">
        <v>839</v>
      </c>
      <c r="E234" t="s">
        <v>245</v>
      </c>
      <c r="F234" t="s"/>
      <c r="G234" t="s"/>
      <c r="H234" t="s"/>
      <c r="I234" t="s"/>
      <c r="J234" t="n">
        <v>-0.5423</v>
      </c>
      <c r="K234" t="n">
        <v>0.228</v>
      </c>
      <c r="L234" t="n">
        <v>0.674</v>
      </c>
      <c r="M234" t="n">
        <v>0.097</v>
      </c>
    </row>
    <row r="235" spans="1:13">
      <c r="A235" s="1">
        <f>HYPERLINK("http://www.twitter.com/NathanBLawrence/status/997491001303490562", "997491001303490562")</f>
        <v/>
      </c>
      <c r="B235" s="2" t="n">
        <v>43238.6222337963</v>
      </c>
      <c r="C235" t="n">
        <v>0</v>
      </c>
      <c r="D235" t="n">
        <v>269</v>
      </c>
      <c r="E235" t="s">
        <v>246</v>
      </c>
      <c r="F235" t="s"/>
      <c r="G235" t="s"/>
      <c r="H235" t="s"/>
      <c r="I235" t="s"/>
      <c r="J235" t="n">
        <v>0</v>
      </c>
      <c r="K235" t="n">
        <v>0</v>
      </c>
      <c r="L235" t="n">
        <v>1</v>
      </c>
      <c r="M235" t="n">
        <v>0</v>
      </c>
    </row>
    <row r="236" spans="1:13">
      <c r="A236" s="1">
        <f>HYPERLINK("http://www.twitter.com/NathanBLawrence/status/997488621761556482", "997488621761556482")</f>
        <v/>
      </c>
      <c r="B236" s="2" t="n">
        <v>43238.6156712963</v>
      </c>
      <c r="C236" t="n">
        <v>0</v>
      </c>
      <c r="D236" t="n">
        <v>283</v>
      </c>
      <c r="E236" t="s">
        <v>247</v>
      </c>
      <c r="F236">
        <f>HYPERLINK("http://pbs.twimg.com/media/DdcqFyUU0AAII6-.jpg", "http://pbs.twimg.com/media/DdcqFyUU0AAII6-.jpg")</f>
        <v/>
      </c>
      <c r="G236">
        <f>HYPERLINK("http://pbs.twimg.com/media/DdcqFyXV0AA2Lou.jpg", "http://pbs.twimg.com/media/DdcqFyXV0AA2Lou.jpg")</f>
        <v/>
      </c>
      <c r="H236">
        <f>HYPERLINK("http://pbs.twimg.com/media/DdcqFyaUQAAucfS.jpg", "http://pbs.twimg.com/media/DdcqFyaUQAAucfS.jpg")</f>
        <v/>
      </c>
      <c r="I236">
        <f>HYPERLINK("http://pbs.twimg.com/media/DdcqFyYU8AAD0N4.jpg", "http://pbs.twimg.com/media/DdcqFyYU8AAD0N4.jpg")</f>
        <v/>
      </c>
      <c r="J236" t="n">
        <v>0</v>
      </c>
      <c r="K236" t="n">
        <v>0</v>
      </c>
      <c r="L236" t="n">
        <v>1</v>
      </c>
      <c r="M236" t="n">
        <v>0</v>
      </c>
    </row>
    <row r="237" spans="1:13">
      <c r="A237" s="1">
        <f>HYPERLINK("http://www.twitter.com/NathanBLawrence/status/997485845706891264", "997485845706891264")</f>
        <v/>
      </c>
      <c r="B237" s="2" t="n">
        <v>43238.60800925926</v>
      </c>
      <c r="C237" t="n">
        <v>0</v>
      </c>
      <c r="D237" t="n">
        <v>27114</v>
      </c>
      <c r="E237" t="s">
        <v>248</v>
      </c>
      <c r="F237" t="s"/>
      <c r="G237" t="s"/>
      <c r="H237" t="s"/>
      <c r="I237" t="s"/>
      <c r="J237" t="n">
        <v>0</v>
      </c>
      <c r="K237" t="n">
        <v>0</v>
      </c>
      <c r="L237" t="n">
        <v>1</v>
      </c>
      <c r="M237" t="n">
        <v>0</v>
      </c>
    </row>
    <row r="238" spans="1:13">
      <c r="A238" s="1">
        <f>HYPERLINK("http://www.twitter.com/NathanBLawrence/status/997485187922649089", "997485187922649089")</f>
        <v/>
      </c>
      <c r="B238" s="2" t="n">
        <v>43238.60619212963</v>
      </c>
      <c r="C238" t="n">
        <v>0</v>
      </c>
      <c r="D238" t="n">
        <v>293</v>
      </c>
      <c r="E238" t="s">
        <v>249</v>
      </c>
      <c r="F238" t="s"/>
      <c r="G238" t="s"/>
      <c r="H238" t="s"/>
      <c r="I238" t="s"/>
      <c r="J238" t="n">
        <v>0.4939</v>
      </c>
      <c r="K238" t="n">
        <v>0</v>
      </c>
      <c r="L238" t="n">
        <v>0.826</v>
      </c>
      <c r="M238" t="n">
        <v>0.174</v>
      </c>
    </row>
    <row r="239" spans="1:13">
      <c r="A239" s="1">
        <f>HYPERLINK("http://www.twitter.com/NathanBLawrence/status/997484940613865472", "997484940613865472")</f>
        <v/>
      </c>
      <c r="B239" s="2" t="n">
        <v>43238.60550925926</v>
      </c>
      <c r="C239" t="n">
        <v>0</v>
      </c>
      <c r="D239" t="n">
        <v>151</v>
      </c>
      <c r="E239" t="s">
        <v>250</v>
      </c>
      <c r="F239">
        <f>HYPERLINK("http://pbs.twimg.com/media/DdSXD3HW4AAVIP6.jpg", "http://pbs.twimg.com/media/DdSXD3HW4AAVIP6.jpg")</f>
        <v/>
      </c>
      <c r="G239" t="s"/>
      <c r="H239" t="s"/>
      <c r="I239" t="s"/>
      <c r="J239" t="n">
        <v>0.8622</v>
      </c>
      <c r="K239" t="n">
        <v>0</v>
      </c>
      <c r="L239" t="n">
        <v>0.639</v>
      </c>
      <c r="M239" t="n">
        <v>0.361</v>
      </c>
    </row>
    <row r="240" spans="1:13">
      <c r="A240" s="1">
        <f>HYPERLINK("http://www.twitter.com/NathanBLawrence/status/997484206900072448", "997484206900072448")</f>
        <v/>
      </c>
      <c r="B240" s="2" t="n">
        <v>43238.60348379629</v>
      </c>
      <c r="C240" t="n">
        <v>0</v>
      </c>
      <c r="D240" t="n">
        <v>507</v>
      </c>
      <c r="E240" t="s">
        <v>251</v>
      </c>
      <c r="F240" t="s"/>
      <c r="G240" t="s"/>
      <c r="H240" t="s"/>
      <c r="I240" t="s"/>
      <c r="J240" t="n">
        <v>0.2732</v>
      </c>
      <c r="K240" t="n">
        <v>0</v>
      </c>
      <c r="L240" t="n">
        <v>0.913</v>
      </c>
      <c r="M240" t="n">
        <v>0.08699999999999999</v>
      </c>
    </row>
    <row r="241" spans="1:13">
      <c r="A241" s="1">
        <f>HYPERLINK("http://www.twitter.com/NathanBLawrence/status/997483987550523392", "997483987550523392")</f>
        <v/>
      </c>
      <c r="B241" s="2" t="n">
        <v>43238.60288194445</v>
      </c>
      <c r="C241" t="n">
        <v>0</v>
      </c>
      <c r="D241" t="n">
        <v>669</v>
      </c>
      <c r="E241" t="s">
        <v>252</v>
      </c>
      <c r="F241">
        <f>HYPERLINK("http://pbs.twimg.com/media/DdceiVdW4AAoAtG.jpg", "http://pbs.twimg.com/media/DdceiVdW4AAoAtG.jpg")</f>
        <v/>
      </c>
      <c r="G241" t="s"/>
      <c r="H241" t="s"/>
      <c r="I241" t="s"/>
      <c r="J241" t="n">
        <v>-0.5106000000000001</v>
      </c>
      <c r="K241" t="n">
        <v>0.165</v>
      </c>
      <c r="L241" t="n">
        <v>0.753</v>
      </c>
      <c r="M241" t="n">
        <v>0.082</v>
      </c>
    </row>
    <row r="242" spans="1:13">
      <c r="A242" s="1">
        <f>HYPERLINK("http://www.twitter.com/NathanBLawrence/status/997481715668054016", "997481715668054016")</f>
        <v/>
      </c>
      <c r="B242" s="2" t="n">
        <v>43238.5966087963</v>
      </c>
      <c r="C242" t="n">
        <v>0</v>
      </c>
      <c r="D242" t="n">
        <v>11921</v>
      </c>
      <c r="E242" t="s">
        <v>253</v>
      </c>
      <c r="F242">
        <f>HYPERLINK("http://pbs.twimg.com/media/Dc8bmhwU8AEq-s6.jpg", "http://pbs.twimg.com/media/Dc8bmhwU8AEq-s6.jpg")</f>
        <v/>
      </c>
      <c r="G242">
        <f>HYPERLINK("http://pbs.twimg.com/media/Dc8boJrU8AEMA1r.jpg", "http://pbs.twimg.com/media/Dc8boJrU8AEMA1r.jpg")</f>
        <v/>
      </c>
      <c r="H242" t="s"/>
      <c r="I242" t="s"/>
      <c r="J242" t="n">
        <v>0.5599</v>
      </c>
      <c r="K242" t="n">
        <v>0</v>
      </c>
      <c r="L242" t="n">
        <v>0.853</v>
      </c>
      <c r="M242" t="n">
        <v>0.147</v>
      </c>
    </row>
    <row r="243" spans="1:13">
      <c r="A243" s="1">
        <f>HYPERLINK("http://www.twitter.com/NathanBLawrence/status/997481174414057472", "997481174414057472")</f>
        <v/>
      </c>
      <c r="B243" s="2" t="n">
        <v>43238.59511574074</v>
      </c>
      <c r="C243" t="n">
        <v>0</v>
      </c>
      <c r="D243" t="n">
        <v>165</v>
      </c>
      <c r="E243" t="s">
        <v>254</v>
      </c>
      <c r="F243" t="s"/>
      <c r="G243" t="s"/>
      <c r="H243" t="s"/>
      <c r="I243" t="s"/>
      <c r="J243" t="n">
        <v>-0.0173</v>
      </c>
      <c r="K243" t="n">
        <v>0.132</v>
      </c>
      <c r="L243" t="n">
        <v>0.738</v>
      </c>
      <c r="M243" t="n">
        <v>0.13</v>
      </c>
    </row>
    <row r="244" spans="1:13">
      <c r="A244" s="1">
        <f>HYPERLINK("http://www.twitter.com/NathanBLawrence/status/997473302993129473", "997473302993129473")</f>
        <v/>
      </c>
      <c r="B244" s="2" t="n">
        <v>43238.57340277778</v>
      </c>
      <c r="C244" t="n">
        <v>0</v>
      </c>
      <c r="D244" t="n">
        <v>5427</v>
      </c>
      <c r="E244" t="s">
        <v>255</v>
      </c>
      <c r="F244" t="s"/>
      <c r="G244" t="s"/>
      <c r="H244" t="s"/>
      <c r="I244" t="s"/>
      <c r="J244" t="n">
        <v>0.4939</v>
      </c>
      <c r="K244" t="n">
        <v>0</v>
      </c>
      <c r="L244" t="n">
        <v>0.758</v>
      </c>
      <c r="M244" t="n">
        <v>0.242</v>
      </c>
    </row>
    <row r="245" spans="1:13">
      <c r="A245" s="1">
        <f>HYPERLINK("http://www.twitter.com/NathanBLawrence/status/997473281845399556", "997473281845399556")</f>
        <v/>
      </c>
      <c r="B245" s="2" t="n">
        <v>43238.57334490741</v>
      </c>
      <c r="C245" t="n">
        <v>0</v>
      </c>
      <c r="D245" t="n">
        <v>121</v>
      </c>
      <c r="E245" t="s">
        <v>256</v>
      </c>
      <c r="F245" t="s"/>
      <c r="G245" t="s"/>
      <c r="H245" t="s"/>
      <c r="I245" t="s"/>
      <c r="J245" t="n">
        <v>0</v>
      </c>
      <c r="K245" t="n">
        <v>0</v>
      </c>
      <c r="L245" t="n">
        <v>1</v>
      </c>
      <c r="M245" t="n">
        <v>0</v>
      </c>
    </row>
    <row r="246" spans="1:13">
      <c r="A246" s="1">
        <f>HYPERLINK("http://www.twitter.com/NathanBLawrence/status/997473069626281984", "997473069626281984")</f>
        <v/>
      </c>
      <c r="B246" s="2" t="n">
        <v>43238.57275462963</v>
      </c>
      <c r="C246" t="n">
        <v>0</v>
      </c>
      <c r="D246" t="n">
        <v>467</v>
      </c>
      <c r="E246" t="s">
        <v>257</v>
      </c>
      <c r="F246" t="s"/>
      <c r="G246" t="s"/>
      <c r="H246" t="s"/>
      <c r="I246" t="s"/>
      <c r="J246" t="n">
        <v>0</v>
      </c>
      <c r="K246" t="n">
        <v>0</v>
      </c>
      <c r="L246" t="n">
        <v>1</v>
      </c>
      <c r="M246" t="n">
        <v>0</v>
      </c>
    </row>
    <row r="247" spans="1:13">
      <c r="A247" s="1">
        <f>HYPERLINK("http://www.twitter.com/NathanBLawrence/status/997472839342141441", "997472839342141441")</f>
        <v/>
      </c>
      <c r="B247" s="2" t="n">
        <v>43238.57211805556</v>
      </c>
      <c r="C247" t="n">
        <v>0</v>
      </c>
      <c r="D247" t="n">
        <v>479</v>
      </c>
      <c r="E247" t="s">
        <v>258</v>
      </c>
      <c r="F247" t="s"/>
      <c r="G247" t="s"/>
      <c r="H247" t="s"/>
      <c r="I247" t="s"/>
      <c r="J247" t="n">
        <v>-0.8555</v>
      </c>
      <c r="K247" t="n">
        <v>0.331</v>
      </c>
      <c r="L247" t="n">
        <v>0.669</v>
      </c>
      <c r="M247" t="n">
        <v>0</v>
      </c>
    </row>
    <row r="248" spans="1:13">
      <c r="A248" s="1">
        <f>HYPERLINK("http://www.twitter.com/NathanBLawrence/status/997472423594414080", "997472423594414080")</f>
        <v/>
      </c>
      <c r="B248" s="2" t="n">
        <v>43238.57097222222</v>
      </c>
      <c r="C248" t="n">
        <v>0</v>
      </c>
      <c r="D248" t="n">
        <v>851</v>
      </c>
      <c r="E248" t="s">
        <v>259</v>
      </c>
      <c r="F248">
        <f>HYPERLINK("https://video.twimg.com/amplify_video/997470131914727425/vid/1280x720/ArnVKCJpNB_3iNpi.mp4?tag=2", "https://video.twimg.com/amplify_video/997470131914727425/vid/1280x720/ArnVKCJpNB_3iNpi.mp4?tag=2")</f>
        <v/>
      </c>
      <c r="G248" t="s"/>
      <c r="H248" t="s"/>
      <c r="I248" t="s"/>
      <c r="J248" t="n">
        <v>0.5574</v>
      </c>
      <c r="K248" t="n">
        <v>0</v>
      </c>
      <c r="L248" t="n">
        <v>0.8129999999999999</v>
      </c>
      <c r="M248" t="n">
        <v>0.187</v>
      </c>
    </row>
    <row r="249" spans="1:13">
      <c r="A249" s="1">
        <f>HYPERLINK("http://www.twitter.com/NathanBLawrence/status/997472251564969984", "997472251564969984")</f>
        <v/>
      </c>
      <c r="B249" s="2" t="n">
        <v>43238.57049768518</v>
      </c>
      <c r="C249" t="n">
        <v>0</v>
      </c>
      <c r="D249" t="n">
        <v>269</v>
      </c>
      <c r="E249" t="s">
        <v>260</v>
      </c>
      <c r="F249">
        <f>HYPERLINK("http://pbs.twimg.com/media/DdesQmpUQAIdhsO.jpg", "http://pbs.twimg.com/media/DdesQmpUQAIdhsO.jpg")</f>
        <v/>
      </c>
      <c r="G249" t="s"/>
      <c r="H249" t="s"/>
      <c r="I249" t="s"/>
      <c r="J249" t="n">
        <v>0</v>
      </c>
      <c r="K249" t="n">
        <v>0</v>
      </c>
      <c r="L249" t="n">
        <v>1</v>
      </c>
      <c r="M249" t="n">
        <v>0</v>
      </c>
    </row>
    <row r="250" spans="1:13">
      <c r="A250" s="1">
        <f>HYPERLINK("http://www.twitter.com/NathanBLawrence/status/997472142366334976", "997472142366334976")</f>
        <v/>
      </c>
      <c r="B250" s="2" t="n">
        <v>43238.57019675926</v>
      </c>
      <c r="C250" t="n">
        <v>0</v>
      </c>
      <c r="D250" t="n">
        <v>370</v>
      </c>
      <c r="E250" t="s">
        <v>261</v>
      </c>
      <c r="F250" t="s"/>
      <c r="G250" t="s"/>
      <c r="H250" t="s"/>
      <c r="I250" t="s"/>
      <c r="J250" t="n">
        <v>-0.4466</v>
      </c>
      <c r="K250" t="n">
        <v>0.155</v>
      </c>
      <c r="L250" t="n">
        <v>0.845</v>
      </c>
      <c r="M250" t="n">
        <v>0</v>
      </c>
    </row>
    <row r="251" spans="1:13">
      <c r="A251" s="1">
        <f>HYPERLINK("http://www.twitter.com/NathanBLawrence/status/997472017137000449", "997472017137000449")</f>
        <v/>
      </c>
      <c r="B251" s="2" t="n">
        <v>43238.56984953704</v>
      </c>
      <c r="C251" t="n">
        <v>0</v>
      </c>
      <c r="D251" t="n">
        <v>37</v>
      </c>
      <c r="E251" t="s">
        <v>262</v>
      </c>
      <c r="F251" t="s"/>
      <c r="G251" t="s"/>
      <c r="H251" t="s"/>
      <c r="I251" t="s"/>
      <c r="J251" t="n">
        <v>0</v>
      </c>
      <c r="K251" t="n">
        <v>0</v>
      </c>
      <c r="L251" t="n">
        <v>1</v>
      </c>
      <c r="M251" t="n">
        <v>0</v>
      </c>
    </row>
    <row r="252" spans="1:13">
      <c r="A252" s="1">
        <f>HYPERLINK("http://www.twitter.com/NathanBLawrence/status/997471656644939776", "997471656644939776")</f>
        <v/>
      </c>
      <c r="B252" s="2" t="n">
        <v>43238.56885416667</v>
      </c>
      <c r="C252" t="n">
        <v>0</v>
      </c>
      <c r="D252" t="n">
        <v>1</v>
      </c>
      <c r="E252" t="s">
        <v>263</v>
      </c>
      <c r="F252" t="s"/>
      <c r="G252" t="s"/>
      <c r="H252" t="s"/>
      <c r="I252" t="s"/>
      <c r="J252" t="n">
        <v>-0.5766</v>
      </c>
      <c r="K252" t="n">
        <v>0.199</v>
      </c>
      <c r="L252" t="n">
        <v>0.801</v>
      </c>
      <c r="M252" t="n">
        <v>0</v>
      </c>
    </row>
    <row r="253" spans="1:13">
      <c r="A253" s="1">
        <f>HYPERLINK("http://www.twitter.com/NathanBLawrence/status/997471264221679616", "997471264221679616")</f>
        <v/>
      </c>
      <c r="B253" s="2" t="n">
        <v>43238.56777777777</v>
      </c>
      <c r="C253" t="n">
        <v>0</v>
      </c>
      <c r="D253" t="n">
        <v>6</v>
      </c>
      <c r="E253" t="s">
        <v>264</v>
      </c>
      <c r="F253">
        <f>HYPERLINK("http://pbs.twimg.com/media/Dde5V2iV0AYPFA5.jpg", "http://pbs.twimg.com/media/Dde5V2iV0AYPFA5.jpg")</f>
        <v/>
      </c>
      <c r="G253" t="s"/>
      <c r="H253" t="s"/>
      <c r="I253" t="s"/>
      <c r="J253" t="n">
        <v>0.2732</v>
      </c>
      <c r="K253" t="n">
        <v>0</v>
      </c>
      <c r="L253" t="n">
        <v>0.861</v>
      </c>
      <c r="M253" t="n">
        <v>0.139</v>
      </c>
    </row>
    <row r="254" spans="1:13">
      <c r="A254" s="1">
        <f>HYPERLINK("http://www.twitter.com/NathanBLawrence/status/997471220684787717", "997471220684787717")</f>
        <v/>
      </c>
      <c r="B254" s="2" t="n">
        <v>43238.56765046297</v>
      </c>
      <c r="C254" t="n">
        <v>0</v>
      </c>
      <c r="D254" t="n">
        <v>21453</v>
      </c>
      <c r="E254" t="s">
        <v>265</v>
      </c>
      <c r="F254" t="s"/>
      <c r="G254" t="s"/>
      <c r="H254" t="s"/>
      <c r="I254" t="s"/>
      <c r="J254" t="n">
        <v>0</v>
      </c>
      <c r="K254" t="n">
        <v>0</v>
      </c>
      <c r="L254" t="n">
        <v>1</v>
      </c>
      <c r="M254" t="n">
        <v>0</v>
      </c>
    </row>
    <row r="255" spans="1:13">
      <c r="A255" s="1">
        <f>HYPERLINK("http://www.twitter.com/NathanBLawrence/status/997470690864443392", "997470690864443392")</f>
        <v/>
      </c>
      <c r="B255" s="2" t="n">
        <v>43238.56619212963</v>
      </c>
      <c r="C255" t="n">
        <v>0</v>
      </c>
      <c r="D255" t="n">
        <v>125</v>
      </c>
      <c r="E255" t="s">
        <v>266</v>
      </c>
      <c r="F255">
        <f>HYPERLINK("http://pbs.twimg.com/media/Dde5B9xVwAAIGQG.jpg", "http://pbs.twimg.com/media/Dde5B9xVwAAIGQG.jpg")</f>
        <v/>
      </c>
      <c r="G255">
        <f>HYPERLINK("http://pbs.twimg.com/media/Dde5B9vUwAAiShx.jpg", "http://pbs.twimg.com/media/Dde5B9vUwAAiShx.jpg")</f>
        <v/>
      </c>
      <c r="H255" t="s"/>
      <c r="I255" t="s"/>
      <c r="J255" t="n">
        <v>0</v>
      </c>
      <c r="K255" t="n">
        <v>0</v>
      </c>
      <c r="L255" t="n">
        <v>1</v>
      </c>
      <c r="M255" t="n">
        <v>0</v>
      </c>
    </row>
    <row r="256" spans="1:13">
      <c r="A256" s="1">
        <f>HYPERLINK("http://www.twitter.com/NathanBLawrence/status/997469392974893062", "997469392974893062")</f>
        <v/>
      </c>
      <c r="B256" s="2" t="n">
        <v>43238.56261574074</v>
      </c>
      <c r="C256" t="n">
        <v>0</v>
      </c>
      <c r="D256" t="n">
        <v>220</v>
      </c>
      <c r="E256" t="s">
        <v>267</v>
      </c>
      <c r="F256" t="s"/>
      <c r="G256" t="s"/>
      <c r="H256" t="s"/>
      <c r="I256" t="s"/>
      <c r="J256" t="n">
        <v>0.6115</v>
      </c>
      <c r="K256" t="n">
        <v>0</v>
      </c>
      <c r="L256" t="n">
        <v>0.75</v>
      </c>
      <c r="M256" t="n">
        <v>0.25</v>
      </c>
    </row>
    <row r="257" spans="1:13">
      <c r="A257" s="1">
        <f>HYPERLINK("http://www.twitter.com/NathanBLawrence/status/997469235117993985", "997469235117993985")</f>
        <v/>
      </c>
      <c r="B257" s="2" t="n">
        <v>43238.56217592592</v>
      </c>
      <c r="C257" t="n">
        <v>0</v>
      </c>
      <c r="D257" t="n">
        <v>448</v>
      </c>
      <c r="E257" t="s">
        <v>268</v>
      </c>
      <c r="F257">
        <f>HYPERLINK("https://video.twimg.com/ext_tw_video/997274955975815168/pu/vid/1280x720/Duh8PlOwTDkozD1n.mp4?tag=3", "https://video.twimg.com/ext_tw_video/997274955975815168/pu/vid/1280x720/Duh8PlOwTDkozD1n.mp4?tag=3")</f>
        <v/>
      </c>
      <c r="G257" t="s"/>
      <c r="H257" t="s"/>
      <c r="I257" t="s"/>
      <c r="J257" t="n">
        <v>0</v>
      </c>
      <c r="K257" t="n">
        <v>0</v>
      </c>
      <c r="L257" t="n">
        <v>1</v>
      </c>
      <c r="M257" t="n">
        <v>0</v>
      </c>
    </row>
    <row r="258" spans="1:13">
      <c r="A258" s="1">
        <f>HYPERLINK("http://www.twitter.com/NathanBLawrence/status/997468435952164864", "997468435952164864")</f>
        <v/>
      </c>
      <c r="B258" s="2" t="n">
        <v>43238.55996527777</v>
      </c>
      <c r="C258" t="n">
        <v>0</v>
      </c>
      <c r="D258" t="n">
        <v>1</v>
      </c>
      <c r="E258" t="s">
        <v>269</v>
      </c>
      <c r="F258" t="s"/>
      <c r="G258" t="s"/>
      <c r="H258" t="s"/>
      <c r="I258" t="s"/>
      <c r="J258" t="n">
        <v>0</v>
      </c>
      <c r="K258" t="n">
        <v>0</v>
      </c>
      <c r="L258" t="n">
        <v>1</v>
      </c>
      <c r="M258" t="n">
        <v>0</v>
      </c>
    </row>
    <row r="259" spans="1:13">
      <c r="A259" s="1">
        <f>HYPERLINK("http://www.twitter.com/NathanBLawrence/status/997299040122490881", "997299040122490881")</f>
        <v/>
      </c>
      <c r="B259" s="2" t="n">
        <v>43238.09252314815</v>
      </c>
      <c r="C259" t="n">
        <v>0</v>
      </c>
      <c r="D259" t="n">
        <v>30</v>
      </c>
      <c r="E259" t="s">
        <v>270</v>
      </c>
      <c r="F259" t="s"/>
      <c r="G259" t="s"/>
      <c r="H259" t="s"/>
      <c r="I259" t="s"/>
      <c r="J259" t="n">
        <v>0</v>
      </c>
      <c r="K259" t="n">
        <v>0</v>
      </c>
      <c r="L259" t="n">
        <v>1</v>
      </c>
      <c r="M259" t="n">
        <v>0</v>
      </c>
    </row>
    <row r="260" spans="1:13">
      <c r="A260" s="1">
        <f>HYPERLINK("http://www.twitter.com/NathanBLawrence/status/997298178667016192", "997298178667016192")</f>
        <v/>
      </c>
      <c r="B260" s="2" t="n">
        <v>43238.09015046297</v>
      </c>
      <c r="C260" t="n">
        <v>0</v>
      </c>
      <c r="D260" t="n">
        <v>195</v>
      </c>
      <c r="E260" t="s">
        <v>271</v>
      </c>
      <c r="F260">
        <f>HYPERLINK("https://video.twimg.com/ext_tw_video/997045093721919488/pu/vid/1280x720/Na1_lTKbCZJxgvPZ.mp4?tag=3", "https://video.twimg.com/ext_tw_video/997045093721919488/pu/vid/1280x720/Na1_lTKbCZJxgvPZ.mp4?tag=3")</f>
        <v/>
      </c>
      <c r="G260" t="s"/>
      <c r="H260" t="s"/>
      <c r="I260" t="s"/>
      <c r="J260" t="n">
        <v>-0.4043</v>
      </c>
      <c r="K260" t="n">
        <v>0.224</v>
      </c>
      <c r="L260" t="n">
        <v>0.623</v>
      </c>
      <c r="M260" t="n">
        <v>0.153</v>
      </c>
    </row>
    <row r="261" spans="1:13">
      <c r="A261" s="1">
        <f>HYPERLINK("http://www.twitter.com/NathanBLawrence/status/997296346028761088", "997296346028761088")</f>
        <v/>
      </c>
      <c r="B261" s="2" t="n">
        <v>43238.08509259259</v>
      </c>
      <c r="C261" t="n">
        <v>0</v>
      </c>
      <c r="D261" t="n">
        <v>888</v>
      </c>
      <c r="E261" t="s">
        <v>272</v>
      </c>
      <c r="F261">
        <f>HYPERLINK("https://video.twimg.com/ext_tw_video/997289567983161345/pu/vid/1280x720/eTmKWjgdrcj95lhe.mp4?tag=3", "https://video.twimg.com/ext_tw_video/997289567983161345/pu/vid/1280x720/eTmKWjgdrcj95lhe.mp4?tag=3")</f>
        <v/>
      </c>
      <c r="G261" t="s"/>
      <c r="H261" t="s"/>
      <c r="I261" t="s"/>
      <c r="J261" t="n">
        <v>0</v>
      </c>
      <c r="K261" t="n">
        <v>0</v>
      </c>
      <c r="L261" t="n">
        <v>1</v>
      </c>
      <c r="M261" t="n">
        <v>0</v>
      </c>
    </row>
    <row r="262" spans="1:13">
      <c r="A262" s="1">
        <f>HYPERLINK("http://www.twitter.com/NathanBLawrence/status/997296303745982470", "997296303745982470")</f>
        <v/>
      </c>
      <c r="B262" s="2" t="n">
        <v>43238.08497685185</v>
      </c>
      <c r="C262" t="n">
        <v>0</v>
      </c>
      <c r="D262" t="n">
        <v>19</v>
      </c>
      <c r="E262" t="s">
        <v>273</v>
      </c>
      <c r="F262" t="s"/>
      <c r="G262" t="s"/>
      <c r="H262" t="s"/>
      <c r="I262" t="s"/>
      <c r="J262" t="n">
        <v>0</v>
      </c>
      <c r="K262" t="n">
        <v>0</v>
      </c>
      <c r="L262" t="n">
        <v>1</v>
      </c>
      <c r="M262" t="n">
        <v>0</v>
      </c>
    </row>
    <row r="263" spans="1:13">
      <c r="A263" s="1">
        <f>HYPERLINK("http://www.twitter.com/NathanBLawrence/status/997295667008688134", "997295667008688134")</f>
        <v/>
      </c>
      <c r="B263" s="2" t="n">
        <v>43238.08321759259</v>
      </c>
      <c r="C263" t="n">
        <v>0</v>
      </c>
      <c r="D263" t="n">
        <v>1826</v>
      </c>
      <c r="E263" t="s">
        <v>274</v>
      </c>
      <c r="F263" t="s"/>
      <c r="G263" t="s"/>
      <c r="H263" t="s"/>
      <c r="I263" t="s"/>
      <c r="J263" t="n">
        <v>0.3612</v>
      </c>
      <c r="K263" t="n">
        <v>0</v>
      </c>
      <c r="L263" t="n">
        <v>0.889</v>
      </c>
      <c r="M263" t="n">
        <v>0.111</v>
      </c>
    </row>
    <row r="264" spans="1:13">
      <c r="A264" s="1">
        <f>HYPERLINK("http://www.twitter.com/NathanBLawrence/status/997294578179936256", "997294578179936256")</f>
        <v/>
      </c>
      <c r="B264" s="2" t="n">
        <v>43238.08020833333</v>
      </c>
      <c r="C264" t="n">
        <v>0</v>
      </c>
      <c r="D264" t="n">
        <v>2054</v>
      </c>
      <c r="E264" t="s">
        <v>275</v>
      </c>
      <c r="F264" t="s"/>
      <c r="G264" t="s"/>
      <c r="H264" t="s"/>
      <c r="I264" t="s"/>
      <c r="J264" t="n">
        <v>0</v>
      </c>
      <c r="K264" t="n">
        <v>0</v>
      </c>
      <c r="L264" t="n">
        <v>1</v>
      </c>
      <c r="M264" t="n">
        <v>0</v>
      </c>
    </row>
    <row r="265" spans="1:13">
      <c r="A265" s="1">
        <f>HYPERLINK("http://www.twitter.com/NathanBLawrence/status/997294286839386112", "997294286839386112")</f>
        <v/>
      </c>
      <c r="B265" s="2" t="n">
        <v>43238.07940972222</v>
      </c>
      <c r="C265" t="n">
        <v>0</v>
      </c>
      <c r="D265" t="n">
        <v>14335</v>
      </c>
      <c r="E265" t="s">
        <v>276</v>
      </c>
      <c r="F265" t="s"/>
      <c r="G265" t="s"/>
      <c r="H265" t="s"/>
      <c r="I265" t="s"/>
      <c r="J265" t="n">
        <v>0.7184</v>
      </c>
      <c r="K265" t="n">
        <v>0</v>
      </c>
      <c r="L265" t="n">
        <v>0.76</v>
      </c>
      <c r="M265" t="n">
        <v>0.24</v>
      </c>
    </row>
    <row r="266" spans="1:13">
      <c r="A266" s="1">
        <f>HYPERLINK("http://www.twitter.com/NathanBLawrence/status/997294177108025346", "997294177108025346")</f>
        <v/>
      </c>
      <c r="B266" s="2" t="n">
        <v>43238.07910879629</v>
      </c>
      <c r="C266" t="n">
        <v>0</v>
      </c>
      <c r="D266" t="n">
        <v>212</v>
      </c>
      <c r="E266" t="s">
        <v>277</v>
      </c>
      <c r="F266" t="s"/>
      <c r="G266" t="s"/>
      <c r="H266" t="s"/>
      <c r="I266" t="s"/>
      <c r="J266" t="n">
        <v>0.5473</v>
      </c>
      <c r="K266" t="n">
        <v>0.065</v>
      </c>
      <c r="L266" t="n">
        <v>0.75</v>
      </c>
      <c r="M266" t="n">
        <v>0.185</v>
      </c>
    </row>
    <row r="267" spans="1:13">
      <c r="A267" s="1">
        <f>HYPERLINK("http://www.twitter.com/NathanBLawrence/status/997292126248595461", "997292126248595461")</f>
        <v/>
      </c>
      <c r="B267" s="2" t="n">
        <v>43238.07344907407</v>
      </c>
      <c r="C267" t="n">
        <v>0</v>
      </c>
      <c r="D267" t="n">
        <v>279</v>
      </c>
      <c r="E267" t="s">
        <v>278</v>
      </c>
      <c r="F267" t="s"/>
      <c r="G267" t="s"/>
      <c r="H267" t="s"/>
      <c r="I267" t="s"/>
      <c r="J267" t="n">
        <v>-0.1926</v>
      </c>
      <c r="K267" t="n">
        <v>0.094</v>
      </c>
      <c r="L267" t="n">
        <v>0.906</v>
      </c>
      <c r="M267" t="n">
        <v>0</v>
      </c>
    </row>
    <row r="268" spans="1:13">
      <c r="A268" s="1">
        <f>HYPERLINK("http://www.twitter.com/NathanBLawrence/status/997291361115176960", "997291361115176960")</f>
        <v/>
      </c>
      <c r="B268" s="2" t="n">
        <v>43238.07133101852</v>
      </c>
      <c r="C268" t="n">
        <v>0</v>
      </c>
      <c r="D268" t="n">
        <v>2577</v>
      </c>
      <c r="E268" t="s">
        <v>279</v>
      </c>
      <c r="F268" t="s"/>
      <c r="G268" t="s"/>
      <c r="H268" t="s"/>
      <c r="I268" t="s"/>
      <c r="J268" t="n">
        <v>0.5346</v>
      </c>
      <c r="K268" t="n">
        <v>0.119</v>
      </c>
      <c r="L268" t="n">
        <v>0.611</v>
      </c>
      <c r="M268" t="n">
        <v>0.27</v>
      </c>
    </row>
    <row r="269" spans="1:13">
      <c r="A269" s="1">
        <f>HYPERLINK("http://www.twitter.com/NathanBLawrence/status/997290142644686848", "997290142644686848")</f>
        <v/>
      </c>
      <c r="B269" s="2" t="n">
        <v>43238.06797453704</v>
      </c>
      <c r="C269" t="n">
        <v>0</v>
      </c>
      <c r="D269" t="n">
        <v>4146</v>
      </c>
      <c r="E269" t="s">
        <v>280</v>
      </c>
      <c r="F269" t="s"/>
      <c r="G269" t="s"/>
      <c r="H269" t="s"/>
      <c r="I269" t="s"/>
      <c r="J269" t="n">
        <v>0.5266999999999999</v>
      </c>
      <c r="K269" t="n">
        <v>0</v>
      </c>
      <c r="L269" t="n">
        <v>0.841</v>
      </c>
      <c r="M269" t="n">
        <v>0.159</v>
      </c>
    </row>
    <row r="270" spans="1:13">
      <c r="A270" s="1">
        <f>HYPERLINK("http://www.twitter.com/NathanBLawrence/status/997287688272334848", "997287688272334848")</f>
        <v/>
      </c>
      <c r="B270" s="2" t="n">
        <v>43238.06120370371</v>
      </c>
      <c r="C270" t="n">
        <v>0</v>
      </c>
      <c r="D270" t="n">
        <v>704</v>
      </c>
      <c r="E270" t="s">
        <v>281</v>
      </c>
      <c r="F270" t="s"/>
      <c r="G270" t="s"/>
      <c r="H270" t="s"/>
      <c r="I270" t="s"/>
      <c r="J270" t="n">
        <v>0</v>
      </c>
      <c r="K270" t="n">
        <v>0</v>
      </c>
      <c r="L270" t="n">
        <v>1</v>
      </c>
      <c r="M270" t="n">
        <v>0</v>
      </c>
    </row>
    <row r="271" spans="1:13">
      <c r="A271" s="1">
        <f>HYPERLINK("http://www.twitter.com/NathanBLawrence/status/997287441710092288", "997287441710092288")</f>
        <v/>
      </c>
      <c r="B271" s="2" t="n">
        <v>43238.06052083334</v>
      </c>
      <c r="C271" t="n">
        <v>0</v>
      </c>
      <c r="D271" t="n">
        <v>5196</v>
      </c>
      <c r="E271" t="s">
        <v>282</v>
      </c>
      <c r="F271">
        <f>HYPERLINK("http://pbs.twimg.com/media/DdcMaiJW4AASIqr.jpg", "http://pbs.twimg.com/media/DdcMaiJW4AASIqr.jpg")</f>
        <v/>
      </c>
      <c r="G271" t="s"/>
      <c r="H271" t="s"/>
      <c r="I271" t="s"/>
      <c r="J271" t="n">
        <v>0.6588000000000001</v>
      </c>
      <c r="K271" t="n">
        <v>0</v>
      </c>
      <c r="L271" t="n">
        <v>0.695</v>
      </c>
      <c r="M271" t="n">
        <v>0.305</v>
      </c>
    </row>
    <row r="272" spans="1:13">
      <c r="A272" s="1">
        <f>HYPERLINK("http://www.twitter.com/NathanBLawrence/status/997283693092835328", "997283693092835328")</f>
        <v/>
      </c>
      <c r="B272" s="2" t="n">
        <v>43238.05017361111</v>
      </c>
      <c r="C272" t="n">
        <v>0</v>
      </c>
      <c r="D272" t="n">
        <v>337</v>
      </c>
      <c r="E272" t="s">
        <v>283</v>
      </c>
      <c r="F272">
        <f>HYPERLINK("https://video.twimg.com/ext_tw_video/997278040966254592/pu/vid/1280x720/X1WCc5pPLDwL98mg.mp4?tag=3", "https://video.twimg.com/ext_tw_video/997278040966254592/pu/vid/1280x720/X1WCc5pPLDwL98mg.mp4?tag=3")</f>
        <v/>
      </c>
      <c r="G272" t="s"/>
      <c r="H272" t="s"/>
      <c r="I272" t="s"/>
      <c r="J272" t="n">
        <v>-0.4912</v>
      </c>
      <c r="K272" t="n">
        <v>0.155</v>
      </c>
      <c r="L272" t="n">
        <v>0.776</v>
      </c>
      <c r="M272" t="n">
        <v>0.07000000000000001</v>
      </c>
    </row>
    <row r="273" spans="1:13">
      <c r="A273" s="1">
        <f>HYPERLINK("http://www.twitter.com/NathanBLawrence/status/997282569694732292", "997282569694732292")</f>
        <v/>
      </c>
      <c r="B273" s="2" t="n">
        <v>43238.04707175926</v>
      </c>
      <c r="C273" t="n">
        <v>0</v>
      </c>
      <c r="D273" t="n">
        <v>273</v>
      </c>
      <c r="E273" t="s">
        <v>284</v>
      </c>
      <c r="F273">
        <f>HYPERLINK("https://video.twimg.com/amplify_video/997161145898295296/vid/1280x720/w36OOJRYGXENv-8R.mp4?tag=2", "https://video.twimg.com/amplify_video/997161145898295296/vid/1280x720/w36OOJRYGXENv-8R.mp4?tag=2")</f>
        <v/>
      </c>
      <c r="G273" t="s"/>
      <c r="H273" t="s"/>
      <c r="I273" t="s"/>
      <c r="J273" t="n">
        <v>-0.4588</v>
      </c>
      <c r="K273" t="n">
        <v>0.235</v>
      </c>
      <c r="L273" t="n">
        <v>0.765</v>
      </c>
      <c r="M273" t="n">
        <v>0</v>
      </c>
    </row>
    <row r="274" spans="1:13">
      <c r="A274" s="1">
        <f>HYPERLINK("http://www.twitter.com/NathanBLawrence/status/997282325120643073", "997282325120643073")</f>
        <v/>
      </c>
      <c r="B274" s="2" t="n">
        <v>43238.04640046296</v>
      </c>
      <c r="C274" t="n">
        <v>0</v>
      </c>
      <c r="D274" t="n">
        <v>37869</v>
      </c>
      <c r="E274" t="s">
        <v>285</v>
      </c>
      <c r="F274">
        <f>HYPERLINK("https://video.twimg.com/amplify_video/997254877536337920/vid/1280x720/TSJtH8_nin4tftoO.mp4?tag=2", "https://video.twimg.com/amplify_video/997254877536337920/vid/1280x720/TSJtH8_nin4tftoO.mp4?tag=2")</f>
        <v/>
      </c>
      <c r="G274" t="s"/>
      <c r="H274" t="s"/>
      <c r="I274" t="s"/>
      <c r="J274" t="n">
        <v>0</v>
      </c>
      <c r="K274" t="n">
        <v>0</v>
      </c>
      <c r="L274" t="n">
        <v>1</v>
      </c>
      <c r="M274" t="n">
        <v>0</v>
      </c>
    </row>
    <row r="275" spans="1:13">
      <c r="A275" s="1">
        <f>HYPERLINK("http://www.twitter.com/NathanBLawrence/status/997272039336697856", "997272039336697856")</f>
        <v/>
      </c>
      <c r="B275" s="2" t="n">
        <v>43238.01802083333</v>
      </c>
      <c r="C275" t="n">
        <v>0</v>
      </c>
      <c r="D275" t="n">
        <v>513</v>
      </c>
      <c r="E275" t="s">
        <v>286</v>
      </c>
      <c r="F275">
        <f>HYPERLINK("http://pbs.twimg.com/media/DdbyrESV4AALx1y.jpg", "http://pbs.twimg.com/media/DdbyrESV4AALx1y.jpg")</f>
        <v/>
      </c>
      <c r="G275" t="s"/>
      <c r="H275" t="s"/>
      <c r="I275" t="s"/>
      <c r="J275" t="n">
        <v>0.6808</v>
      </c>
      <c r="K275" t="n">
        <v>0</v>
      </c>
      <c r="L275" t="n">
        <v>0.708</v>
      </c>
      <c r="M275" t="n">
        <v>0.292</v>
      </c>
    </row>
    <row r="276" spans="1:13">
      <c r="A276" s="1">
        <f>HYPERLINK("http://www.twitter.com/NathanBLawrence/status/997271774583762944", "997271774583762944")</f>
        <v/>
      </c>
      <c r="B276" s="2" t="n">
        <v>43238.01729166666</v>
      </c>
      <c r="C276" t="n">
        <v>0</v>
      </c>
      <c r="D276" t="n">
        <v>81</v>
      </c>
      <c r="E276" t="s">
        <v>287</v>
      </c>
      <c r="F276">
        <f>HYPERLINK("http://pbs.twimg.com/media/Ddb_iZuWsAAxMP6.jpg", "http://pbs.twimg.com/media/Ddb_iZuWsAAxMP6.jpg")</f>
        <v/>
      </c>
      <c r="G276" t="s"/>
      <c r="H276" t="s"/>
      <c r="I276" t="s"/>
      <c r="J276" t="n">
        <v>0.4588</v>
      </c>
      <c r="K276" t="n">
        <v>0</v>
      </c>
      <c r="L276" t="n">
        <v>0.7</v>
      </c>
      <c r="M276" t="n">
        <v>0.3</v>
      </c>
    </row>
    <row r="277" spans="1:13">
      <c r="A277" s="1">
        <f>HYPERLINK("http://www.twitter.com/NathanBLawrence/status/997271404050399233", "997271404050399233")</f>
        <v/>
      </c>
      <c r="B277" s="2" t="n">
        <v>43238.01626157408</v>
      </c>
      <c r="C277" t="n">
        <v>0</v>
      </c>
      <c r="D277" t="n">
        <v>214</v>
      </c>
      <c r="E277" t="s">
        <v>288</v>
      </c>
      <c r="F277">
        <f>HYPERLINK("http://pbs.twimg.com/media/Ddb5YefVwAAsXmc.jpg", "http://pbs.twimg.com/media/Ddb5YefVwAAsXmc.jpg")</f>
        <v/>
      </c>
      <c r="G277" t="s"/>
      <c r="H277" t="s"/>
      <c r="I277" t="s"/>
      <c r="J277" t="n">
        <v>0.5983000000000001</v>
      </c>
      <c r="K277" t="n">
        <v>0</v>
      </c>
      <c r="L277" t="n">
        <v>0.8139999999999999</v>
      </c>
      <c r="M277" t="n">
        <v>0.186</v>
      </c>
    </row>
    <row r="278" spans="1:13">
      <c r="A278" s="1">
        <f>HYPERLINK("http://www.twitter.com/NathanBLawrence/status/997270693069795328", "997270693069795328")</f>
        <v/>
      </c>
      <c r="B278" s="2" t="n">
        <v>43238.01430555555</v>
      </c>
      <c r="C278" t="n">
        <v>0</v>
      </c>
      <c r="D278" t="n">
        <v>174</v>
      </c>
      <c r="E278" t="s">
        <v>289</v>
      </c>
      <c r="F278">
        <f>HYPERLINK("http://pbs.twimg.com/media/DdWZd2cXcAAbk0m.jpg", "http://pbs.twimg.com/media/DdWZd2cXcAAbk0m.jpg")</f>
        <v/>
      </c>
      <c r="G278" t="s"/>
      <c r="H278" t="s"/>
      <c r="I278" t="s"/>
      <c r="J278" t="n">
        <v>0</v>
      </c>
      <c r="K278" t="n">
        <v>0</v>
      </c>
      <c r="L278" t="n">
        <v>1</v>
      </c>
      <c r="M278" t="n">
        <v>0</v>
      </c>
    </row>
    <row r="279" spans="1:13">
      <c r="A279" s="1">
        <f>HYPERLINK("http://www.twitter.com/NathanBLawrence/status/997246444737150976", "997246444737150976")</f>
        <v/>
      </c>
      <c r="B279" s="2" t="n">
        <v>43237.94739583333</v>
      </c>
      <c r="C279" t="n">
        <v>0</v>
      </c>
      <c r="D279" t="n">
        <v>454</v>
      </c>
      <c r="E279" t="s">
        <v>290</v>
      </c>
      <c r="F279" t="s"/>
      <c r="G279" t="s"/>
      <c r="H279" t="s"/>
      <c r="I279" t="s"/>
      <c r="J279" t="n">
        <v>-0.4466</v>
      </c>
      <c r="K279" t="n">
        <v>0.174</v>
      </c>
      <c r="L279" t="n">
        <v>0.721</v>
      </c>
      <c r="M279" t="n">
        <v>0.105</v>
      </c>
    </row>
    <row r="280" spans="1:13">
      <c r="A280" s="1">
        <f>HYPERLINK("http://www.twitter.com/NathanBLawrence/status/997244865200164866", "997244865200164866")</f>
        <v/>
      </c>
      <c r="B280" s="2" t="n">
        <v>43237.94303240741</v>
      </c>
      <c r="C280" t="n">
        <v>0</v>
      </c>
      <c r="D280" t="n">
        <v>606</v>
      </c>
      <c r="E280" t="s">
        <v>291</v>
      </c>
      <c r="F280" t="s"/>
      <c r="G280" t="s"/>
      <c r="H280" t="s"/>
      <c r="I280" t="s"/>
      <c r="J280" t="n">
        <v>0.296</v>
      </c>
      <c r="K280" t="n">
        <v>0</v>
      </c>
      <c r="L280" t="n">
        <v>0.885</v>
      </c>
      <c r="M280" t="n">
        <v>0.115</v>
      </c>
    </row>
    <row r="281" spans="1:13">
      <c r="A281" s="1">
        <f>HYPERLINK("http://www.twitter.com/NathanBLawrence/status/997244712233955328", "997244712233955328")</f>
        <v/>
      </c>
      <c r="B281" s="2" t="n">
        <v>43237.94260416667</v>
      </c>
      <c r="C281" t="n">
        <v>0</v>
      </c>
      <c r="D281" t="n">
        <v>98</v>
      </c>
      <c r="E281" t="s">
        <v>292</v>
      </c>
      <c r="F281">
        <f>HYPERLINK("http://pbs.twimg.com/media/DdVEmgIXUAAALOt.jpg", "http://pbs.twimg.com/media/DdVEmgIXUAAALOt.jpg")</f>
        <v/>
      </c>
      <c r="G281" t="s"/>
      <c r="H281" t="s"/>
      <c r="I281" t="s"/>
      <c r="J281" t="n">
        <v>0.4588</v>
      </c>
      <c r="K281" t="n">
        <v>0</v>
      </c>
      <c r="L281" t="n">
        <v>0.727</v>
      </c>
      <c r="M281" t="n">
        <v>0.273</v>
      </c>
    </row>
    <row r="282" spans="1:13">
      <c r="A282" s="1">
        <f>HYPERLINK("http://www.twitter.com/NathanBLawrence/status/997208828348387328", "997208828348387328")</f>
        <v/>
      </c>
      <c r="B282" s="2" t="n">
        <v>43237.84358796296</v>
      </c>
      <c r="C282" t="n">
        <v>0</v>
      </c>
      <c r="D282" t="n">
        <v>397</v>
      </c>
      <c r="E282" t="s">
        <v>293</v>
      </c>
      <c r="F282">
        <f>HYPERLINK("http://pbs.twimg.com/media/DdaCYJyVQAA-xhA.jpg", "http://pbs.twimg.com/media/DdaCYJyVQAA-xhA.jpg")</f>
        <v/>
      </c>
      <c r="G282" t="s"/>
      <c r="H282" t="s"/>
      <c r="I282" t="s"/>
      <c r="J282" t="n">
        <v>-0.5815</v>
      </c>
      <c r="K282" t="n">
        <v>0.212</v>
      </c>
      <c r="L282" t="n">
        <v>0.788</v>
      </c>
      <c r="M282" t="n">
        <v>0</v>
      </c>
    </row>
    <row r="283" spans="1:13">
      <c r="A283" s="1">
        <f>HYPERLINK("http://www.twitter.com/NathanBLawrence/status/997208609103761408", "997208609103761408")</f>
        <v/>
      </c>
      <c r="B283" s="2" t="n">
        <v>43237.84298611111</v>
      </c>
      <c r="C283" t="n">
        <v>0</v>
      </c>
      <c r="D283" t="n">
        <v>1817</v>
      </c>
      <c r="E283" t="s">
        <v>294</v>
      </c>
      <c r="F283" t="s"/>
      <c r="G283" t="s"/>
      <c r="H283" t="s"/>
      <c r="I283" t="s"/>
      <c r="J283" t="n">
        <v>0</v>
      </c>
      <c r="K283" t="n">
        <v>0</v>
      </c>
      <c r="L283" t="n">
        <v>1</v>
      </c>
      <c r="M283" t="n">
        <v>0</v>
      </c>
    </row>
    <row r="284" spans="1:13">
      <c r="A284" s="1">
        <f>HYPERLINK("http://www.twitter.com/NathanBLawrence/status/997208072627113984", "997208072627113984")</f>
        <v/>
      </c>
      <c r="B284" s="2" t="n">
        <v>43237.84150462963</v>
      </c>
      <c r="C284" t="n">
        <v>0</v>
      </c>
      <c r="D284" t="n">
        <v>6</v>
      </c>
      <c r="E284" t="s">
        <v>295</v>
      </c>
      <c r="F284" t="s"/>
      <c r="G284" t="s"/>
      <c r="H284" t="s"/>
      <c r="I284" t="s"/>
      <c r="J284" t="n">
        <v>-0.296</v>
      </c>
      <c r="K284" t="n">
        <v>0.178</v>
      </c>
      <c r="L284" t="n">
        <v>0.696</v>
      </c>
      <c r="M284" t="n">
        <v>0.126</v>
      </c>
    </row>
    <row r="285" spans="1:13">
      <c r="A285" s="1">
        <f>HYPERLINK("http://www.twitter.com/NathanBLawrence/status/997207824743706624", "997207824743706624")</f>
        <v/>
      </c>
      <c r="B285" s="2" t="n">
        <v>43237.84082175926</v>
      </c>
      <c r="C285" t="n">
        <v>0</v>
      </c>
      <c r="D285" t="n">
        <v>633</v>
      </c>
      <c r="E285" t="s">
        <v>296</v>
      </c>
      <c r="F285" t="s"/>
      <c r="G285" t="s"/>
      <c r="H285" t="s"/>
      <c r="I285" t="s"/>
      <c r="J285" t="n">
        <v>-0.2732</v>
      </c>
      <c r="K285" t="n">
        <v>0.111</v>
      </c>
      <c r="L285" t="n">
        <v>0.829</v>
      </c>
      <c r="M285" t="n">
        <v>0.06</v>
      </c>
    </row>
    <row r="286" spans="1:13">
      <c r="A286" s="1">
        <f>HYPERLINK("http://www.twitter.com/NathanBLawrence/status/997207720695648262", "997207720695648262")</f>
        <v/>
      </c>
      <c r="B286" s="2" t="n">
        <v>43237.8405324074</v>
      </c>
      <c r="C286" t="n">
        <v>0</v>
      </c>
      <c r="D286" t="n">
        <v>337</v>
      </c>
      <c r="E286" t="s">
        <v>297</v>
      </c>
      <c r="F286">
        <f>HYPERLINK("http://pbs.twimg.com/media/DdbE4zLUwAAHGgm.jpg", "http://pbs.twimg.com/media/DdbE4zLUwAAHGgm.jpg")</f>
        <v/>
      </c>
      <c r="G286" t="s"/>
      <c r="H286" t="s"/>
      <c r="I286" t="s"/>
      <c r="J286" t="n">
        <v>0</v>
      </c>
      <c r="K286" t="n">
        <v>0</v>
      </c>
      <c r="L286" t="n">
        <v>1</v>
      </c>
      <c r="M286" t="n">
        <v>0</v>
      </c>
    </row>
    <row r="287" spans="1:13">
      <c r="A287" s="1">
        <f>HYPERLINK("http://www.twitter.com/NathanBLawrence/status/997207442797801472", "997207442797801472")</f>
        <v/>
      </c>
      <c r="B287" s="2" t="n">
        <v>43237.83976851852</v>
      </c>
      <c r="C287" t="n">
        <v>0</v>
      </c>
      <c r="D287" t="n">
        <v>499</v>
      </c>
      <c r="E287" t="s">
        <v>298</v>
      </c>
      <c r="F287">
        <f>HYPERLINK("http://pbs.twimg.com/media/DdW2A2mWAAA9LvG.jpg", "http://pbs.twimg.com/media/DdW2A2mWAAA9LvG.jpg")</f>
        <v/>
      </c>
      <c r="G287" t="s"/>
      <c r="H287" t="s"/>
      <c r="I287" t="s"/>
      <c r="J287" t="n">
        <v>0.6369</v>
      </c>
      <c r="K287" t="n">
        <v>0</v>
      </c>
      <c r="L287" t="n">
        <v>0.802</v>
      </c>
      <c r="M287" t="n">
        <v>0.198</v>
      </c>
    </row>
    <row r="288" spans="1:13">
      <c r="A288" s="1">
        <f>HYPERLINK("http://www.twitter.com/NathanBLawrence/status/997207396828270593", "997207396828270593")</f>
        <v/>
      </c>
      <c r="B288" s="2" t="n">
        <v>43237.8396412037</v>
      </c>
      <c r="C288" t="n">
        <v>0</v>
      </c>
      <c r="D288" t="n">
        <v>84</v>
      </c>
      <c r="E288" t="s">
        <v>299</v>
      </c>
      <c r="F288">
        <f>HYPERLINK("https://video.twimg.com/ext_tw_video/997171543154114560/pu/vid/720x1280/UjAcg389CVLEdxxX.mp4?tag=3", "https://video.twimg.com/ext_tw_video/997171543154114560/pu/vid/720x1280/UjAcg389CVLEdxxX.mp4?tag=3")</f>
        <v/>
      </c>
      <c r="G288" t="s"/>
      <c r="H288" t="s"/>
      <c r="I288" t="s"/>
      <c r="J288" t="n">
        <v>-0.6874</v>
      </c>
      <c r="K288" t="n">
        <v>0.221</v>
      </c>
      <c r="L288" t="n">
        <v>0.779</v>
      </c>
      <c r="M288" t="n">
        <v>0</v>
      </c>
    </row>
    <row r="289" spans="1:13">
      <c r="A289" s="1">
        <f>HYPERLINK("http://www.twitter.com/NathanBLawrence/status/997207125402247173", "997207125402247173")</f>
        <v/>
      </c>
      <c r="B289" s="2" t="n">
        <v>43237.83888888889</v>
      </c>
      <c r="C289" t="n">
        <v>0</v>
      </c>
      <c r="D289" t="n">
        <v>229</v>
      </c>
      <c r="E289" t="s">
        <v>300</v>
      </c>
      <c r="F289">
        <f>HYPERLINK("http://pbs.twimg.com/media/Dda0OUGU8AAcQ6u.jpg", "http://pbs.twimg.com/media/Dda0OUGU8AAcQ6u.jpg")</f>
        <v/>
      </c>
      <c r="G289" t="s"/>
      <c r="H289" t="s"/>
      <c r="I289" t="s"/>
      <c r="J289" t="n">
        <v>0.2732</v>
      </c>
      <c r="K289" t="n">
        <v>0</v>
      </c>
      <c r="L289" t="n">
        <v>0.913</v>
      </c>
      <c r="M289" t="n">
        <v>0.08699999999999999</v>
      </c>
    </row>
    <row r="290" spans="1:13">
      <c r="A290" s="1">
        <f>HYPERLINK("http://www.twitter.com/NathanBLawrence/status/997206531774050305", "997206531774050305")</f>
        <v/>
      </c>
      <c r="B290" s="2" t="n">
        <v>43237.83725694445</v>
      </c>
      <c r="C290" t="n">
        <v>0</v>
      </c>
      <c r="D290" t="n">
        <v>3</v>
      </c>
      <c r="E290" t="s">
        <v>301</v>
      </c>
      <c r="F290" t="s"/>
      <c r="G290" t="s"/>
      <c r="H290" t="s"/>
      <c r="I290" t="s"/>
      <c r="J290" t="n">
        <v>-0.7269</v>
      </c>
      <c r="K290" t="n">
        <v>0.341</v>
      </c>
      <c r="L290" t="n">
        <v>0.5620000000000001</v>
      </c>
      <c r="M290" t="n">
        <v>0.096</v>
      </c>
    </row>
    <row r="291" spans="1:13">
      <c r="A291" s="1">
        <f>HYPERLINK("http://www.twitter.com/NathanBLawrence/status/997206488933457920", "997206488933457920")</f>
        <v/>
      </c>
      <c r="B291" s="2" t="n">
        <v>43237.83712962963</v>
      </c>
      <c r="C291" t="n">
        <v>0</v>
      </c>
      <c r="D291" t="n">
        <v>157</v>
      </c>
      <c r="E291" t="s">
        <v>302</v>
      </c>
      <c r="F291">
        <f>HYPERLINK("http://pbs.twimg.com/media/DdbI8tLVAAA67G2.jpg", "http://pbs.twimg.com/media/DdbI8tLVAAA67G2.jpg")</f>
        <v/>
      </c>
      <c r="G291" t="s"/>
      <c r="H291" t="s"/>
      <c r="I291" t="s"/>
      <c r="J291" t="n">
        <v>-0.3818</v>
      </c>
      <c r="K291" t="n">
        <v>0.126</v>
      </c>
      <c r="L291" t="n">
        <v>0.874</v>
      </c>
      <c r="M291" t="n">
        <v>0</v>
      </c>
    </row>
    <row r="292" spans="1:13">
      <c r="A292" s="1">
        <f>HYPERLINK("http://www.twitter.com/NathanBLawrence/status/997206218971238400", "997206218971238400")</f>
        <v/>
      </c>
      <c r="B292" s="2" t="n">
        <v>43237.83638888889</v>
      </c>
      <c r="C292" t="n">
        <v>0</v>
      </c>
      <c r="D292" t="n">
        <v>118</v>
      </c>
      <c r="E292" t="s">
        <v>303</v>
      </c>
      <c r="F292">
        <f>HYPERLINK("http://pbs.twimg.com/media/DdbJHkzVQAAHuLa.jpg", "http://pbs.twimg.com/media/DdbJHkzVQAAHuLa.jpg")</f>
        <v/>
      </c>
      <c r="G292" t="s"/>
      <c r="H292" t="s"/>
      <c r="I292" t="s"/>
      <c r="J292" t="n">
        <v>0</v>
      </c>
      <c r="K292" t="n">
        <v>0</v>
      </c>
      <c r="L292" t="n">
        <v>1</v>
      </c>
      <c r="M292" t="n">
        <v>0</v>
      </c>
    </row>
    <row r="293" spans="1:13">
      <c r="A293" s="1">
        <f>HYPERLINK("http://www.twitter.com/NathanBLawrence/status/997205984832557056", "997205984832557056")</f>
        <v/>
      </c>
      <c r="B293" s="2" t="n">
        <v>43237.83574074074</v>
      </c>
      <c r="C293" t="n">
        <v>0</v>
      </c>
      <c r="D293" t="n">
        <v>91</v>
      </c>
      <c r="E293" t="s">
        <v>304</v>
      </c>
      <c r="F293">
        <f>HYPERLINK("https://video.twimg.com/amplify_video/997205277685432320/vid/1280x720/OxhylLaIk4Vj4KQe.mp4?tag=2", "https://video.twimg.com/amplify_video/997205277685432320/vid/1280x720/OxhylLaIk4Vj4KQe.mp4?tag=2")</f>
        <v/>
      </c>
      <c r="G293" t="s"/>
      <c r="H293" t="s"/>
      <c r="I293" t="s"/>
      <c r="J293" t="n">
        <v>0</v>
      </c>
      <c r="K293" t="n">
        <v>0</v>
      </c>
      <c r="L293" t="n">
        <v>1</v>
      </c>
      <c r="M293" t="n">
        <v>0</v>
      </c>
    </row>
    <row r="294" spans="1:13">
      <c r="A294" s="1">
        <f>HYPERLINK("http://www.twitter.com/NathanBLawrence/status/997188729918935040", "997188729918935040")</f>
        <v/>
      </c>
      <c r="B294" s="2" t="n">
        <v>43237.788125</v>
      </c>
      <c r="C294" t="n">
        <v>0</v>
      </c>
      <c r="D294" t="n">
        <v>264</v>
      </c>
      <c r="E294" t="s">
        <v>305</v>
      </c>
      <c r="F294">
        <f>HYPERLINK("http://pbs.twimg.com/media/Dda4utyV0AIx_Lu.jpg", "http://pbs.twimg.com/media/Dda4utyV0AIx_Lu.jpg")</f>
        <v/>
      </c>
      <c r="G294" t="s"/>
      <c r="H294" t="s"/>
      <c r="I294" t="s"/>
      <c r="J294" t="n">
        <v>-0.34</v>
      </c>
      <c r="K294" t="n">
        <v>0.107</v>
      </c>
      <c r="L294" t="n">
        <v>0.893</v>
      </c>
      <c r="M294" t="n">
        <v>0</v>
      </c>
    </row>
    <row r="295" spans="1:13">
      <c r="A295" s="1">
        <f>HYPERLINK("http://www.twitter.com/NathanBLawrence/status/997188668715622401", "997188668715622401")</f>
        <v/>
      </c>
      <c r="B295" s="2" t="n">
        <v>43237.78796296296</v>
      </c>
      <c r="C295" t="n">
        <v>0</v>
      </c>
      <c r="D295" t="n">
        <v>684</v>
      </c>
      <c r="E295" t="s">
        <v>306</v>
      </c>
      <c r="F295" t="s"/>
      <c r="G295" t="s"/>
      <c r="H295" t="s"/>
      <c r="I295" t="s"/>
      <c r="J295" t="n">
        <v>-0.5574</v>
      </c>
      <c r="K295" t="n">
        <v>0.229</v>
      </c>
      <c r="L295" t="n">
        <v>0.677</v>
      </c>
      <c r="M295" t="n">
        <v>0.094</v>
      </c>
    </row>
    <row r="296" spans="1:13">
      <c r="A296" s="1">
        <f>HYPERLINK("http://www.twitter.com/NathanBLawrence/status/997187091917410304", "997187091917410304")</f>
        <v/>
      </c>
      <c r="B296" s="2" t="n">
        <v>43237.78361111111</v>
      </c>
      <c r="C296" t="n">
        <v>0</v>
      </c>
      <c r="D296" t="n">
        <v>54</v>
      </c>
      <c r="E296" t="s">
        <v>307</v>
      </c>
      <c r="F296" t="s"/>
      <c r="G296" t="s"/>
      <c r="H296" t="s"/>
      <c r="I296" t="s"/>
      <c r="J296" t="n">
        <v>-0.7282</v>
      </c>
      <c r="K296" t="n">
        <v>0.226</v>
      </c>
      <c r="L296" t="n">
        <v>0.774</v>
      </c>
      <c r="M296" t="n">
        <v>0</v>
      </c>
    </row>
    <row r="297" spans="1:13">
      <c r="A297" s="1">
        <f>HYPERLINK("http://www.twitter.com/NathanBLawrence/status/997187007762878472", "997187007762878472")</f>
        <v/>
      </c>
      <c r="B297" s="2" t="n">
        <v>43237.78337962963</v>
      </c>
      <c r="C297" t="n">
        <v>0</v>
      </c>
      <c r="D297" t="n">
        <v>30196</v>
      </c>
      <c r="E297" t="s">
        <v>308</v>
      </c>
      <c r="F297" t="s"/>
      <c r="G297" t="s"/>
      <c r="H297" t="s"/>
      <c r="I297" t="s"/>
      <c r="J297" t="n">
        <v>0.765</v>
      </c>
      <c r="K297" t="n">
        <v>0.08699999999999999</v>
      </c>
      <c r="L297" t="n">
        <v>0.629</v>
      </c>
      <c r="M297" t="n">
        <v>0.283</v>
      </c>
    </row>
    <row r="298" spans="1:13">
      <c r="A298" s="1">
        <f>HYPERLINK("http://www.twitter.com/NathanBLawrence/status/997186378906701824", "997186378906701824")</f>
        <v/>
      </c>
      <c r="B298" s="2" t="n">
        <v>43237.78164351852</v>
      </c>
      <c r="C298" t="n">
        <v>0</v>
      </c>
      <c r="D298" t="n">
        <v>19</v>
      </c>
      <c r="E298" t="s">
        <v>309</v>
      </c>
      <c r="F298">
        <f>HYPERLINK("http://pbs.twimg.com/media/Dda0vMGVwAAJ1g_.jpg", "http://pbs.twimg.com/media/Dda0vMGVwAAJ1g_.jpg")</f>
        <v/>
      </c>
      <c r="G298" t="s"/>
      <c r="H298" t="s"/>
      <c r="I298" t="s"/>
      <c r="J298" t="n">
        <v>-0.1531</v>
      </c>
      <c r="K298" t="n">
        <v>0.104</v>
      </c>
      <c r="L298" t="n">
        <v>0.8149999999999999</v>
      </c>
      <c r="M298" t="n">
        <v>0.081</v>
      </c>
    </row>
    <row r="299" spans="1:13">
      <c r="A299" s="1">
        <f>HYPERLINK("http://www.twitter.com/NathanBLawrence/status/997185966614949889", "997185966614949889")</f>
        <v/>
      </c>
      <c r="B299" s="2" t="n">
        <v>43237.78049768518</v>
      </c>
      <c r="C299" t="n">
        <v>0</v>
      </c>
      <c r="D299" t="n">
        <v>171</v>
      </c>
      <c r="E299" t="s">
        <v>310</v>
      </c>
      <c r="F299">
        <f>HYPERLINK("http://pbs.twimg.com/media/DdYdLeCXUAAw8MI.jpg", "http://pbs.twimg.com/media/DdYdLeCXUAAw8MI.jpg")</f>
        <v/>
      </c>
      <c r="G299" t="s"/>
      <c r="H299" t="s"/>
      <c r="I299" t="s"/>
      <c r="J299" t="n">
        <v>0</v>
      </c>
      <c r="K299" t="n">
        <v>0</v>
      </c>
      <c r="L299" t="n">
        <v>1</v>
      </c>
      <c r="M299" t="n">
        <v>0</v>
      </c>
    </row>
    <row r="300" spans="1:13">
      <c r="A300" s="1">
        <f>HYPERLINK("http://www.twitter.com/NathanBLawrence/status/997184760869990400", "997184760869990400")</f>
        <v/>
      </c>
      <c r="B300" s="2" t="n">
        <v>43237.77717592593</v>
      </c>
      <c r="C300" t="n">
        <v>0</v>
      </c>
      <c r="D300" t="n">
        <v>3</v>
      </c>
      <c r="E300" t="s">
        <v>311</v>
      </c>
      <c r="F300">
        <f>HYPERLINK("http://pbs.twimg.com/media/DdayH2XVwAAGj9f.jpg", "http://pbs.twimg.com/media/DdayH2XVwAAGj9f.jpg")</f>
        <v/>
      </c>
      <c r="G300" t="s"/>
      <c r="H300" t="s"/>
      <c r="I300" t="s"/>
      <c r="J300" t="n">
        <v>0</v>
      </c>
      <c r="K300" t="n">
        <v>0</v>
      </c>
      <c r="L300" t="n">
        <v>1</v>
      </c>
      <c r="M300" t="n">
        <v>0</v>
      </c>
    </row>
    <row r="301" spans="1:13">
      <c r="A301" s="1">
        <f>HYPERLINK("http://www.twitter.com/NathanBLawrence/status/997183468281966594", "997183468281966594")</f>
        <v/>
      </c>
      <c r="B301" s="2" t="n">
        <v>43237.77361111111</v>
      </c>
      <c r="C301" t="n">
        <v>0</v>
      </c>
      <c r="D301" t="n">
        <v>2125</v>
      </c>
      <c r="E301" t="s">
        <v>312</v>
      </c>
      <c r="F301" t="s"/>
      <c r="G301" t="s"/>
      <c r="H301" t="s"/>
      <c r="I301" t="s"/>
      <c r="J301" t="n">
        <v>0.34</v>
      </c>
      <c r="K301" t="n">
        <v>0.089</v>
      </c>
      <c r="L301" t="n">
        <v>0.726</v>
      </c>
      <c r="M301" t="n">
        <v>0.185</v>
      </c>
    </row>
    <row r="302" spans="1:13">
      <c r="A302" s="1">
        <f>HYPERLINK("http://www.twitter.com/NathanBLawrence/status/997183377328562177", "997183377328562177")</f>
        <v/>
      </c>
      <c r="B302" s="2" t="n">
        <v>43237.77335648148</v>
      </c>
      <c r="C302" t="n">
        <v>0</v>
      </c>
      <c r="D302" t="n">
        <v>8546</v>
      </c>
      <c r="E302" t="s">
        <v>313</v>
      </c>
      <c r="F302">
        <f>HYPERLINK("https://video.twimg.com/ext_tw_video/997105846843666436/pu/vid/1280x720/nKPFFY4GmUpucwZO.mp4?tag=3", "https://video.twimg.com/ext_tw_video/997105846843666436/pu/vid/1280x720/nKPFFY4GmUpucwZO.mp4?tag=3")</f>
        <v/>
      </c>
      <c r="G302" t="s"/>
      <c r="H302" t="s"/>
      <c r="I302" t="s"/>
      <c r="J302" t="n">
        <v>-0.7845</v>
      </c>
      <c r="K302" t="n">
        <v>0.247</v>
      </c>
      <c r="L302" t="n">
        <v>0.753</v>
      </c>
      <c r="M302" t="n">
        <v>0</v>
      </c>
    </row>
    <row r="303" spans="1:13">
      <c r="A303" s="1">
        <f>HYPERLINK("http://www.twitter.com/NathanBLawrence/status/997183277562777600", "997183277562777600")</f>
        <v/>
      </c>
      <c r="B303" s="2" t="n">
        <v>43237.77307870371</v>
      </c>
      <c r="C303" t="n">
        <v>0</v>
      </c>
      <c r="D303" t="n">
        <v>11</v>
      </c>
      <c r="E303" t="s">
        <v>314</v>
      </c>
      <c r="F303">
        <f>HYPERLINK("https://video.twimg.com/amplify_video/997179626836246528/vid/1280x720/EWwq3jkJQPNnWESY.mp4?tag=2", "https://video.twimg.com/amplify_video/997179626836246528/vid/1280x720/EWwq3jkJQPNnWESY.mp4?tag=2")</f>
        <v/>
      </c>
      <c r="G303" t="s"/>
      <c r="H303" t="s"/>
      <c r="I303" t="s"/>
      <c r="J303" t="n">
        <v>0.6808</v>
      </c>
      <c r="K303" t="n">
        <v>0</v>
      </c>
      <c r="L303" t="n">
        <v>0.72</v>
      </c>
      <c r="M303" t="n">
        <v>0.28</v>
      </c>
    </row>
    <row r="304" spans="1:13">
      <c r="A304" s="1">
        <f>HYPERLINK("http://www.twitter.com/NathanBLawrence/status/997182390425571328", "997182390425571328")</f>
        <v/>
      </c>
      <c r="B304" s="2" t="n">
        <v>43237.77063657407</v>
      </c>
      <c r="C304" t="n">
        <v>0</v>
      </c>
      <c r="D304" t="n">
        <v>928</v>
      </c>
      <c r="E304" t="s">
        <v>315</v>
      </c>
      <c r="F304" t="s"/>
      <c r="G304" t="s"/>
      <c r="H304" t="s"/>
      <c r="I304" t="s"/>
      <c r="J304" t="n">
        <v>0</v>
      </c>
      <c r="K304" t="n">
        <v>0</v>
      </c>
      <c r="L304" t="n">
        <v>1</v>
      </c>
      <c r="M304" t="n">
        <v>0</v>
      </c>
    </row>
    <row r="305" spans="1:13">
      <c r="A305" s="1">
        <f>HYPERLINK("http://www.twitter.com/NathanBLawrence/status/997181959527944197", "997181959527944197")</f>
        <v/>
      </c>
      <c r="B305" s="2" t="n">
        <v>43237.76944444444</v>
      </c>
      <c r="C305" t="n">
        <v>0</v>
      </c>
      <c r="D305" t="n">
        <v>343</v>
      </c>
      <c r="E305" t="s">
        <v>316</v>
      </c>
      <c r="F305">
        <f>HYPERLINK("http://pbs.twimg.com/media/DdaIXriVQAAFDyT.jpg", "http://pbs.twimg.com/media/DdaIXriVQAAFDyT.jpg")</f>
        <v/>
      </c>
      <c r="G305" t="s"/>
      <c r="H305" t="s"/>
      <c r="I305" t="s"/>
      <c r="J305" t="n">
        <v>0.7403999999999999</v>
      </c>
      <c r="K305" t="n">
        <v>0.08</v>
      </c>
      <c r="L305" t="n">
        <v>0.653</v>
      </c>
      <c r="M305" t="n">
        <v>0.266</v>
      </c>
    </row>
    <row r="306" spans="1:13">
      <c r="A306" s="1">
        <f>HYPERLINK("http://www.twitter.com/NathanBLawrence/status/997181914342744065", "997181914342744065")</f>
        <v/>
      </c>
      <c r="B306" s="2" t="n">
        <v>43237.76931712963</v>
      </c>
      <c r="C306" t="n">
        <v>0</v>
      </c>
      <c r="D306" t="n">
        <v>6</v>
      </c>
      <c r="E306" t="s">
        <v>317</v>
      </c>
      <c r="F306" t="s"/>
      <c r="G306" t="s"/>
      <c r="H306" t="s"/>
      <c r="I306" t="s"/>
      <c r="J306" t="n">
        <v>0</v>
      </c>
      <c r="K306" t="n">
        <v>0</v>
      </c>
      <c r="L306" t="n">
        <v>1</v>
      </c>
      <c r="M306" t="n">
        <v>0</v>
      </c>
    </row>
    <row r="307" spans="1:13">
      <c r="A307" s="1">
        <f>HYPERLINK("http://www.twitter.com/NathanBLawrence/status/997181748692873217", "997181748692873217")</f>
        <v/>
      </c>
      <c r="B307" s="2" t="n">
        <v>43237.76886574074</v>
      </c>
      <c r="C307" t="n">
        <v>0</v>
      </c>
      <c r="D307" t="n">
        <v>8</v>
      </c>
      <c r="E307" t="s">
        <v>318</v>
      </c>
      <c r="F307">
        <f>HYPERLINK("http://pbs.twimg.com/media/DdawTkVU0AAmTjX.jpg", "http://pbs.twimg.com/media/DdawTkVU0AAmTjX.jpg")</f>
        <v/>
      </c>
      <c r="G307">
        <f>HYPERLINK("http://pbs.twimg.com/media/DdawTkaVQAAN8Vu.jpg", "http://pbs.twimg.com/media/DdawTkaVQAAN8Vu.jpg")</f>
        <v/>
      </c>
      <c r="H307" t="s"/>
      <c r="I307" t="s"/>
      <c r="J307" t="n">
        <v>0</v>
      </c>
      <c r="K307" t="n">
        <v>0</v>
      </c>
      <c r="L307" t="n">
        <v>1</v>
      </c>
      <c r="M307" t="n">
        <v>0</v>
      </c>
    </row>
    <row r="308" spans="1:13">
      <c r="A308" s="1">
        <f>HYPERLINK("http://www.twitter.com/NathanBLawrence/status/997181507029684224", "997181507029684224")</f>
        <v/>
      </c>
      <c r="B308" s="2" t="n">
        <v>43237.76819444444</v>
      </c>
      <c r="C308" t="n">
        <v>0</v>
      </c>
      <c r="D308" t="n">
        <v>472</v>
      </c>
      <c r="E308" t="s">
        <v>319</v>
      </c>
      <c r="F308">
        <f>HYPERLINK("http://pbs.twimg.com/media/DdaoAfNV4AAZSj1.jpg", "http://pbs.twimg.com/media/DdaoAfNV4AAZSj1.jpg")</f>
        <v/>
      </c>
      <c r="G308">
        <f>HYPERLINK("http://pbs.twimg.com/media/DdaoBGJUwAAeo60.jpg", "http://pbs.twimg.com/media/DdaoBGJUwAAeo60.jpg")</f>
        <v/>
      </c>
      <c r="H308">
        <f>HYPERLINK("http://pbs.twimg.com/media/DdaoBwgVMAAk8HC.jpg", "http://pbs.twimg.com/media/DdaoBwgVMAAk8HC.jpg")</f>
        <v/>
      </c>
      <c r="I308">
        <f>HYPERLINK("http://pbs.twimg.com/media/DdaoC5eV4AEXTvF.jpg", "http://pbs.twimg.com/media/DdaoC5eV4AEXTvF.jpg")</f>
        <v/>
      </c>
      <c r="J308" t="n">
        <v>0.5574</v>
      </c>
      <c r="K308" t="n">
        <v>0</v>
      </c>
      <c r="L308" t="n">
        <v>0.865</v>
      </c>
      <c r="M308" t="n">
        <v>0.135</v>
      </c>
    </row>
    <row r="309" spans="1:13">
      <c r="A309" s="1">
        <f>HYPERLINK("http://www.twitter.com/NathanBLawrence/status/997181317568753664", "997181317568753664")</f>
        <v/>
      </c>
      <c r="B309" s="2" t="n">
        <v>43237.76767361111</v>
      </c>
      <c r="C309" t="n">
        <v>0</v>
      </c>
      <c r="D309" t="n">
        <v>10</v>
      </c>
      <c r="E309" t="s">
        <v>320</v>
      </c>
      <c r="F309" t="s"/>
      <c r="G309" t="s"/>
      <c r="H309" t="s"/>
      <c r="I309" t="s"/>
      <c r="J309" t="n">
        <v>0</v>
      </c>
      <c r="K309" t="n">
        <v>0</v>
      </c>
      <c r="L309" t="n">
        <v>1</v>
      </c>
      <c r="M309" t="n">
        <v>0</v>
      </c>
    </row>
    <row r="310" spans="1:13">
      <c r="A310" s="1">
        <f>HYPERLINK("http://www.twitter.com/NathanBLawrence/status/997181002609983488", "997181002609983488")</f>
        <v/>
      </c>
      <c r="B310" s="2" t="n">
        <v>43237.76680555556</v>
      </c>
      <c r="C310" t="n">
        <v>0</v>
      </c>
      <c r="D310" t="n">
        <v>26</v>
      </c>
      <c r="E310" t="s">
        <v>321</v>
      </c>
      <c r="F310">
        <f>HYPERLINK("http://pbs.twimg.com/media/Ddav2P0VMAAzQtU.jpg", "http://pbs.twimg.com/media/Ddav2P0VMAAzQtU.jpg")</f>
        <v/>
      </c>
      <c r="G310" t="s"/>
      <c r="H310" t="s"/>
      <c r="I310" t="s"/>
      <c r="J310" t="n">
        <v>0</v>
      </c>
      <c r="K310" t="n">
        <v>0</v>
      </c>
      <c r="L310" t="n">
        <v>1</v>
      </c>
      <c r="M310" t="n">
        <v>0</v>
      </c>
    </row>
    <row r="311" spans="1:13">
      <c r="A311" s="1">
        <f>HYPERLINK("http://www.twitter.com/NathanBLawrence/status/997180560039727104", "997180560039727104")</f>
        <v/>
      </c>
      <c r="B311" s="2" t="n">
        <v>43237.7655787037</v>
      </c>
      <c r="C311" t="n">
        <v>0</v>
      </c>
      <c r="D311" t="n">
        <v>23</v>
      </c>
      <c r="E311" t="s">
        <v>322</v>
      </c>
      <c r="F311">
        <f>HYPERLINK("http://pbs.twimg.com/media/DdaaXbqU8AATQ2z.jpg", "http://pbs.twimg.com/media/DdaaXbqU8AATQ2z.jpg")</f>
        <v/>
      </c>
      <c r="G311" t="s"/>
      <c r="H311" t="s"/>
      <c r="I311" t="s"/>
      <c r="J311" t="n">
        <v>0</v>
      </c>
      <c r="K311" t="n">
        <v>0</v>
      </c>
      <c r="L311" t="n">
        <v>1</v>
      </c>
      <c r="M311" t="n">
        <v>0</v>
      </c>
    </row>
    <row r="312" spans="1:13">
      <c r="A312" s="1">
        <f>HYPERLINK("http://www.twitter.com/NathanBLawrence/status/997180499398406144", "997180499398406144")</f>
        <v/>
      </c>
      <c r="B312" s="2" t="n">
        <v>43237.76541666667</v>
      </c>
      <c r="C312" t="n">
        <v>0</v>
      </c>
      <c r="D312" t="n">
        <v>47</v>
      </c>
      <c r="E312" t="s">
        <v>323</v>
      </c>
      <c r="F312">
        <f>HYPERLINK("http://pbs.twimg.com/media/DdauqBZUwAATd81.jpg", "http://pbs.twimg.com/media/DdauqBZUwAATd81.jpg")</f>
        <v/>
      </c>
      <c r="G312" t="s"/>
      <c r="H312" t="s"/>
      <c r="I312" t="s"/>
      <c r="J312" t="n">
        <v>0</v>
      </c>
      <c r="K312" t="n">
        <v>0</v>
      </c>
      <c r="L312" t="n">
        <v>1</v>
      </c>
      <c r="M312" t="n">
        <v>0</v>
      </c>
    </row>
    <row r="313" spans="1:13">
      <c r="A313" s="1">
        <f>HYPERLINK("http://www.twitter.com/NathanBLawrence/status/997179914511110145", "997179914511110145")</f>
        <v/>
      </c>
      <c r="B313" s="2" t="n">
        <v>43237.7637962963</v>
      </c>
      <c r="C313" t="n">
        <v>0</v>
      </c>
      <c r="D313" t="n">
        <v>108</v>
      </c>
      <c r="E313" t="s">
        <v>324</v>
      </c>
      <c r="F313" t="s"/>
      <c r="G313" t="s"/>
      <c r="H313" t="s"/>
      <c r="I313" t="s"/>
      <c r="J313" t="n">
        <v>-0.8519</v>
      </c>
      <c r="K313" t="n">
        <v>0.382</v>
      </c>
      <c r="L313" t="n">
        <v>0.52</v>
      </c>
      <c r="M313" t="n">
        <v>0.098</v>
      </c>
    </row>
    <row r="314" spans="1:13">
      <c r="A314" s="1">
        <f>HYPERLINK("http://www.twitter.com/NathanBLawrence/status/997179486067097601", "997179486067097601")</f>
        <v/>
      </c>
      <c r="B314" s="2" t="n">
        <v>43237.76261574074</v>
      </c>
      <c r="C314" t="n">
        <v>0</v>
      </c>
      <c r="D314" t="n">
        <v>168</v>
      </c>
      <c r="E314" t="s">
        <v>325</v>
      </c>
      <c r="F314" t="s"/>
      <c r="G314" t="s"/>
      <c r="H314" t="s"/>
      <c r="I314" t="s"/>
      <c r="J314" t="n">
        <v>0</v>
      </c>
      <c r="K314" t="n">
        <v>0</v>
      </c>
      <c r="L314" t="n">
        <v>1</v>
      </c>
      <c r="M314" t="n">
        <v>0</v>
      </c>
    </row>
    <row r="315" spans="1:13">
      <c r="A315" s="1">
        <f>HYPERLINK("http://www.twitter.com/NathanBLawrence/status/997179272845516801", "997179272845516801")</f>
        <v/>
      </c>
      <c r="B315" s="2" t="n">
        <v>43237.76202546297</v>
      </c>
      <c r="C315" t="n">
        <v>0</v>
      </c>
      <c r="D315" t="n">
        <v>220</v>
      </c>
      <c r="E315" t="s">
        <v>326</v>
      </c>
      <c r="F315" t="s"/>
      <c r="G315" t="s"/>
      <c r="H315" t="s"/>
      <c r="I315" t="s"/>
      <c r="J315" t="n">
        <v>0.8555</v>
      </c>
      <c r="K315" t="n">
        <v>0.118</v>
      </c>
      <c r="L315" t="n">
        <v>0.484</v>
      </c>
      <c r="M315" t="n">
        <v>0.398</v>
      </c>
    </row>
    <row r="316" spans="1:13">
      <c r="A316" s="1">
        <f>HYPERLINK("http://www.twitter.com/NathanBLawrence/status/997178723483963393", "997178723483963393")</f>
        <v/>
      </c>
      <c r="B316" s="2" t="n">
        <v>43237.76052083333</v>
      </c>
      <c r="C316" t="n">
        <v>0</v>
      </c>
      <c r="D316" t="n">
        <v>120</v>
      </c>
      <c r="E316" t="s">
        <v>327</v>
      </c>
      <c r="F316">
        <f>HYPERLINK("http://pbs.twimg.com/media/DdajVwlVMAAj2cc.jpg", "http://pbs.twimg.com/media/DdajVwlVMAAj2cc.jpg")</f>
        <v/>
      </c>
      <c r="G316" t="s"/>
      <c r="H316" t="s"/>
      <c r="I316" t="s"/>
      <c r="J316" t="n">
        <v>0.7644</v>
      </c>
      <c r="K316" t="n">
        <v>0</v>
      </c>
      <c r="L316" t="n">
        <v>0.777</v>
      </c>
      <c r="M316" t="n">
        <v>0.223</v>
      </c>
    </row>
    <row r="317" spans="1:13">
      <c r="A317" s="1">
        <f>HYPERLINK("http://www.twitter.com/NathanBLawrence/status/997178527626747909", "997178527626747909")</f>
        <v/>
      </c>
      <c r="B317" s="2" t="n">
        <v>43237.75997685185</v>
      </c>
      <c r="C317" t="n">
        <v>0</v>
      </c>
      <c r="D317" t="n">
        <v>652</v>
      </c>
      <c r="E317" t="s">
        <v>328</v>
      </c>
      <c r="F317" t="s"/>
      <c r="G317" t="s"/>
      <c r="H317" t="s"/>
      <c r="I317" t="s"/>
      <c r="J317" t="n">
        <v>0</v>
      </c>
      <c r="K317" t="n">
        <v>0</v>
      </c>
      <c r="L317" t="n">
        <v>1</v>
      </c>
      <c r="M317" t="n">
        <v>0</v>
      </c>
    </row>
    <row r="318" spans="1:13">
      <c r="A318" s="1">
        <f>HYPERLINK("http://www.twitter.com/NathanBLawrence/status/997178376879247361", "997178376879247361")</f>
        <v/>
      </c>
      <c r="B318" s="2" t="n">
        <v>43237.75956018519</v>
      </c>
      <c r="C318" t="n">
        <v>0</v>
      </c>
      <c r="D318" t="n">
        <v>225</v>
      </c>
      <c r="E318" t="s">
        <v>329</v>
      </c>
      <c r="F318">
        <f>HYPERLINK("http://pbs.twimg.com/media/DdPo4JfW4AAh45Q.jpg", "http://pbs.twimg.com/media/DdPo4JfW4AAh45Q.jpg")</f>
        <v/>
      </c>
      <c r="G318" t="s"/>
      <c r="H318" t="s"/>
      <c r="I318" t="s"/>
      <c r="J318" t="n">
        <v>-0.6597</v>
      </c>
      <c r="K318" t="n">
        <v>0.329</v>
      </c>
      <c r="L318" t="n">
        <v>0.671</v>
      </c>
      <c r="M318" t="n">
        <v>0</v>
      </c>
    </row>
    <row r="319" spans="1:13">
      <c r="A319" s="1">
        <f>HYPERLINK("http://www.twitter.com/NathanBLawrence/status/997177850385108992", "997177850385108992")</f>
        <v/>
      </c>
      <c r="B319" s="2" t="n">
        <v>43237.75810185185</v>
      </c>
      <c r="C319" t="n">
        <v>0</v>
      </c>
      <c r="D319" t="n">
        <v>370</v>
      </c>
      <c r="E319" t="s">
        <v>330</v>
      </c>
      <c r="F319" t="s"/>
      <c r="G319" t="s"/>
      <c r="H319" t="s"/>
      <c r="I319" t="s"/>
      <c r="J319" t="n">
        <v>-0.8658</v>
      </c>
      <c r="K319" t="n">
        <v>0.401</v>
      </c>
      <c r="L319" t="n">
        <v>0.599</v>
      </c>
      <c r="M319" t="n">
        <v>0</v>
      </c>
    </row>
    <row r="320" spans="1:13">
      <c r="A320" s="1">
        <f>HYPERLINK("http://www.twitter.com/NathanBLawrence/status/997177113810821120", "997177113810821120")</f>
        <v/>
      </c>
      <c r="B320" s="2" t="n">
        <v>43237.75607638889</v>
      </c>
      <c r="C320" t="n">
        <v>0</v>
      </c>
      <c r="D320" t="n">
        <v>40</v>
      </c>
      <c r="E320" t="s">
        <v>331</v>
      </c>
      <c r="F320" t="s"/>
      <c r="G320" t="s"/>
      <c r="H320" t="s"/>
      <c r="I320" t="s"/>
      <c r="J320" t="n">
        <v>0</v>
      </c>
      <c r="K320" t="n">
        <v>0</v>
      </c>
      <c r="L320" t="n">
        <v>1</v>
      </c>
      <c r="M320" t="n">
        <v>0</v>
      </c>
    </row>
    <row r="321" spans="1:13">
      <c r="A321" s="1">
        <f>HYPERLINK("http://www.twitter.com/NathanBLawrence/status/997176771995947008", "997176771995947008")</f>
        <v/>
      </c>
      <c r="B321" s="2" t="n">
        <v>43237.75512731481</v>
      </c>
      <c r="C321" t="n">
        <v>0</v>
      </c>
      <c r="D321" t="n">
        <v>1134</v>
      </c>
      <c r="E321" t="s">
        <v>332</v>
      </c>
      <c r="F321">
        <f>HYPERLINK("http://pbs.twimg.com/media/DcxfP01XkAEQfgS.jpg", "http://pbs.twimg.com/media/DcxfP01XkAEQfgS.jpg")</f>
        <v/>
      </c>
      <c r="G321" t="s"/>
      <c r="H321" t="s"/>
      <c r="I321" t="s"/>
      <c r="J321" t="n">
        <v>0.2263</v>
      </c>
      <c r="K321" t="n">
        <v>0</v>
      </c>
      <c r="L321" t="n">
        <v>0.894</v>
      </c>
      <c r="M321" t="n">
        <v>0.106</v>
      </c>
    </row>
    <row r="322" spans="1:13">
      <c r="A322" s="1">
        <f>HYPERLINK("http://www.twitter.com/NathanBLawrence/status/997176389664231424", "997176389664231424")</f>
        <v/>
      </c>
      <c r="B322" s="2" t="n">
        <v>43237.75407407407</v>
      </c>
      <c r="C322" t="n">
        <v>0</v>
      </c>
      <c r="D322" t="n">
        <v>4030</v>
      </c>
      <c r="E322" t="s">
        <v>333</v>
      </c>
      <c r="F322">
        <f>HYPERLINK("https://video.twimg.com/ext_tw_video/997145291425017856/pu/vid/640x360/b2cNDqZ-gvAnK20t.mp4?tag=3", "https://video.twimg.com/ext_tw_video/997145291425017856/pu/vid/640x360/b2cNDqZ-gvAnK20t.mp4?tag=3")</f>
        <v/>
      </c>
      <c r="G322" t="s"/>
      <c r="H322" t="s"/>
      <c r="I322" t="s"/>
      <c r="J322" t="n">
        <v>-0.5994</v>
      </c>
      <c r="K322" t="n">
        <v>0.187</v>
      </c>
      <c r="L322" t="n">
        <v>0.8129999999999999</v>
      </c>
      <c r="M322" t="n">
        <v>0</v>
      </c>
    </row>
    <row r="323" spans="1:13">
      <c r="A323" s="1">
        <f>HYPERLINK("http://www.twitter.com/NathanBLawrence/status/997176266993340417", "997176266993340417")</f>
        <v/>
      </c>
      <c r="B323" s="2" t="n">
        <v>43237.75373842593</v>
      </c>
      <c r="C323" t="n">
        <v>0</v>
      </c>
      <c r="D323" t="n">
        <v>14244</v>
      </c>
      <c r="E323" t="s">
        <v>334</v>
      </c>
      <c r="F323">
        <f>HYPERLINK("https://video.twimg.com/amplify_video/997171242451992576/vid/1280x720/9m4Y_p2LVeN6P27w.mp4?tag=2", "https://video.twimg.com/amplify_video/997171242451992576/vid/1280x720/9m4Y_p2LVeN6P27w.mp4?tag=2")</f>
        <v/>
      </c>
      <c r="G323" t="s"/>
      <c r="H323" t="s"/>
      <c r="I323" t="s"/>
      <c r="J323" t="n">
        <v>0.5542</v>
      </c>
      <c r="K323" t="n">
        <v>0</v>
      </c>
      <c r="L323" t="n">
        <v>0.821</v>
      </c>
      <c r="M323" t="n">
        <v>0.179</v>
      </c>
    </row>
    <row r="324" spans="1:13">
      <c r="A324" s="1">
        <f>HYPERLINK("http://www.twitter.com/NathanBLawrence/status/997176100240416768", "997176100240416768")</f>
        <v/>
      </c>
      <c r="B324" s="2" t="n">
        <v>43237.75327546296</v>
      </c>
      <c r="C324" t="n">
        <v>0</v>
      </c>
      <c r="D324" t="n">
        <v>144</v>
      </c>
      <c r="E324" t="s">
        <v>335</v>
      </c>
      <c r="F324">
        <f>HYPERLINK("http://pbs.twimg.com/media/DdZ5Q4GW4AAPGUn.jpg", "http://pbs.twimg.com/media/DdZ5Q4GW4AAPGUn.jpg")</f>
        <v/>
      </c>
      <c r="G324" t="s"/>
      <c r="H324" t="s"/>
      <c r="I324" t="s"/>
      <c r="J324" t="n">
        <v>0</v>
      </c>
      <c r="K324" t="n">
        <v>0</v>
      </c>
      <c r="L324" t="n">
        <v>1</v>
      </c>
      <c r="M324" t="n">
        <v>0</v>
      </c>
    </row>
    <row r="325" spans="1:13">
      <c r="A325" s="1">
        <f>HYPERLINK("http://www.twitter.com/NathanBLawrence/status/997175325049217027", "997175325049217027")</f>
        <v/>
      </c>
      <c r="B325" s="2" t="n">
        <v>43237.75113425926</v>
      </c>
      <c r="C325" t="n">
        <v>0</v>
      </c>
      <c r="D325" t="n">
        <v>34172</v>
      </c>
      <c r="E325" t="s">
        <v>336</v>
      </c>
      <c r="F325" t="s"/>
      <c r="G325" t="s"/>
      <c r="H325" t="s"/>
      <c r="I325" t="s"/>
      <c r="J325" t="n">
        <v>0.5859</v>
      </c>
      <c r="K325" t="n">
        <v>0</v>
      </c>
      <c r="L325" t="n">
        <v>0.858</v>
      </c>
      <c r="M325" t="n">
        <v>0.142</v>
      </c>
    </row>
    <row r="326" spans="1:13">
      <c r="A326" s="1">
        <f>HYPERLINK("http://www.twitter.com/NathanBLawrence/status/997175243205640199", "997175243205640199")</f>
        <v/>
      </c>
      <c r="B326" s="2" t="n">
        <v>43237.75091435185</v>
      </c>
      <c r="C326" t="n">
        <v>0</v>
      </c>
      <c r="D326" t="n">
        <v>805</v>
      </c>
      <c r="E326" t="s">
        <v>337</v>
      </c>
      <c r="F326">
        <f>HYPERLINK("http://pbs.twimg.com/media/DdZpdNAVMAE-cib.jpg", "http://pbs.twimg.com/media/DdZpdNAVMAE-cib.jpg")</f>
        <v/>
      </c>
      <c r="G326" t="s"/>
      <c r="H326" t="s"/>
      <c r="I326" t="s"/>
      <c r="J326" t="n">
        <v>0</v>
      </c>
      <c r="K326" t="n">
        <v>0</v>
      </c>
      <c r="L326" t="n">
        <v>1</v>
      </c>
      <c r="M326" t="n">
        <v>0</v>
      </c>
    </row>
    <row r="327" spans="1:13">
      <c r="A327" s="1">
        <f>HYPERLINK("http://www.twitter.com/NathanBLawrence/status/997175124292927488", "997175124292927488")</f>
        <v/>
      </c>
      <c r="B327" s="2" t="n">
        <v>43237.7505787037</v>
      </c>
      <c r="C327" t="n">
        <v>0</v>
      </c>
      <c r="D327" t="n">
        <v>1777</v>
      </c>
      <c r="E327" t="s">
        <v>338</v>
      </c>
      <c r="F327" t="s"/>
      <c r="G327" t="s"/>
      <c r="H327" t="s"/>
      <c r="I327" t="s"/>
      <c r="J327" t="n">
        <v>0</v>
      </c>
      <c r="K327" t="n">
        <v>0</v>
      </c>
      <c r="L327" t="n">
        <v>1</v>
      </c>
      <c r="M327" t="n">
        <v>0</v>
      </c>
    </row>
    <row r="328" spans="1:13">
      <c r="A328" s="1">
        <f>HYPERLINK("http://www.twitter.com/NathanBLawrence/status/997175080470925314", "997175080470925314")</f>
        <v/>
      </c>
      <c r="B328" s="2" t="n">
        <v>43237.75046296296</v>
      </c>
      <c r="C328" t="n">
        <v>0</v>
      </c>
      <c r="D328" t="n">
        <v>32402</v>
      </c>
      <c r="E328" t="s">
        <v>339</v>
      </c>
      <c r="F328" t="s"/>
      <c r="G328" t="s"/>
      <c r="H328" t="s"/>
      <c r="I328" t="s"/>
      <c r="J328" t="n">
        <v>-0.6605</v>
      </c>
      <c r="K328" t="n">
        <v>0.321</v>
      </c>
      <c r="L328" t="n">
        <v>0.541</v>
      </c>
      <c r="M328" t="n">
        <v>0.138</v>
      </c>
    </row>
    <row r="329" spans="1:13">
      <c r="A329" s="1">
        <f>HYPERLINK("http://www.twitter.com/NathanBLawrence/status/997175068517126144", "997175068517126144")</f>
        <v/>
      </c>
      <c r="B329" s="2" t="n">
        <v>43237.75042824074</v>
      </c>
      <c r="C329" t="n">
        <v>0</v>
      </c>
      <c r="D329" t="n">
        <v>4143</v>
      </c>
      <c r="E329" t="s">
        <v>340</v>
      </c>
      <c r="F329" t="s"/>
      <c r="G329" t="s"/>
      <c r="H329" t="s"/>
      <c r="I329" t="s"/>
      <c r="J329" t="n">
        <v>-0.5266999999999999</v>
      </c>
      <c r="K329" t="n">
        <v>0.195</v>
      </c>
      <c r="L329" t="n">
        <v>0.805</v>
      </c>
      <c r="M329" t="n">
        <v>0</v>
      </c>
    </row>
    <row r="330" spans="1:13">
      <c r="A330" s="1">
        <f>HYPERLINK("http://www.twitter.com/NathanBLawrence/status/997174940368588801", "997174940368588801")</f>
        <v/>
      </c>
      <c r="B330" s="2" t="n">
        <v>43237.75008101852</v>
      </c>
      <c r="C330" t="n">
        <v>0</v>
      </c>
      <c r="D330" t="n">
        <v>7160</v>
      </c>
      <c r="E330" t="s">
        <v>341</v>
      </c>
      <c r="F330" t="s"/>
      <c r="G330" t="s"/>
      <c r="H330" t="s"/>
      <c r="I330" t="s"/>
      <c r="J330" t="n">
        <v>-0.1027</v>
      </c>
      <c r="K330" t="n">
        <v>0.081</v>
      </c>
      <c r="L330" t="n">
        <v>0.857</v>
      </c>
      <c r="M330" t="n">
        <v>0.062</v>
      </c>
    </row>
    <row r="331" spans="1:13">
      <c r="A331" s="1">
        <f>HYPERLINK("http://www.twitter.com/NathanBLawrence/status/997174868595658754", "997174868595658754")</f>
        <v/>
      </c>
      <c r="B331" s="2" t="n">
        <v>43237.74987268518</v>
      </c>
      <c r="C331" t="n">
        <v>0</v>
      </c>
      <c r="D331" t="n">
        <v>8791</v>
      </c>
      <c r="E331" t="s">
        <v>342</v>
      </c>
      <c r="F331" t="s"/>
      <c r="G331" t="s"/>
      <c r="H331" t="s"/>
      <c r="I331" t="s"/>
      <c r="J331" t="n">
        <v>-0.6597</v>
      </c>
      <c r="K331" t="n">
        <v>0.255</v>
      </c>
      <c r="L331" t="n">
        <v>0.647</v>
      </c>
      <c r="M331" t="n">
        <v>0.097</v>
      </c>
    </row>
    <row r="332" spans="1:13">
      <c r="A332" s="1">
        <f>HYPERLINK("http://www.twitter.com/NathanBLawrence/status/996971044853440512", "996971044853440512")</f>
        <v/>
      </c>
      <c r="B332" s="2" t="n">
        <v>43237.18743055555</v>
      </c>
      <c r="C332" t="n">
        <v>0</v>
      </c>
      <c r="D332" t="n">
        <v>7</v>
      </c>
      <c r="E332" t="s">
        <v>343</v>
      </c>
      <c r="F332" t="s"/>
      <c r="G332" t="s"/>
      <c r="H332" t="s"/>
      <c r="I332" t="s"/>
      <c r="J332" t="n">
        <v>-0.296</v>
      </c>
      <c r="K332" t="n">
        <v>0.109</v>
      </c>
      <c r="L332" t="n">
        <v>0.891</v>
      </c>
      <c r="M332" t="n">
        <v>0</v>
      </c>
    </row>
    <row r="333" spans="1:13">
      <c r="A333" s="1">
        <f>HYPERLINK("http://www.twitter.com/NathanBLawrence/status/996963797725319169", "996963797725319169")</f>
        <v/>
      </c>
      <c r="B333" s="2" t="n">
        <v>43237.16743055556</v>
      </c>
      <c r="C333" t="n">
        <v>0</v>
      </c>
      <c r="D333" t="n">
        <v>1165</v>
      </c>
      <c r="E333" t="s">
        <v>344</v>
      </c>
      <c r="F333" t="s"/>
      <c r="G333" t="s"/>
      <c r="H333" t="s"/>
      <c r="I333" t="s"/>
      <c r="J333" t="n">
        <v>-0.3715</v>
      </c>
      <c r="K333" t="n">
        <v>0.284</v>
      </c>
      <c r="L333" t="n">
        <v>0.464</v>
      </c>
      <c r="M333" t="n">
        <v>0.252</v>
      </c>
    </row>
    <row r="334" spans="1:13">
      <c r="A334" s="1">
        <f>HYPERLINK("http://www.twitter.com/NathanBLawrence/status/996963115072917504", "996963115072917504")</f>
        <v/>
      </c>
      <c r="B334" s="2" t="n">
        <v>43237.16554398148</v>
      </c>
      <c r="C334" t="n">
        <v>0</v>
      </c>
      <c r="D334" t="n">
        <v>618</v>
      </c>
      <c r="E334" t="s">
        <v>345</v>
      </c>
      <c r="F334" t="s"/>
      <c r="G334" t="s"/>
      <c r="H334" t="s"/>
      <c r="I334" t="s"/>
      <c r="J334" t="n">
        <v>0.4767</v>
      </c>
      <c r="K334" t="n">
        <v>0</v>
      </c>
      <c r="L334" t="n">
        <v>0.78</v>
      </c>
      <c r="M334" t="n">
        <v>0.22</v>
      </c>
    </row>
    <row r="335" spans="1:13">
      <c r="A335" s="1">
        <f>HYPERLINK("http://www.twitter.com/NathanBLawrence/status/996962989164154883", "996962989164154883")</f>
        <v/>
      </c>
      <c r="B335" s="2" t="n">
        <v>43237.16519675926</v>
      </c>
      <c r="C335" t="n">
        <v>0</v>
      </c>
      <c r="D335" t="n">
        <v>28</v>
      </c>
      <c r="E335" t="s">
        <v>346</v>
      </c>
      <c r="F335" t="s"/>
      <c r="G335" t="s"/>
      <c r="H335" t="s"/>
      <c r="I335" t="s"/>
      <c r="J335" t="n">
        <v>-0.7579</v>
      </c>
      <c r="K335" t="n">
        <v>0.265</v>
      </c>
      <c r="L335" t="n">
        <v>0.735</v>
      </c>
      <c r="M335" t="n">
        <v>0</v>
      </c>
    </row>
    <row r="336" spans="1:13">
      <c r="A336" s="1">
        <f>HYPERLINK("http://www.twitter.com/NathanBLawrence/status/996962641104068609", "996962641104068609")</f>
        <v/>
      </c>
      <c r="B336" s="2" t="n">
        <v>43237.16423611111</v>
      </c>
      <c r="C336" t="n">
        <v>0</v>
      </c>
      <c r="D336" t="n">
        <v>2414</v>
      </c>
      <c r="E336" t="s">
        <v>347</v>
      </c>
      <c r="F336">
        <f>HYPERLINK("http://pbs.twimg.com/media/DdTG2O2V4AArrZR.jpg", "http://pbs.twimg.com/media/DdTG2O2V4AArrZR.jpg")</f>
        <v/>
      </c>
      <c r="G336" t="s"/>
      <c r="H336" t="s"/>
      <c r="I336" t="s"/>
      <c r="J336" t="n">
        <v>0</v>
      </c>
      <c r="K336" t="n">
        <v>0</v>
      </c>
      <c r="L336" t="n">
        <v>1</v>
      </c>
      <c r="M336" t="n">
        <v>0</v>
      </c>
    </row>
    <row r="337" spans="1:13">
      <c r="A337" s="1">
        <f>HYPERLINK("http://www.twitter.com/NathanBLawrence/status/996962394600628224", "996962394600628224")</f>
        <v/>
      </c>
      <c r="B337" s="2" t="n">
        <v>43237.16356481481</v>
      </c>
      <c r="C337" t="n">
        <v>0</v>
      </c>
      <c r="D337" t="n">
        <v>59</v>
      </c>
      <c r="E337" t="s">
        <v>348</v>
      </c>
      <c r="F337">
        <f>HYPERLINK("https://video.twimg.com/ext_tw_video/996923904517009408/pu/vid/1278x720/_I04G9aV4STYTfBI.mp4?tag=3", "https://video.twimg.com/ext_tw_video/996923904517009408/pu/vid/1278x720/_I04G9aV4STYTfBI.mp4?tag=3")</f>
        <v/>
      </c>
      <c r="G337" t="s"/>
      <c r="H337" t="s"/>
      <c r="I337" t="s"/>
      <c r="J337" t="n">
        <v>-0.5707</v>
      </c>
      <c r="K337" t="n">
        <v>0.163</v>
      </c>
      <c r="L337" t="n">
        <v>0.837</v>
      </c>
      <c r="M337" t="n">
        <v>0</v>
      </c>
    </row>
    <row r="338" spans="1:13">
      <c r="A338" s="1">
        <f>HYPERLINK("http://www.twitter.com/NathanBLawrence/status/996962035769409536", "996962035769409536")</f>
        <v/>
      </c>
      <c r="B338" s="2" t="n">
        <v>43237.16256944444</v>
      </c>
      <c r="C338" t="n">
        <v>0</v>
      </c>
      <c r="D338" t="n">
        <v>12556</v>
      </c>
      <c r="E338" t="s">
        <v>349</v>
      </c>
      <c r="F338" t="s"/>
      <c r="G338" t="s"/>
      <c r="H338" t="s"/>
      <c r="I338" t="s"/>
      <c r="J338" t="n">
        <v>0</v>
      </c>
      <c r="K338" t="n">
        <v>0</v>
      </c>
      <c r="L338" t="n">
        <v>1</v>
      </c>
      <c r="M338" t="n">
        <v>0</v>
      </c>
    </row>
    <row r="339" spans="1:13">
      <c r="A339" s="1">
        <f>HYPERLINK("http://www.twitter.com/NathanBLawrence/status/996960615162933248", "996960615162933248")</f>
        <v/>
      </c>
      <c r="B339" s="2" t="n">
        <v>43237.15864583333</v>
      </c>
      <c r="C339" t="n">
        <v>0</v>
      </c>
      <c r="D339" t="n">
        <v>1705</v>
      </c>
      <c r="E339" t="s">
        <v>350</v>
      </c>
      <c r="F339" t="s"/>
      <c r="G339" t="s"/>
      <c r="H339" t="s"/>
      <c r="I339" t="s"/>
      <c r="J339" t="n">
        <v>0</v>
      </c>
      <c r="K339" t="n">
        <v>0</v>
      </c>
      <c r="L339" t="n">
        <v>1</v>
      </c>
      <c r="M339" t="n">
        <v>0</v>
      </c>
    </row>
    <row r="340" spans="1:13">
      <c r="A340" s="1">
        <f>HYPERLINK("http://www.twitter.com/NathanBLawrence/status/996960422669553665", "996960422669553665")</f>
        <v/>
      </c>
      <c r="B340" s="2" t="n">
        <v>43237.158125</v>
      </c>
      <c r="C340" t="n">
        <v>0</v>
      </c>
      <c r="D340" t="n">
        <v>844</v>
      </c>
      <c r="E340" t="s">
        <v>351</v>
      </c>
      <c r="F340">
        <f>HYPERLINK("http://pbs.twimg.com/media/DdRbsRSWsAAd4JT.jpg", "http://pbs.twimg.com/media/DdRbsRSWsAAd4JT.jpg")</f>
        <v/>
      </c>
      <c r="G340" t="s"/>
      <c r="H340" t="s"/>
      <c r="I340" t="s"/>
      <c r="J340" t="n">
        <v>-0.7897</v>
      </c>
      <c r="K340" t="n">
        <v>0.206</v>
      </c>
      <c r="L340" t="n">
        <v>0.794</v>
      </c>
      <c r="M340" t="n">
        <v>0</v>
      </c>
    </row>
    <row r="341" spans="1:13">
      <c r="A341" s="1">
        <f>HYPERLINK("http://www.twitter.com/NathanBLawrence/status/996958744843096066", "996958744843096066")</f>
        <v/>
      </c>
      <c r="B341" s="2" t="n">
        <v>43237.15349537037</v>
      </c>
      <c r="C341" t="n">
        <v>0</v>
      </c>
      <c r="D341" t="n">
        <v>11787</v>
      </c>
      <c r="E341" t="s">
        <v>352</v>
      </c>
      <c r="F341" t="s"/>
      <c r="G341" t="s"/>
      <c r="H341" t="s"/>
      <c r="I341" t="s"/>
      <c r="J341" t="n">
        <v>0</v>
      </c>
      <c r="K341" t="n">
        <v>0</v>
      </c>
      <c r="L341" t="n">
        <v>1</v>
      </c>
      <c r="M341" t="n">
        <v>0</v>
      </c>
    </row>
    <row r="342" spans="1:13">
      <c r="A342" s="1">
        <f>HYPERLINK("http://www.twitter.com/NathanBLawrence/status/996957926937059333", "996957926937059333")</f>
        <v/>
      </c>
      <c r="B342" s="2" t="n">
        <v>43237.15123842593</v>
      </c>
      <c r="C342" t="n">
        <v>0</v>
      </c>
      <c r="D342" t="n">
        <v>4064</v>
      </c>
      <c r="E342" t="s">
        <v>353</v>
      </c>
      <c r="F342" t="s"/>
      <c r="G342" t="s"/>
      <c r="H342" t="s"/>
      <c r="I342" t="s"/>
      <c r="J342" t="n">
        <v>0.91</v>
      </c>
      <c r="K342" t="n">
        <v>0</v>
      </c>
      <c r="L342" t="n">
        <v>0.59</v>
      </c>
      <c r="M342" t="n">
        <v>0.41</v>
      </c>
    </row>
    <row r="343" spans="1:13">
      <c r="A343" s="1">
        <f>HYPERLINK("http://www.twitter.com/NathanBLawrence/status/996957820963745793", "996957820963745793")</f>
        <v/>
      </c>
      <c r="B343" s="2" t="n">
        <v>43237.1509375</v>
      </c>
      <c r="C343" t="n">
        <v>0</v>
      </c>
      <c r="D343" t="n">
        <v>441</v>
      </c>
      <c r="E343" t="s">
        <v>354</v>
      </c>
      <c r="F343">
        <f>HYPERLINK("http://pbs.twimg.com/media/DdWYH8eVwAArO-Q.jpg", "http://pbs.twimg.com/media/DdWYH8eVwAArO-Q.jpg")</f>
        <v/>
      </c>
      <c r="G343" t="s"/>
      <c r="H343" t="s"/>
      <c r="I343" t="s"/>
      <c r="J343" t="n">
        <v>0</v>
      </c>
      <c r="K343" t="n">
        <v>0</v>
      </c>
      <c r="L343" t="n">
        <v>1</v>
      </c>
      <c r="M343" t="n">
        <v>0</v>
      </c>
    </row>
    <row r="344" spans="1:13">
      <c r="A344" s="1">
        <f>HYPERLINK("http://www.twitter.com/NathanBLawrence/status/996956874296692736", "996956874296692736")</f>
        <v/>
      </c>
      <c r="B344" s="2" t="n">
        <v>43237.14833333333</v>
      </c>
      <c r="C344" t="n">
        <v>0</v>
      </c>
      <c r="D344" t="n">
        <v>1420</v>
      </c>
      <c r="E344" t="s">
        <v>355</v>
      </c>
      <c r="F344">
        <f>HYPERLINK("https://video.twimg.com/amplify_video/996929546065719296/vid/1280x720/EIGZ3p5Ew4P_yOBU.mp4?tag=2", "https://video.twimg.com/amplify_video/996929546065719296/vid/1280x720/EIGZ3p5Ew4P_yOBU.mp4?tag=2")</f>
        <v/>
      </c>
      <c r="G344" t="s"/>
      <c r="H344" t="s"/>
      <c r="I344" t="s"/>
      <c r="J344" t="n">
        <v>0</v>
      </c>
      <c r="K344" t="n">
        <v>0</v>
      </c>
      <c r="L344" t="n">
        <v>1</v>
      </c>
      <c r="M344" t="n">
        <v>0</v>
      </c>
    </row>
    <row r="345" spans="1:13">
      <c r="A345" s="1">
        <f>HYPERLINK("http://www.twitter.com/NathanBLawrence/status/996956657623142402", "996956657623142402")</f>
        <v/>
      </c>
      <c r="B345" s="2" t="n">
        <v>43237.14773148148</v>
      </c>
      <c r="C345" t="n">
        <v>0</v>
      </c>
      <c r="D345" t="n">
        <v>2142</v>
      </c>
      <c r="E345" t="s">
        <v>356</v>
      </c>
      <c r="F345">
        <f>HYPERLINK("https://video.twimg.com/amplify_video/996904131351625728/vid/1280x720/hz0MBB4K3A0tTbog.mp4?tag=2", "https://video.twimg.com/amplify_video/996904131351625728/vid/1280x720/hz0MBB4K3A0tTbog.mp4?tag=2")</f>
        <v/>
      </c>
      <c r="G345" t="s"/>
      <c r="H345" t="s"/>
      <c r="I345" t="s"/>
      <c r="J345" t="n">
        <v>0.5610000000000001</v>
      </c>
      <c r="K345" t="n">
        <v>0</v>
      </c>
      <c r="L345" t="n">
        <v>0.84</v>
      </c>
      <c r="M345" t="n">
        <v>0.16</v>
      </c>
    </row>
    <row r="346" spans="1:13">
      <c r="A346" s="1">
        <f>HYPERLINK("http://www.twitter.com/NathanBLawrence/status/996956185625538560", "996956185625538560")</f>
        <v/>
      </c>
      <c r="B346" s="2" t="n">
        <v>43237.14642361111</v>
      </c>
      <c r="C346" t="n">
        <v>0</v>
      </c>
      <c r="D346" t="n">
        <v>200</v>
      </c>
      <c r="E346" t="s">
        <v>357</v>
      </c>
      <c r="F346" t="s"/>
      <c r="G346" t="s"/>
      <c r="H346" t="s"/>
      <c r="I346" t="s"/>
      <c r="J346" t="n">
        <v>0</v>
      </c>
      <c r="K346" t="n">
        <v>0</v>
      </c>
      <c r="L346" t="n">
        <v>1</v>
      </c>
      <c r="M346" t="n">
        <v>0</v>
      </c>
    </row>
    <row r="347" spans="1:13">
      <c r="A347" s="1">
        <f>HYPERLINK("http://www.twitter.com/NathanBLawrence/status/996956008751751168", "996956008751751168")</f>
        <v/>
      </c>
      <c r="B347" s="2" t="n">
        <v>43237.1459375</v>
      </c>
      <c r="C347" t="n">
        <v>0</v>
      </c>
      <c r="D347" t="n">
        <v>11867</v>
      </c>
      <c r="E347" t="s">
        <v>358</v>
      </c>
      <c r="F347" t="s"/>
      <c r="G347" t="s"/>
      <c r="H347" t="s"/>
      <c r="I347" t="s"/>
      <c r="J347" t="n">
        <v>0.2682</v>
      </c>
      <c r="K347" t="n">
        <v>0</v>
      </c>
      <c r="L347" t="n">
        <v>0.914</v>
      </c>
      <c r="M347" t="n">
        <v>0.08599999999999999</v>
      </c>
    </row>
    <row r="348" spans="1:13">
      <c r="A348" s="1">
        <f>HYPERLINK("http://www.twitter.com/NathanBLawrence/status/996955889931374593", "996955889931374593")</f>
        <v/>
      </c>
      <c r="B348" s="2" t="n">
        <v>43237.14561342593</v>
      </c>
      <c r="C348" t="n">
        <v>0</v>
      </c>
      <c r="D348" t="n">
        <v>1587</v>
      </c>
      <c r="E348" t="s">
        <v>359</v>
      </c>
      <c r="F348" t="s"/>
      <c r="G348" t="s"/>
      <c r="H348" t="s"/>
      <c r="I348" t="s"/>
      <c r="J348" t="n">
        <v>0</v>
      </c>
      <c r="K348" t="n">
        <v>0</v>
      </c>
      <c r="L348" t="n">
        <v>1</v>
      </c>
      <c r="M348" t="n">
        <v>0</v>
      </c>
    </row>
    <row r="349" spans="1:13">
      <c r="A349" s="1">
        <f>HYPERLINK("http://www.twitter.com/NathanBLawrence/status/996955070481788928", "996955070481788928")</f>
        <v/>
      </c>
      <c r="B349" s="2" t="n">
        <v>43237.14334490741</v>
      </c>
      <c r="C349" t="n">
        <v>0</v>
      </c>
      <c r="D349" t="n">
        <v>69</v>
      </c>
      <c r="E349" t="s">
        <v>360</v>
      </c>
      <c r="F349" t="s"/>
      <c r="G349" t="s"/>
      <c r="H349" t="s"/>
      <c r="I349" t="s"/>
      <c r="J349" t="n">
        <v>0.6688</v>
      </c>
      <c r="K349" t="n">
        <v>0.14</v>
      </c>
      <c r="L349" t="n">
        <v>0.577</v>
      </c>
      <c r="M349" t="n">
        <v>0.283</v>
      </c>
    </row>
    <row r="350" spans="1:13">
      <c r="A350" s="1">
        <f>HYPERLINK("http://www.twitter.com/NathanBLawrence/status/996948712764203008", "996948712764203008")</f>
        <v/>
      </c>
      <c r="B350" s="2" t="n">
        <v>43237.12581018519</v>
      </c>
      <c r="C350" t="n">
        <v>0</v>
      </c>
      <c r="D350" t="n">
        <v>228</v>
      </c>
      <c r="E350" t="s">
        <v>361</v>
      </c>
      <c r="F350">
        <f>HYPERLINK("https://video.twimg.com/amplify_video/996939449077510144/vid/1280x720/ovC_o_XpPxM6g3cy.mp4?tag=2", "https://video.twimg.com/amplify_video/996939449077510144/vid/1280x720/ovC_o_XpPxM6g3cy.mp4?tag=2")</f>
        <v/>
      </c>
      <c r="G350" t="s"/>
      <c r="H350" t="s"/>
      <c r="I350" t="s"/>
      <c r="J350" t="n">
        <v>0</v>
      </c>
      <c r="K350" t="n">
        <v>0</v>
      </c>
      <c r="L350" t="n">
        <v>1</v>
      </c>
      <c r="M350" t="n">
        <v>0</v>
      </c>
    </row>
    <row r="351" spans="1:13">
      <c r="A351" s="1">
        <f>HYPERLINK("http://www.twitter.com/NathanBLawrence/status/996942302433239040", "996942302433239040")</f>
        <v/>
      </c>
      <c r="B351" s="2" t="n">
        <v>43237.10811342593</v>
      </c>
      <c r="C351" t="n">
        <v>0</v>
      </c>
      <c r="D351" t="n">
        <v>2805</v>
      </c>
      <c r="E351" t="s">
        <v>362</v>
      </c>
      <c r="F351" t="s"/>
      <c r="G351" t="s"/>
      <c r="H351" t="s"/>
      <c r="I351" t="s"/>
      <c r="J351" t="n">
        <v>-0.6486</v>
      </c>
      <c r="K351" t="n">
        <v>0.298</v>
      </c>
      <c r="L351" t="n">
        <v>0.496</v>
      </c>
      <c r="M351" t="n">
        <v>0.207</v>
      </c>
    </row>
    <row r="352" spans="1:13">
      <c r="A352" s="1">
        <f>HYPERLINK("http://www.twitter.com/NathanBLawrence/status/996921825547505664", "996921825547505664")</f>
        <v/>
      </c>
      <c r="B352" s="2" t="n">
        <v>43237.0516087963</v>
      </c>
      <c r="C352" t="n">
        <v>0</v>
      </c>
      <c r="D352" t="n">
        <v>268</v>
      </c>
      <c r="E352" t="s">
        <v>363</v>
      </c>
      <c r="F352">
        <f>HYPERLINK("https://video.twimg.com/amplify_video/996874040756273152/vid/1280x720/HaaTPlFcrL6N-y6V.mp4?tag=2", "https://video.twimg.com/amplify_video/996874040756273152/vid/1280x720/HaaTPlFcrL6N-y6V.mp4?tag=2")</f>
        <v/>
      </c>
      <c r="G352" t="s"/>
      <c r="H352" t="s"/>
      <c r="I352" t="s"/>
      <c r="J352" t="n">
        <v>0</v>
      </c>
      <c r="K352" t="n">
        <v>0</v>
      </c>
      <c r="L352" t="n">
        <v>1</v>
      </c>
      <c r="M352" t="n">
        <v>0</v>
      </c>
    </row>
    <row r="353" spans="1:13">
      <c r="A353" s="1">
        <f>HYPERLINK("http://www.twitter.com/NathanBLawrence/status/996921536006295552", "996921536006295552")</f>
        <v/>
      </c>
      <c r="B353" s="2" t="n">
        <v>43237.05081018519</v>
      </c>
      <c r="C353" t="n">
        <v>0</v>
      </c>
      <c r="D353" t="n">
        <v>3746</v>
      </c>
      <c r="E353" t="s">
        <v>364</v>
      </c>
      <c r="F353">
        <f>HYPERLINK("https://video.twimg.com/amplify_video/996896569625477120/vid/1280x720/jJJ-2FR1DtP_pvDQ.mp4?tag=2", "https://video.twimg.com/amplify_video/996896569625477120/vid/1280x720/jJJ-2FR1DtP_pvDQ.mp4?tag=2")</f>
        <v/>
      </c>
      <c r="G353" t="s"/>
      <c r="H353" t="s"/>
      <c r="I353" t="s"/>
      <c r="J353" t="n">
        <v>0</v>
      </c>
      <c r="K353" t="n">
        <v>0</v>
      </c>
      <c r="L353" t="n">
        <v>1</v>
      </c>
      <c r="M353" t="n">
        <v>0</v>
      </c>
    </row>
    <row r="354" spans="1:13">
      <c r="A354" s="1">
        <f>HYPERLINK("http://www.twitter.com/NathanBLawrence/status/996921040260485123", "996921040260485123")</f>
        <v/>
      </c>
      <c r="B354" s="2" t="n">
        <v>43237.04944444444</v>
      </c>
      <c r="C354" t="n">
        <v>0</v>
      </c>
      <c r="D354" t="n">
        <v>1598</v>
      </c>
      <c r="E354" t="s">
        <v>365</v>
      </c>
      <c r="F354" t="s"/>
      <c r="G354" t="s"/>
      <c r="H354" t="s"/>
      <c r="I354" t="s"/>
      <c r="J354" t="n">
        <v>-0.4588</v>
      </c>
      <c r="K354" t="n">
        <v>0.25</v>
      </c>
      <c r="L354" t="n">
        <v>0.75</v>
      </c>
      <c r="M354" t="n">
        <v>0</v>
      </c>
    </row>
    <row r="355" spans="1:13">
      <c r="A355" s="1">
        <f>HYPERLINK("http://www.twitter.com/NathanBLawrence/status/996920627503263744", "996920627503263744")</f>
        <v/>
      </c>
      <c r="B355" s="2" t="n">
        <v>43237.04831018519</v>
      </c>
      <c r="C355" t="n">
        <v>0</v>
      </c>
      <c r="D355" t="n">
        <v>663</v>
      </c>
      <c r="E355" t="s">
        <v>366</v>
      </c>
      <c r="F355" t="s"/>
      <c r="G355" t="s"/>
      <c r="H355" t="s"/>
      <c r="I355" t="s"/>
      <c r="J355" t="n">
        <v>0</v>
      </c>
      <c r="K355" t="n">
        <v>0</v>
      </c>
      <c r="L355" t="n">
        <v>1</v>
      </c>
      <c r="M355" t="n">
        <v>0</v>
      </c>
    </row>
    <row r="356" spans="1:13">
      <c r="A356" s="1">
        <f>HYPERLINK("http://www.twitter.com/NathanBLawrence/status/996920539544543240", "996920539544543240")</f>
        <v/>
      </c>
      <c r="B356" s="2" t="n">
        <v>43237.04806712963</v>
      </c>
      <c r="C356" t="n">
        <v>0</v>
      </c>
      <c r="D356" t="n">
        <v>138</v>
      </c>
      <c r="E356" t="s">
        <v>367</v>
      </c>
      <c r="F356" t="s"/>
      <c r="G356" t="s"/>
      <c r="H356" t="s"/>
      <c r="I356" t="s"/>
      <c r="J356" t="n">
        <v>0</v>
      </c>
      <c r="K356" t="n">
        <v>0</v>
      </c>
      <c r="L356" t="n">
        <v>1</v>
      </c>
      <c r="M356" t="n">
        <v>0</v>
      </c>
    </row>
    <row r="357" spans="1:13">
      <c r="A357" s="1">
        <f>HYPERLINK("http://www.twitter.com/NathanBLawrence/status/996920044213948416", "996920044213948416")</f>
        <v/>
      </c>
      <c r="B357" s="2" t="n">
        <v>43237.04670138889</v>
      </c>
      <c r="C357" t="n">
        <v>0</v>
      </c>
      <c r="D357" t="n">
        <v>1426</v>
      </c>
      <c r="E357" t="s">
        <v>368</v>
      </c>
      <c r="F357">
        <f>HYPERLINK("http://pbs.twimg.com/media/DdWdv9IXcAE_4uB.jpg", "http://pbs.twimg.com/media/DdWdv9IXcAE_4uB.jpg")</f>
        <v/>
      </c>
      <c r="G357" t="s"/>
      <c r="H357" t="s"/>
      <c r="I357" t="s"/>
      <c r="J357" t="n">
        <v>0.8074</v>
      </c>
      <c r="K357" t="n">
        <v>0</v>
      </c>
      <c r="L357" t="n">
        <v>0.742</v>
      </c>
      <c r="M357" t="n">
        <v>0.258</v>
      </c>
    </row>
    <row r="358" spans="1:13">
      <c r="A358" s="1">
        <f>HYPERLINK("http://www.twitter.com/NathanBLawrence/status/996919942112006144", "996919942112006144")</f>
        <v/>
      </c>
      <c r="B358" s="2" t="n">
        <v>43237.04641203704</v>
      </c>
      <c r="C358" t="n">
        <v>0</v>
      </c>
      <c r="D358" t="n">
        <v>2872</v>
      </c>
      <c r="E358" t="s">
        <v>369</v>
      </c>
      <c r="F358" t="s"/>
      <c r="G358" t="s"/>
      <c r="H358" t="s"/>
      <c r="I358" t="s"/>
      <c r="J358" t="n">
        <v>0</v>
      </c>
      <c r="K358" t="n">
        <v>0</v>
      </c>
      <c r="L358" t="n">
        <v>1</v>
      </c>
      <c r="M358" t="n">
        <v>0</v>
      </c>
    </row>
    <row r="359" spans="1:13">
      <c r="A359" s="1">
        <f>HYPERLINK("http://www.twitter.com/NathanBLawrence/status/996919780086108161", "996919780086108161")</f>
        <v/>
      </c>
      <c r="B359" s="2" t="n">
        <v>43237.04597222222</v>
      </c>
      <c r="C359" t="n">
        <v>0</v>
      </c>
      <c r="D359" t="n">
        <v>37</v>
      </c>
      <c r="E359" t="s">
        <v>370</v>
      </c>
      <c r="F359">
        <f>HYPERLINK("http://pbs.twimg.com/media/DdW_gWKXUAADea-.jpg", "http://pbs.twimg.com/media/DdW_gWKXUAADea-.jpg")</f>
        <v/>
      </c>
      <c r="G359" t="s"/>
      <c r="H359" t="s"/>
      <c r="I359" t="s"/>
      <c r="J359" t="n">
        <v>0.1027</v>
      </c>
      <c r="K359" t="n">
        <v>0</v>
      </c>
      <c r="L359" t="n">
        <v>0.924</v>
      </c>
      <c r="M359" t="n">
        <v>0.076</v>
      </c>
    </row>
    <row r="360" spans="1:13">
      <c r="A360" s="1">
        <f>HYPERLINK("http://www.twitter.com/NathanBLawrence/status/996919618685014016", "996919618685014016")</f>
        <v/>
      </c>
      <c r="B360" s="2" t="n">
        <v>43237.04552083334</v>
      </c>
      <c r="C360" t="n">
        <v>0</v>
      </c>
      <c r="D360" t="n">
        <v>15614</v>
      </c>
      <c r="E360" t="s">
        <v>371</v>
      </c>
      <c r="F360">
        <f>HYPERLINK("http://pbs.twimg.com/media/DdVrgBVWsAIC9eB.jpg", "http://pbs.twimg.com/media/DdVrgBVWsAIC9eB.jpg")</f>
        <v/>
      </c>
      <c r="G360" t="s"/>
      <c r="H360" t="s"/>
      <c r="I360" t="s"/>
      <c r="J360" t="n">
        <v>-0.0258</v>
      </c>
      <c r="K360" t="n">
        <v>0.055</v>
      </c>
      <c r="L360" t="n">
        <v>0.945</v>
      </c>
      <c r="M360" t="n">
        <v>0</v>
      </c>
    </row>
    <row r="361" spans="1:13">
      <c r="A361" s="1">
        <f>HYPERLINK("http://www.twitter.com/NathanBLawrence/status/996918621774532608", "996918621774532608")</f>
        <v/>
      </c>
      <c r="B361" s="2" t="n">
        <v>43237.0427662037</v>
      </c>
      <c r="C361" t="n">
        <v>0</v>
      </c>
      <c r="D361" t="n">
        <v>801</v>
      </c>
      <c r="E361" t="s">
        <v>372</v>
      </c>
      <c r="F361">
        <f>HYPERLINK("http://pbs.twimg.com/media/DdW0gaBW4AUPiLL.jpg", "http://pbs.twimg.com/media/DdW0gaBW4AUPiLL.jpg")</f>
        <v/>
      </c>
      <c r="G361" t="s"/>
      <c r="H361" t="s"/>
      <c r="I361" t="s"/>
      <c r="J361" t="n">
        <v>0</v>
      </c>
      <c r="K361" t="n">
        <v>0</v>
      </c>
      <c r="L361" t="n">
        <v>1</v>
      </c>
      <c r="M361" t="n">
        <v>0</v>
      </c>
    </row>
    <row r="362" spans="1:13">
      <c r="A362" s="1">
        <f>HYPERLINK("http://www.twitter.com/NathanBLawrence/status/996918187244564481", "996918187244564481")</f>
        <v/>
      </c>
      <c r="B362" s="2" t="n">
        <v>43237.04157407407</v>
      </c>
      <c r="C362" t="n">
        <v>0</v>
      </c>
      <c r="D362" t="n">
        <v>411</v>
      </c>
      <c r="E362" t="s">
        <v>373</v>
      </c>
      <c r="F362">
        <f>HYPERLINK("http://pbs.twimg.com/media/DdWlzByUQAA9yaG.jpg", "http://pbs.twimg.com/media/DdWlzByUQAA9yaG.jpg")</f>
        <v/>
      </c>
      <c r="G362">
        <f>HYPERLINK("http://pbs.twimg.com/media/DdWl0EzUwAAt7cU.jpg", "http://pbs.twimg.com/media/DdWl0EzUwAAt7cU.jpg")</f>
        <v/>
      </c>
      <c r="H362" t="s"/>
      <c r="I362" t="s"/>
      <c r="J362" t="n">
        <v>0.3818</v>
      </c>
      <c r="K362" t="n">
        <v>0</v>
      </c>
      <c r="L362" t="n">
        <v>0.89</v>
      </c>
      <c r="M362" t="n">
        <v>0.11</v>
      </c>
    </row>
    <row r="363" spans="1:13">
      <c r="A363" s="1">
        <f>HYPERLINK("http://www.twitter.com/NathanBLawrence/status/996915873234472960", "996915873234472960")</f>
        <v/>
      </c>
      <c r="B363" s="2" t="n">
        <v>43237.03518518519</v>
      </c>
      <c r="C363" t="n">
        <v>0</v>
      </c>
      <c r="D363" t="n">
        <v>8122</v>
      </c>
      <c r="E363" t="s">
        <v>374</v>
      </c>
      <c r="F363" t="s"/>
      <c r="G363" t="s"/>
      <c r="H363" t="s"/>
      <c r="I363" t="s"/>
      <c r="J363" t="n">
        <v>0.3971</v>
      </c>
      <c r="K363" t="n">
        <v>0.191</v>
      </c>
      <c r="L363" t="n">
        <v>0.51</v>
      </c>
      <c r="M363" t="n">
        <v>0.298</v>
      </c>
    </row>
    <row r="364" spans="1:13">
      <c r="A364" s="1">
        <f>HYPERLINK("http://www.twitter.com/NathanBLawrence/status/996915754925740032", "996915754925740032")</f>
        <v/>
      </c>
      <c r="B364" s="2" t="n">
        <v>43237.03486111111</v>
      </c>
      <c r="C364" t="n">
        <v>0</v>
      </c>
      <c r="D364" t="n">
        <v>3079</v>
      </c>
      <c r="E364" t="s">
        <v>375</v>
      </c>
      <c r="F364" t="s"/>
      <c r="G364" t="s"/>
      <c r="H364" t="s"/>
      <c r="I364" t="s"/>
      <c r="J364" t="n">
        <v>0.5266999999999999</v>
      </c>
      <c r="K364" t="n">
        <v>0</v>
      </c>
      <c r="L364" t="n">
        <v>0.855</v>
      </c>
      <c r="M364" t="n">
        <v>0.145</v>
      </c>
    </row>
    <row r="365" spans="1:13">
      <c r="A365" s="1">
        <f>HYPERLINK("http://www.twitter.com/NathanBLawrence/status/996915615754539008", "996915615754539008")</f>
        <v/>
      </c>
      <c r="B365" s="2" t="n">
        <v>43237.03447916666</v>
      </c>
      <c r="C365" t="n">
        <v>0</v>
      </c>
      <c r="D365" t="n">
        <v>3723</v>
      </c>
      <c r="E365" t="s">
        <v>376</v>
      </c>
      <c r="F365" t="s"/>
      <c r="G365" t="s"/>
      <c r="H365" t="s"/>
      <c r="I365" t="s"/>
      <c r="J365" t="n">
        <v>0</v>
      </c>
      <c r="K365" t="n">
        <v>0</v>
      </c>
      <c r="L365" t="n">
        <v>1</v>
      </c>
      <c r="M365" t="n">
        <v>0</v>
      </c>
    </row>
    <row r="366" spans="1:13">
      <c r="A366" s="1">
        <f>HYPERLINK("http://www.twitter.com/NathanBLawrence/status/996914962298736640", "996914962298736640")</f>
        <v/>
      </c>
      <c r="B366" s="2" t="n">
        <v>43237.03267361111</v>
      </c>
      <c r="C366" t="n">
        <v>0</v>
      </c>
      <c r="D366" t="n">
        <v>222</v>
      </c>
      <c r="E366" t="s">
        <v>377</v>
      </c>
      <c r="F366">
        <f>HYPERLINK("http://pbs.twimg.com/media/DdWLypeWkAA3brh.jpg", "http://pbs.twimg.com/media/DdWLypeWkAA3brh.jpg")</f>
        <v/>
      </c>
      <c r="G366" t="s"/>
      <c r="H366" t="s"/>
      <c r="I366" t="s"/>
      <c r="J366" t="n">
        <v>0.9056999999999999</v>
      </c>
      <c r="K366" t="n">
        <v>0</v>
      </c>
      <c r="L366" t="n">
        <v>0.651</v>
      </c>
      <c r="M366" t="n">
        <v>0.349</v>
      </c>
    </row>
    <row r="367" spans="1:13">
      <c r="A367" s="1">
        <f>HYPERLINK("http://www.twitter.com/NathanBLawrence/status/996910816812322821", "996910816812322821")</f>
        <v/>
      </c>
      <c r="B367" s="2" t="n">
        <v>43237.02123842593</v>
      </c>
      <c r="C367" t="n">
        <v>0</v>
      </c>
      <c r="D367" t="n">
        <v>137</v>
      </c>
      <c r="E367" t="s">
        <v>378</v>
      </c>
      <c r="F367">
        <f>HYPERLINK("https://video.twimg.com/amplify_video/996578660290351104/vid/1280x720/kOL0Fzrl6D0tyone.mp4?tag=2", "https://video.twimg.com/amplify_video/996578660290351104/vid/1280x720/kOL0Fzrl6D0tyone.mp4?tag=2")</f>
        <v/>
      </c>
      <c r="G367" t="s"/>
      <c r="H367" t="s"/>
      <c r="I367" t="s"/>
      <c r="J367" t="n">
        <v>0.5574</v>
      </c>
      <c r="K367" t="n">
        <v>0</v>
      </c>
      <c r="L367" t="n">
        <v>0.777</v>
      </c>
      <c r="M367" t="n">
        <v>0.223</v>
      </c>
    </row>
    <row r="368" spans="1:13">
      <c r="A368" s="1">
        <f>HYPERLINK("http://www.twitter.com/NathanBLawrence/status/996910611152990208", "996910611152990208")</f>
        <v/>
      </c>
      <c r="B368" s="2" t="n">
        <v>43237.0206712963</v>
      </c>
      <c r="C368" t="n">
        <v>0</v>
      </c>
      <c r="D368" t="n">
        <v>155</v>
      </c>
      <c r="E368" t="s">
        <v>379</v>
      </c>
      <c r="F368" t="s"/>
      <c r="G368" t="s"/>
      <c r="H368" t="s"/>
      <c r="I368" t="s"/>
      <c r="J368" t="n">
        <v>0.5106000000000001</v>
      </c>
      <c r="K368" t="n">
        <v>0.161</v>
      </c>
      <c r="L368" t="n">
        <v>0.569</v>
      </c>
      <c r="M368" t="n">
        <v>0.271</v>
      </c>
    </row>
    <row r="369" spans="1:13">
      <c r="A369" s="1">
        <f>HYPERLINK("http://www.twitter.com/NathanBLawrence/status/996776231482937346", "996776231482937346")</f>
        <v/>
      </c>
      <c r="B369" s="2" t="n">
        <v>43236.64984953704</v>
      </c>
      <c r="C369" t="n">
        <v>0</v>
      </c>
      <c r="D369" t="n">
        <v>14</v>
      </c>
      <c r="E369" t="s">
        <v>380</v>
      </c>
      <c r="F369" t="s"/>
      <c r="G369" t="s"/>
      <c r="H369" t="s"/>
      <c r="I369" t="s"/>
      <c r="J369" t="n">
        <v>0</v>
      </c>
      <c r="K369" t="n">
        <v>0</v>
      </c>
      <c r="L369" t="n">
        <v>1</v>
      </c>
      <c r="M369" t="n">
        <v>0</v>
      </c>
    </row>
    <row r="370" spans="1:13">
      <c r="A370" s="1">
        <f>HYPERLINK("http://www.twitter.com/NathanBLawrence/status/996748542193602560", "996748542193602560")</f>
        <v/>
      </c>
      <c r="B370" s="2" t="n">
        <v>43236.5734375</v>
      </c>
      <c r="C370" t="n">
        <v>0</v>
      </c>
      <c r="D370" t="n">
        <v>8</v>
      </c>
      <c r="E370" t="s">
        <v>381</v>
      </c>
      <c r="F370" t="s"/>
      <c r="G370" t="s"/>
      <c r="H370" t="s"/>
      <c r="I370" t="s"/>
      <c r="J370" t="n">
        <v>0.7003</v>
      </c>
      <c r="K370" t="n">
        <v>0</v>
      </c>
      <c r="L370" t="n">
        <v>0.775</v>
      </c>
      <c r="M370" t="n">
        <v>0.225</v>
      </c>
    </row>
    <row r="371" spans="1:13">
      <c r="A371" s="1">
        <f>HYPERLINK("http://www.twitter.com/NathanBLawrence/status/996737420170317825", "996737420170317825")</f>
        <v/>
      </c>
      <c r="B371" s="2" t="n">
        <v>43236.54275462963</v>
      </c>
      <c r="C371" t="n">
        <v>0</v>
      </c>
      <c r="D371" t="n">
        <v>12294</v>
      </c>
      <c r="E371" t="s">
        <v>382</v>
      </c>
      <c r="F371" t="s"/>
      <c r="G371" t="s"/>
      <c r="H371" t="s"/>
      <c r="I371" t="s"/>
      <c r="J371" t="n">
        <v>0.8401999999999999</v>
      </c>
      <c r="K371" t="n">
        <v>0</v>
      </c>
      <c r="L371" t="n">
        <v>0.733</v>
      </c>
      <c r="M371" t="n">
        <v>0.267</v>
      </c>
    </row>
    <row r="372" spans="1:13">
      <c r="A372" s="1">
        <f>HYPERLINK("http://www.twitter.com/NathanBLawrence/status/996729961263267840", "996729961263267840")</f>
        <v/>
      </c>
      <c r="B372" s="2" t="n">
        <v>43236.52216435185</v>
      </c>
      <c r="C372" t="n">
        <v>0</v>
      </c>
      <c r="D372" t="n">
        <v>367</v>
      </c>
      <c r="E372" t="s">
        <v>383</v>
      </c>
      <c r="F372" t="s"/>
      <c r="G372" t="s"/>
      <c r="H372" t="s"/>
      <c r="I372" t="s"/>
      <c r="J372" t="n">
        <v>0.5266999999999999</v>
      </c>
      <c r="K372" t="n">
        <v>0</v>
      </c>
      <c r="L372" t="n">
        <v>0.793</v>
      </c>
      <c r="M372" t="n">
        <v>0.207</v>
      </c>
    </row>
    <row r="373" spans="1:13">
      <c r="A373" s="1">
        <f>HYPERLINK("http://www.twitter.com/NathanBLawrence/status/996578056889237506", "996578056889237506")</f>
        <v/>
      </c>
      <c r="B373" s="2" t="n">
        <v>43236.10298611111</v>
      </c>
      <c r="C373" t="n">
        <v>0</v>
      </c>
      <c r="D373" t="n">
        <v>42</v>
      </c>
      <c r="E373" t="s">
        <v>384</v>
      </c>
      <c r="F373">
        <f>HYPERLINK("http://pbs.twimg.com/media/DdSNfy2U8AEGUih.jpg", "http://pbs.twimg.com/media/DdSNfy2U8AEGUih.jpg")</f>
        <v/>
      </c>
      <c r="G373" t="s"/>
      <c r="H373" t="s"/>
      <c r="I373" t="s"/>
      <c r="J373" t="n">
        <v>-0.5994</v>
      </c>
      <c r="K373" t="n">
        <v>0.262</v>
      </c>
      <c r="L373" t="n">
        <v>0.738</v>
      </c>
      <c r="M373" t="n">
        <v>0</v>
      </c>
    </row>
    <row r="374" spans="1:13">
      <c r="A374" s="1">
        <f>HYPERLINK("http://www.twitter.com/NathanBLawrence/status/996575165420011520", "996575165420011520")</f>
        <v/>
      </c>
      <c r="B374" s="2" t="n">
        <v>43236.09501157407</v>
      </c>
      <c r="C374" t="n">
        <v>0</v>
      </c>
      <c r="D374" t="n">
        <v>2728</v>
      </c>
      <c r="E374" t="s">
        <v>385</v>
      </c>
      <c r="F374">
        <f>HYPERLINK("https://video.twimg.com/ext_tw_video/996453267331674112/pu/vid/1280x720/VZHVad2luBXyRV1a.mp4?tag=3", "https://video.twimg.com/ext_tw_video/996453267331674112/pu/vid/1280x720/VZHVad2luBXyRV1a.mp4?tag=3")</f>
        <v/>
      </c>
      <c r="G374" t="s"/>
      <c r="H374" t="s"/>
      <c r="I374" t="s"/>
      <c r="J374" t="n">
        <v>-0.7906</v>
      </c>
      <c r="K374" t="n">
        <v>0.269</v>
      </c>
      <c r="L374" t="n">
        <v>0.731</v>
      </c>
      <c r="M374" t="n">
        <v>0</v>
      </c>
    </row>
    <row r="375" spans="1:13">
      <c r="A375" s="1">
        <f>HYPERLINK("http://www.twitter.com/NathanBLawrence/status/996574778717884416", "996574778717884416")</f>
        <v/>
      </c>
      <c r="B375" s="2" t="n">
        <v>43236.09394675926</v>
      </c>
      <c r="C375" t="n">
        <v>0</v>
      </c>
      <c r="D375" t="n">
        <v>6958</v>
      </c>
      <c r="E375" t="s">
        <v>386</v>
      </c>
      <c r="F375" t="s"/>
      <c r="G375" t="s"/>
      <c r="H375" t="s"/>
      <c r="I375" t="s"/>
      <c r="J375" t="n">
        <v>0.4767</v>
      </c>
      <c r="K375" t="n">
        <v>0</v>
      </c>
      <c r="L375" t="n">
        <v>0.83</v>
      </c>
      <c r="M375" t="n">
        <v>0.17</v>
      </c>
    </row>
    <row r="376" spans="1:13">
      <c r="A376" s="1">
        <f>HYPERLINK("http://www.twitter.com/NathanBLawrence/status/996574190860980229", "996574190860980229")</f>
        <v/>
      </c>
      <c r="B376" s="2" t="n">
        <v>43236.09232638889</v>
      </c>
      <c r="C376" t="n">
        <v>0</v>
      </c>
      <c r="D376" t="n">
        <v>270</v>
      </c>
      <c r="E376" t="s">
        <v>387</v>
      </c>
      <c r="F376" t="s"/>
      <c r="G376" t="s"/>
      <c r="H376" t="s"/>
      <c r="I376" t="s"/>
      <c r="J376" t="n">
        <v>0</v>
      </c>
      <c r="K376" t="n">
        <v>0</v>
      </c>
      <c r="L376" t="n">
        <v>1</v>
      </c>
      <c r="M376" t="n">
        <v>0</v>
      </c>
    </row>
    <row r="377" spans="1:13">
      <c r="A377" s="1">
        <f>HYPERLINK("http://www.twitter.com/NathanBLawrence/status/996512075886354432", "996512075886354432")</f>
        <v/>
      </c>
      <c r="B377" s="2" t="n">
        <v>43235.92091435185</v>
      </c>
      <c r="C377" t="n">
        <v>0</v>
      </c>
      <c r="D377" t="n">
        <v>1197</v>
      </c>
      <c r="E377" t="s">
        <v>388</v>
      </c>
      <c r="F377" t="s"/>
      <c r="G377" t="s"/>
      <c r="H377" t="s"/>
      <c r="I377" t="s"/>
      <c r="J377" t="n">
        <v>0.3612</v>
      </c>
      <c r="K377" t="n">
        <v>0</v>
      </c>
      <c r="L377" t="n">
        <v>0.878</v>
      </c>
      <c r="M377" t="n">
        <v>0.122</v>
      </c>
    </row>
    <row r="378" spans="1:13">
      <c r="A378" s="1">
        <f>HYPERLINK("http://www.twitter.com/NathanBLawrence/status/996511809963249664", "996511809963249664")</f>
        <v/>
      </c>
      <c r="B378" s="2" t="n">
        <v>43235.92018518518</v>
      </c>
      <c r="C378" t="n">
        <v>0</v>
      </c>
      <c r="D378" t="n">
        <v>949</v>
      </c>
      <c r="E378" t="s">
        <v>389</v>
      </c>
      <c r="F378">
        <f>HYPERLINK("http://pbs.twimg.com/media/DdKSpS6WkAA7Akp.jpg", "http://pbs.twimg.com/media/DdKSpS6WkAA7Akp.jpg")</f>
        <v/>
      </c>
      <c r="G378" t="s"/>
      <c r="H378" t="s"/>
      <c r="I378" t="s"/>
      <c r="J378" t="n">
        <v>0.7901</v>
      </c>
      <c r="K378" t="n">
        <v>0</v>
      </c>
      <c r="L378" t="n">
        <v>0.741</v>
      </c>
      <c r="M378" t="n">
        <v>0.259</v>
      </c>
    </row>
    <row r="379" spans="1:13">
      <c r="A379" s="1">
        <f>HYPERLINK("http://www.twitter.com/NathanBLawrence/status/996511066225041410", "996511066225041410")</f>
        <v/>
      </c>
      <c r="B379" s="2" t="n">
        <v>43235.91813657407</v>
      </c>
      <c r="C379" t="n">
        <v>0</v>
      </c>
      <c r="D379" t="n">
        <v>220</v>
      </c>
      <c r="E379" t="s">
        <v>390</v>
      </c>
      <c r="F379" t="s"/>
      <c r="G379" t="s"/>
      <c r="H379" t="s"/>
      <c r="I379" t="s"/>
      <c r="J379" t="n">
        <v>0</v>
      </c>
      <c r="K379" t="n">
        <v>0</v>
      </c>
      <c r="L379" t="n">
        <v>1</v>
      </c>
      <c r="M379" t="n">
        <v>0</v>
      </c>
    </row>
    <row r="380" spans="1:13">
      <c r="A380" s="1">
        <f>HYPERLINK("http://www.twitter.com/NathanBLawrence/status/996510942123917313", "996510942123917313")</f>
        <v/>
      </c>
      <c r="B380" s="2" t="n">
        <v>43235.91778935185</v>
      </c>
      <c r="C380" t="n">
        <v>0</v>
      </c>
      <c r="D380" t="n">
        <v>1141</v>
      </c>
      <c r="E380" t="s">
        <v>391</v>
      </c>
      <c r="F380">
        <f>HYPERLINK("http://pbs.twimg.com/media/DdQdxbeX0AEgyft.jpg", "http://pbs.twimg.com/media/DdQdxbeX0AEgyft.jpg")</f>
        <v/>
      </c>
      <c r="G380">
        <f>HYPERLINK("http://pbs.twimg.com/media/DdQdyDaXcAEaeWV.jpg", "http://pbs.twimg.com/media/DdQdyDaXcAEaeWV.jpg")</f>
        <v/>
      </c>
      <c r="H380" t="s"/>
      <c r="I380" t="s"/>
      <c r="J380" t="n">
        <v>0</v>
      </c>
      <c r="K380" t="n">
        <v>0</v>
      </c>
      <c r="L380" t="n">
        <v>1</v>
      </c>
      <c r="M380" t="n">
        <v>0</v>
      </c>
    </row>
    <row r="381" spans="1:13">
      <c r="A381" s="1">
        <f>HYPERLINK("http://www.twitter.com/NathanBLawrence/status/996510289309913088", "996510289309913088")</f>
        <v/>
      </c>
      <c r="B381" s="2" t="n">
        <v>43235.91598379629</v>
      </c>
      <c r="C381" t="n">
        <v>0</v>
      </c>
      <c r="D381" t="n">
        <v>10</v>
      </c>
      <c r="E381" t="s">
        <v>392</v>
      </c>
      <c r="F381" t="s"/>
      <c r="G381" t="s"/>
      <c r="H381" t="s"/>
      <c r="I381" t="s"/>
      <c r="J381" t="n">
        <v>0.6523</v>
      </c>
      <c r="K381" t="n">
        <v>0</v>
      </c>
      <c r="L381" t="n">
        <v>0.738</v>
      </c>
      <c r="M381" t="n">
        <v>0.262</v>
      </c>
    </row>
    <row r="382" spans="1:13">
      <c r="A382" s="1">
        <f>HYPERLINK("http://www.twitter.com/NathanBLawrence/status/996509615599824896", "996509615599824896")</f>
        <v/>
      </c>
      <c r="B382" s="2" t="n">
        <v>43235.91413194445</v>
      </c>
      <c r="C382" t="n">
        <v>0</v>
      </c>
      <c r="D382" t="n">
        <v>2</v>
      </c>
      <c r="E382" t="s">
        <v>393</v>
      </c>
      <c r="F382" t="s"/>
      <c r="G382" t="s"/>
      <c r="H382" t="s"/>
      <c r="I382" t="s"/>
      <c r="J382" t="n">
        <v>0.8270999999999999</v>
      </c>
      <c r="K382" t="n">
        <v>0</v>
      </c>
      <c r="L382" t="n">
        <v>0.394</v>
      </c>
      <c r="M382" t="n">
        <v>0.606</v>
      </c>
    </row>
    <row r="383" spans="1:13">
      <c r="A383" s="1">
        <f>HYPERLINK("http://www.twitter.com/NathanBLawrence/status/996509396602621952", "996509396602621952")</f>
        <v/>
      </c>
      <c r="B383" s="2" t="n">
        <v>43235.91353009259</v>
      </c>
      <c r="C383" t="n">
        <v>0</v>
      </c>
      <c r="D383" t="n">
        <v>2332</v>
      </c>
      <c r="E383" t="s">
        <v>394</v>
      </c>
      <c r="F383" t="s"/>
      <c r="G383" t="s"/>
      <c r="H383" t="s"/>
      <c r="I383" t="s"/>
      <c r="J383" t="n">
        <v>0</v>
      </c>
      <c r="K383" t="n">
        <v>0</v>
      </c>
      <c r="L383" t="n">
        <v>1</v>
      </c>
      <c r="M383" t="n">
        <v>0</v>
      </c>
    </row>
    <row r="384" spans="1:13">
      <c r="A384" s="1">
        <f>HYPERLINK("http://www.twitter.com/NathanBLawrence/status/996509297629646848", "996509297629646848")</f>
        <v/>
      </c>
      <c r="B384" s="2" t="n">
        <v>43235.91325231481</v>
      </c>
      <c r="C384" t="n">
        <v>0</v>
      </c>
      <c r="D384" t="n">
        <v>32032</v>
      </c>
      <c r="E384" t="s">
        <v>395</v>
      </c>
      <c r="F384" t="s"/>
      <c r="G384" t="s"/>
      <c r="H384" t="s"/>
      <c r="I384" t="s"/>
      <c r="J384" t="n">
        <v>-0.4767</v>
      </c>
      <c r="K384" t="n">
        <v>0.119</v>
      </c>
      <c r="L384" t="n">
        <v>0.881</v>
      </c>
      <c r="M384" t="n">
        <v>0</v>
      </c>
    </row>
    <row r="385" spans="1:13">
      <c r="A385" s="1">
        <f>HYPERLINK("http://www.twitter.com/NathanBLawrence/status/996508686486048770", "996508686486048770")</f>
        <v/>
      </c>
      <c r="B385" s="2" t="n">
        <v>43235.9115625</v>
      </c>
      <c r="C385" t="n">
        <v>0</v>
      </c>
      <c r="D385" t="n">
        <v>0</v>
      </c>
      <c r="E385" t="s">
        <v>396</v>
      </c>
      <c r="F385" t="s"/>
      <c r="G385" t="s"/>
      <c r="H385" t="s"/>
      <c r="I385" t="s"/>
      <c r="J385" t="n">
        <v>0</v>
      </c>
      <c r="K385" t="n">
        <v>0</v>
      </c>
      <c r="L385" t="n">
        <v>1</v>
      </c>
      <c r="M385" t="n">
        <v>0</v>
      </c>
    </row>
    <row r="386" spans="1:13">
      <c r="A386" s="1">
        <f>HYPERLINK("http://www.twitter.com/NathanBLawrence/status/996499847204261890", "996499847204261890")</f>
        <v/>
      </c>
      <c r="B386" s="2" t="n">
        <v>43235.88717592593</v>
      </c>
      <c r="C386" t="n">
        <v>0</v>
      </c>
      <c r="D386" t="n">
        <v>4691</v>
      </c>
      <c r="E386" t="s">
        <v>397</v>
      </c>
      <c r="F386">
        <f>HYPERLINK("https://video.twimg.com/amplify_video/996462938478252033/vid/720x720/lLTiY1fC6TrZ0sGA.mp4?tag=2", "https://video.twimg.com/amplify_video/996462938478252033/vid/720x720/lLTiY1fC6TrZ0sGA.mp4?tag=2")</f>
        <v/>
      </c>
      <c r="G386" t="s"/>
      <c r="H386" t="s"/>
      <c r="I386" t="s"/>
      <c r="J386" t="n">
        <v>0.8452</v>
      </c>
      <c r="K386" t="n">
        <v>0</v>
      </c>
      <c r="L386" t="n">
        <v>0.677</v>
      </c>
      <c r="M386" t="n">
        <v>0.323</v>
      </c>
    </row>
    <row r="387" spans="1:13">
      <c r="A387" s="1">
        <f>HYPERLINK("http://www.twitter.com/NathanBLawrence/status/996112991019028481", "996112991019028481")</f>
        <v/>
      </c>
      <c r="B387" s="2" t="n">
        <v>43234.81965277778</v>
      </c>
      <c r="C387" t="n">
        <v>0</v>
      </c>
      <c r="D387" t="n">
        <v>681</v>
      </c>
      <c r="E387" t="s">
        <v>398</v>
      </c>
      <c r="F387" t="s"/>
      <c r="G387" t="s"/>
      <c r="H387" t="s"/>
      <c r="I387" t="s"/>
      <c r="J387" t="n">
        <v>0.7482</v>
      </c>
      <c r="K387" t="n">
        <v>0</v>
      </c>
      <c r="L387" t="n">
        <v>0.78</v>
      </c>
      <c r="M387" t="n">
        <v>0.22</v>
      </c>
    </row>
    <row r="388" spans="1:13">
      <c r="A388" s="1">
        <f>HYPERLINK("http://www.twitter.com/NathanBLawrence/status/996092118530740231", "996092118530740231")</f>
        <v/>
      </c>
      <c r="B388" s="2" t="n">
        <v>43234.76206018519</v>
      </c>
      <c r="C388" t="n">
        <v>0</v>
      </c>
      <c r="D388" t="n">
        <v>228</v>
      </c>
      <c r="E388" t="s">
        <v>399</v>
      </c>
      <c r="F388">
        <f>HYPERLINK("http://pbs.twimg.com/media/DdLMdwvVAAAfjpc.jpg", "http://pbs.twimg.com/media/DdLMdwvVAAAfjpc.jpg")</f>
        <v/>
      </c>
      <c r="G388" t="s"/>
      <c r="H388" t="s"/>
      <c r="I388" t="s"/>
      <c r="J388" t="n">
        <v>0</v>
      </c>
      <c r="K388" t="n">
        <v>0</v>
      </c>
      <c r="L388" t="n">
        <v>1</v>
      </c>
      <c r="M388" t="n">
        <v>0</v>
      </c>
    </row>
    <row r="389" spans="1:13">
      <c r="A389" s="1">
        <f>HYPERLINK("http://www.twitter.com/NathanBLawrence/status/996091373710344192", "996091373710344192")</f>
        <v/>
      </c>
      <c r="B389" s="2" t="n">
        <v>43234.76</v>
      </c>
      <c r="C389" t="n">
        <v>0</v>
      </c>
      <c r="D389" t="n">
        <v>19</v>
      </c>
      <c r="E389" t="s">
        <v>400</v>
      </c>
      <c r="F389">
        <f>HYPERLINK("http://pbs.twimg.com/media/DdK1oHRXkAI2q7N.jpg", "http://pbs.twimg.com/media/DdK1oHRXkAI2q7N.jpg")</f>
        <v/>
      </c>
      <c r="G389">
        <f>HYPERLINK("http://pbs.twimg.com/media/DdK1t-4WABENzho.jpg", "http://pbs.twimg.com/media/DdK1t-4WABENzho.jpg")</f>
        <v/>
      </c>
      <c r="H389" t="s"/>
      <c r="I389" t="s"/>
      <c r="J389" t="n">
        <v>0</v>
      </c>
      <c r="K389" t="n">
        <v>0</v>
      </c>
      <c r="L389" t="n">
        <v>1</v>
      </c>
      <c r="M389" t="n">
        <v>0</v>
      </c>
    </row>
    <row r="390" spans="1:13">
      <c r="A390" s="1">
        <f>HYPERLINK("http://www.twitter.com/NathanBLawrence/status/996090570861940738", "996090570861940738")</f>
        <v/>
      </c>
      <c r="B390" s="2" t="n">
        <v>43234.75778935185</v>
      </c>
      <c r="C390" t="n">
        <v>0</v>
      </c>
      <c r="D390" t="n">
        <v>14</v>
      </c>
      <c r="E390" t="s">
        <v>401</v>
      </c>
      <c r="F390" t="s"/>
      <c r="G390" t="s"/>
      <c r="H390" t="s"/>
      <c r="I390" t="s"/>
      <c r="J390" t="n">
        <v>-0.5106000000000001</v>
      </c>
      <c r="K390" t="n">
        <v>0.248</v>
      </c>
      <c r="L390" t="n">
        <v>0.752</v>
      </c>
      <c r="M390" t="n">
        <v>0</v>
      </c>
    </row>
    <row r="391" spans="1:13">
      <c r="A391" s="1">
        <f>HYPERLINK("http://www.twitter.com/NathanBLawrence/status/996090500099780608", "996090500099780608")</f>
        <v/>
      </c>
      <c r="B391" s="2" t="n">
        <v>43234.75759259259</v>
      </c>
      <c r="C391" t="n">
        <v>0</v>
      </c>
      <c r="D391" t="n">
        <v>327</v>
      </c>
      <c r="E391" t="s">
        <v>402</v>
      </c>
      <c r="F391" t="s"/>
      <c r="G391" t="s"/>
      <c r="H391" t="s"/>
      <c r="I391" t="s"/>
      <c r="J391" t="n">
        <v>0.8618</v>
      </c>
      <c r="K391" t="n">
        <v>0</v>
      </c>
      <c r="L391" t="n">
        <v>0.538</v>
      </c>
      <c r="M391" t="n">
        <v>0.462</v>
      </c>
    </row>
    <row r="392" spans="1:13">
      <c r="A392" s="1">
        <f>HYPERLINK("http://www.twitter.com/NathanBLawrence/status/996089510197948417", "996089510197948417")</f>
        <v/>
      </c>
      <c r="B392" s="2" t="n">
        <v>43234.75486111111</v>
      </c>
      <c r="C392" t="n">
        <v>0</v>
      </c>
      <c r="D392" t="n">
        <v>1257</v>
      </c>
      <c r="E392" t="s">
        <v>403</v>
      </c>
      <c r="F392">
        <f>HYPERLINK("https://video.twimg.com/amplify_video/996045221816250375/vid/640x360/UDqUJLhY1WlDzCOT.mp4?tag=2", "https://video.twimg.com/amplify_video/996045221816250375/vid/640x360/UDqUJLhY1WlDzCOT.mp4?tag=2")</f>
        <v/>
      </c>
      <c r="G392" t="s"/>
      <c r="H392" t="s"/>
      <c r="I392" t="s"/>
      <c r="J392" t="n">
        <v>0.7003</v>
      </c>
      <c r="K392" t="n">
        <v>0</v>
      </c>
      <c r="L392" t="n">
        <v>0.805</v>
      </c>
      <c r="M392" t="n">
        <v>0.195</v>
      </c>
    </row>
    <row r="393" spans="1:13">
      <c r="A393" s="1">
        <f>HYPERLINK("http://www.twitter.com/NathanBLawrence/status/996088921787420677", "996088921787420677")</f>
        <v/>
      </c>
      <c r="B393" s="2" t="n">
        <v>43234.75324074074</v>
      </c>
      <c r="C393" t="n">
        <v>0</v>
      </c>
      <c r="D393" t="n">
        <v>23</v>
      </c>
      <c r="E393" t="s">
        <v>404</v>
      </c>
      <c r="F393" t="s"/>
      <c r="G393" t="s"/>
      <c r="H393" t="s"/>
      <c r="I393" t="s"/>
      <c r="J393" t="n">
        <v>0.0772</v>
      </c>
      <c r="K393" t="n">
        <v>0.089</v>
      </c>
      <c r="L393" t="n">
        <v>0.8100000000000001</v>
      </c>
      <c r="M393" t="n">
        <v>0.101</v>
      </c>
    </row>
    <row r="394" spans="1:13">
      <c r="A394" s="1">
        <f>HYPERLINK("http://www.twitter.com/NathanBLawrence/status/996088820385886208", "996088820385886208")</f>
        <v/>
      </c>
      <c r="B394" s="2" t="n">
        <v>43234.75295138889</v>
      </c>
      <c r="C394" t="n">
        <v>0</v>
      </c>
      <c r="D394" t="n">
        <v>4591</v>
      </c>
      <c r="E394" t="s">
        <v>405</v>
      </c>
      <c r="F394">
        <f>HYPERLINK("http://pbs.twimg.com/media/DdLOWXMXkAI69kp.jpg", "http://pbs.twimg.com/media/DdLOWXMXkAI69kp.jpg")</f>
        <v/>
      </c>
      <c r="G394" t="s"/>
      <c r="H394" t="s"/>
      <c r="I394" t="s"/>
      <c r="J394" t="n">
        <v>0.8777</v>
      </c>
      <c r="K394" t="n">
        <v>0</v>
      </c>
      <c r="L394" t="n">
        <v>0.665</v>
      </c>
      <c r="M394" t="n">
        <v>0.335</v>
      </c>
    </row>
    <row r="395" spans="1:13">
      <c r="A395" s="1">
        <f>HYPERLINK("http://www.twitter.com/NathanBLawrence/status/996087941809233925", "996087941809233925")</f>
        <v/>
      </c>
      <c r="B395" s="2" t="n">
        <v>43234.75053240741</v>
      </c>
      <c r="C395" t="n">
        <v>0</v>
      </c>
      <c r="D395" t="n">
        <v>16006</v>
      </c>
      <c r="E395" t="s">
        <v>406</v>
      </c>
      <c r="F395" t="s"/>
      <c r="G395" t="s"/>
      <c r="H395" t="s"/>
      <c r="I395" t="s"/>
      <c r="J395" t="n">
        <v>0</v>
      </c>
      <c r="K395" t="n">
        <v>0</v>
      </c>
      <c r="L395" t="n">
        <v>1</v>
      </c>
      <c r="M395" t="n">
        <v>0</v>
      </c>
    </row>
    <row r="396" spans="1:13">
      <c r="A396" s="1">
        <f>HYPERLINK("http://www.twitter.com/NathanBLawrence/status/996087302295310337", "996087302295310337")</f>
        <v/>
      </c>
      <c r="B396" s="2" t="n">
        <v>43234.74876157408</v>
      </c>
      <c r="C396" t="n">
        <v>0</v>
      </c>
      <c r="D396" t="n">
        <v>1902</v>
      </c>
      <c r="E396" t="s">
        <v>407</v>
      </c>
      <c r="F396">
        <f>HYPERLINK("https://video.twimg.com/ext_tw_video/995977243334619136/pu/vid/1280x720/4G-w4F7jrctQYe8X.mp4?tag=3", "https://video.twimg.com/ext_tw_video/995977243334619136/pu/vid/1280x720/4G-w4F7jrctQYe8X.mp4?tag=3")</f>
        <v/>
      </c>
      <c r="G396" t="s"/>
      <c r="H396" t="s"/>
      <c r="I396" t="s"/>
      <c r="J396" t="n">
        <v>0.3612</v>
      </c>
      <c r="K396" t="n">
        <v>0</v>
      </c>
      <c r="L396" t="n">
        <v>0.902</v>
      </c>
      <c r="M396" t="n">
        <v>0.098</v>
      </c>
    </row>
    <row r="397" spans="1:13">
      <c r="A397" s="1">
        <f>HYPERLINK("http://www.twitter.com/NathanBLawrence/status/996087239510773760", "996087239510773760")</f>
        <v/>
      </c>
      <c r="B397" s="2" t="n">
        <v>43234.74858796296</v>
      </c>
      <c r="C397" t="n">
        <v>0</v>
      </c>
      <c r="D397" t="n">
        <v>36</v>
      </c>
      <c r="E397" t="s">
        <v>408</v>
      </c>
      <c r="F397">
        <f>HYPERLINK("https://video.twimg.com/amplify_video/996015167409459200/vid/1280x720/39uy9wSmu28Br1_q.mp4?tag=2", "https://video.twimg.com/amplify_video/996015167409459200/vid/1280x720/39uy9wSmu28Br1_q.mp4?tag=2")</f>
        <v/>
      </c>
      <c r="G397" t="s"/>
      <c r="H397" t="s"/>
      <c r="I397" t="s"/>
      <c r="J397" t="n">
        <v>0.4215</v>
      </c>
      <c r="K397" t="n">
        <v>0</v>
      </c>
      <c r="L397" t="n">
        <v>0.877</v>
      </c>
      <c r="M397" t="n">
        <v>0.123</v>
      </c>
    </row>
    <row r="398" spans="1:13">
      <c r="A398" s="1">
        <f>HYPERLINK("http://www.twitter.com/NathanBLawrence/status/996086297948250112", "996086297948250112")</f>
        <v/>
      </c>
      <c r="B398" s="2" t="n">
        <v>43234.74599537037</v>
      </c>
      <c r="C398" t="n">
        <v>0</v>
      </c>
      <c r="D398" t="n">
        <v>1969</v>
      </c>
      <c r="E398" t="s">
        <v>409</v>
      </c>
      <c r="F398" t="s"/>
      <c r="G398" t="s"/>
      <c r="H398" t="s"/>
      <c r="I398" t="s"/>
      <c r="J398" t="n">
        <v>0</v>
      </c>
      <c r="K398" t="n">
        <v>0</v>
      </c>
      <c r="L398" t="n">
        <v>1</v>
      </c>
      <c r="M398" t="n">
        <v>0</v>
      </c>
    </row>
    <row r="399" spans="1:13">
      <c r="A399" s="1">
        <f>HYPERLINK("http://www.twitter.com/NathanBLawrence/status/996085658224558081", "996085658224558081")</f>
        <v/>
      </c>
      <c r="B399" s="2" t="n">
        <v>43234.74422453704</v>
      </c>
      <c r="C399" t="n">
        <v>0</v>
      </c>
      <c r="D399" t="n">
        <v>550</v>
      </c>
      <c r="E399" t="s">
        <v>410</v>
      </c>
      <c r="F399">
        <f>HYPERLINK("http://pbs.twimg.com/media/DdK3enPWAAIOW3J.jpg", "http://pbs.twimg.com/media/DdK3enPWAAIOW3J.jpg")</f>
        <v/>
      </c>
      <c r="G399" t="s"/>
      <c r="H399" t="s"/>
      <c r="I399" t="s"/>
      <c r="J399" t="n">
        <v>0.3612</v>
      </c>
      <c r="K399" t="n">
        <v>0</v>
      </c>
      <c r="L399" t="n">
        <v>0.889</v>
      </c>
      <c r="M399" t="n">
        <v>0.111</v>
      </c>
    </row>
    <row r="400" spans="1:13">
      <c r="A400" s="1">
        <f>HYPERLINK("http://www.twitter.com/NathanBLawrence/status/996085254829101059", "996085254829101059")</f>
        <v/>
      </c>
      <c r="B400" s="2" t="n">
        <v>43234.74311342592</v>
      </c>
      <c r="C400" t="n">
        <v>0</v>
      </c>
      <c r="D400" t="n">
        <v>290</v>
      </c>
      <c r="E400" t="s">
        <v>411</v>
      </c>
      <c r="F400" t="s"/>
      <c r="G400" t="s"/>
      <c r="H400" t="s"/>
      <c r="I400" t="s"/>
      <c r="J400" t="n">
        <v>-0.3182</v>
      </c>
      <c r="K400" t="n">
        <v>0.108</v>
      </c>
      <c r="L400" t="n">
        <v>0.892</v>
      </c>
      <c r="M400" t="n">
        <v>0</v>
      </c>
    </row>
    <row r="401" spans="1:13">
      <c r="A401" s="1">
        <f>HYPERLINK("http://www.twitter.com/NathanBLawrence/status/996085029146103809", "996085029146103809")</f>
        <v/>
      </c>
      <c r="B401" s="2" t="n">
        <v>43234.74248842592</v>
      </c>
      <c r="C401" t="n">
        <v>0</v>
      </c>
      <c r="D401" t="n">
        <v>2598</v>
      </c>
      <c r="E401" t="s">
        <v>412</v>
      </c>
      <c r="F401">
        <f>HYPERLINK("http://pbs.twimg.com/media/DdLDxxnX0AUjfmO.jpg", "http://pbs.twimg.com/media/DdLDxxnX0AUjfmO.jpg")</f>
        <v/>
      </c>
      <c r="G401" t="s"/>
      <c r="H401" t="s"/>
      <c r="I401" t="s"/>
      <c r="J401" t="n">
        <v>0.8481</v>
      </c>
      <c r="K401" t="n">
        <v>0</v>
      </c>
      <c r="L401" t="n">
        <v>0.631</v>
      </c>
      <c r="M401" t="n">
        <v>0.369</v>
      </c>
    </row>
    <row r="402" spans="1:13">
      <c r="A402" s="1">
        <f>HYPERLINK("http://www.twitter.com/NathanBLawrence/status/996084362499231744", "996084362499231744")</f>
        <v/>
      </c>
      <c r="B402" s="2" t="n">
        <v>43234.74065972222</v>
      </c>
      <c r="C402" t="n">
        <v>0</v>
      </c>
      <c r="D402" t="n">
        <v>1644</v>
      </c>
      <c r="E402" t="s">
        <v>413</v>
      </c>
      <c r="F402" t="s"/>
      <c r="G402" t="s"/>
      <c r="H402" t="s"/>
      <c r="I402" t="s"/>
      <c r="J402" t="n">
        <v>0.0258</v>
      </c>
      <c r="K402" t="n">
        <v>0.1</v>
      </c>
      <c r="L402" t="n">
        <v>0.795</v>
      </c>
      <c r="M402" t="n">
        <v>0.105</v>
      </c>
    </row>
    <row r="403" spans="1:13">
      <c r="A403" s="1">
        <f>HYPERLINK("http://www.twitter.com/NathanBLawrence/status/996083833568145408", "996083833568145408")</f>
        <v/>
      </c>
      <c r="B403" s="2" t="n">
        <v>43234.73918981481</v>
      </c>
      <c r="C403" t="n">
        <v>0</v>
      </c>
      <c r="D403" t="n">
        <v>839</v>
      </c>
      <c r="E403" t="s">
        <v>414</v>
      </c>
      <c r="F403" t="s"/>
      <c r="G403" t="s"/>
      <c r="H403" t="s"/>
      <c r="I403" t="s"/>
      <c r="J403" t="n">
        <v>0.3182</v>
      </c>
      <c r="K403" t="n">
        <v>0</v>
      </c>
      <c r="L403" t="n">
        <v>0.874</v>
      </c>
      <c r="M403" t="n">
        <v>0.126</v>
      </c>
    </row>
    <row r="404" spans="1:13">
      <c r="A404" s="1">
        <f>HYPERLINK("http://www.twitter.com/NathanBLawrence/status/996083329433825280", "996083329433825280")</f>
        <v/>
      </c>
      <c r="B404" s="2" t="n">
        <v>43234.73780092593</v>
      </c>
      <c r="C404" t="n">
        <v>0</v>
      </c>
      <c r="D404" t="n">
        <v>99</v>
      </c>
      <c r="E404" t="s">
        <v>415</v>
      </c>
      <c r="F404" t="s"/>
      <c r="G404" t="s"/>
      <c r="H404" t="s"/>
      <c r="I404" t="s"/>
      <c r="J404" t="n">
        <v>0</v>
      </c>
      <c r="K404" t="n">
        <v>0</v>
      </c>
      <c r="L404" t="n">
        <v>1</v>
      </c>
      <c r="M404" t="n">
        <v>0</v>
      </c>
    </row>
    <row r="405" spans="1:13">
      <c r="A405" s="1">
        <f>HYPERLINK("http://www.twitter.com/NathanBLawrence/status/996083260617879552", "996083260617879552")</f>
        <v/>
      </c>
      <c r="B405" s="2" t="n">
        <v>43234.73761574074</v>
      </c>
      <c r="C405" t="n">
        <v>0</v>
      </c>
      <c r="D405" t="n">
        <v>155</v>
      </c>
      <c r="E405" t="s">
        <v>416</v>
      </c>
      <c r="F405">
        <f>HYPERLINK("http://pbs.twimg.com/media/DdLKa2ZWsAAR-qA.jpg", "http://pbs.twimg.com/media/DdLKa2ZWsAAR-qA.jpg")</f>
        <v/>
      </c>
      <c r="G405" t="s"/>
      <c r="H405" t="s"/>
      <c r="I405" t="s"/>
      <c r="J405" t="n">
        <v>0.4939</v>
      </c>
      <c r="K405" t="n">
        <v>0</v>
      </c>
      <c r="L405" t="n">
        <v>0.6860000000000001</v>
      </c>
      <c r="M405" t="n">
        <v>0.314</v>
      </c>
    </row>
    <row r="406" spans="1:13">
      <c r="A406" s="1">
        <f>HYPERLINK("http://www.twitter.com/NathanBLawrence/status/996082947433385985", "996082947433385985")</f>
        <v/>
      </c>
      <c r="B406" s="2" t="n">
        <v>43234.73674768519</v>
      </c>
      <c r="C406" t="n">
        <v>0</v>
      </c>
      <c r="D406" t="n">
        <v>1375</v>
      </c>
      <c r="E406" t="s">
        <v>417</v>
      </c>
      <c r="F406">
        <f>HYPERLINK("https://video.twimg.com/amplify_video/996015167409459200/vid/1280x720/39uy9wSmu28Br1_q.mp4?tag=2", "https://video.twimg.com/amplify_video/996015167409459200/vid/1280x720/39uy9wSmu28Br1_q.mp4?tag=2")</f>
        <v/>
      </c>
      <c r="G406" t="s"/>
      <c r="H406" t="s"/>
      <c r="I406" t="s"/>
      <c r="J406" t="n">
        <v>0.4215</v>
      </c>
      <c r="K406" t="n">
        <v>0</v>
      </c>
      <c r="L406" t="n">
        <v>0.872</v>
      </c>
      <c r="M406" t="n">
        <v>0.128</v>
      </c>
    </row>
    <row r="407" spans="1:13">
      <c r="A407" s="1">
        <f>HYPERLINK("http://www.twitter.com/NathanBLawrence/status/996082668096950272", "996082668096950272")</f>
        <v/>
      </c>
      <c r="B407" s="2" t="n">
        <v>43234.73598379629</v>
      </c>
      <c r="C407" t="n">
        <v>0</v>
      </c>
      <c r="D407" t="n">
        <v>509</v>
      </c>
      <c r="E407" t="s">
        <v>418</v>
      </c>
      <c r="F407">
        <f>HYPERLINK("http://pbs.twimg.com/media/DdKheRUUwAAp0Ta.jpg", "http://pbs.twimg.com/media/DdKheRUUwAAp0Ta.jpg")</f>
        <v/>
      </c>
      <c r="G407" t="s"/>
      <c r="H407" t="s"/>
      <c r="I407" t="s"/>
      <c r="J407" t="n">
        <v>0</v>
      </c>
      <c r="K407" t="n">
        <v>0</v>
      </c>
      <c r="L407" t="n">
        <v>1</v>
      </c>
      <c r="M407" t="n">
        <v>0</v>
      </c>
    </row>
    <row r="408" spans="1:13">
      <c r="A408" s="1">
        <f>HYPERLINK("http://www.twitter.com/NathanBLawrence/status/996082544390131715", "996082544390131715")</f>
        <v/>
      </c>
      <c r="B408" s="2" t="n">
        <v>43234.73563657407</v>
      </c>
      <c r="C408" t="n">
        <v>0</v>
      </c>
      <c r="D408" t="n">
        <v>13832</v>
      </c>
      <c r="E408" t="s">
        <v>419</v>
      </c>
      <c r="F408" t="s"/>
      <c r="G408" t="s"/>
      <c r="H408" t="s"/>
      <c r="I408" t="s"/>
      <c r="J408" t="n">
        <v>0</v>
      </c>
      <c r="K408" t="n">
        <v>0</v>
      </c>
      <c r="L408" t="n">
        <v>1</v>
      </c>
      <c r="M408" t="n">
        <v>0</v>
      </c>
    </row>
    <row r="409" spans="1:13">
      <c r="A409" s="1">
        <f>HYPERLINK("http://www.twitter.com/NathanBLawrence/status/996082194165698562", "996082194165698562")</f>
        <v/>
      </c>
      <c r="B409" s="2" t="n">
        <v>43234.73467592592</v>
      </c>
      <c r="C409" t="n">
        <v>0</v>
      </c>
      <c r="D409" t="n">
        <v>786</v>
      </c>
      <c r="E409" t="s">
        <v>420</v>
      </c>
      <c r="F409" t="s"/>
      <c r="G409" t="s"/>
      <c r="H409" t="s"/>
      <c r="I409" t="s"/>
      <c r="J409" t="n">
        <v>-0.34</v>
      </c>
      <c r="K409" t="n">
        <v>0.156</v>
      </c>
      <c r="L409" t="n">
        <v>0.844</v>
      </c>
      <c r="M409" t="n">
        <v>0</v>
      </c>
    </row>
    <row r="410" spans="1:13">
      <c r="A410" s="1">
        <f>HYPERLINK("http://www.twitter.com/NathanBLawrence/status/996081677104500738", "996081677104500738")</f>
        <v/>
      </c>
      <c r="B410" s="2" t="n">
        <v>43234.73324074074</v>
      </c>
      <c r="C410" t="n">
        <v>0</v>
      </c>
      <c r="D410" t="n">
        <v>240</v>
      </c>
      <c r="E410" t="s">
        <v>421</v>
      </c>
      <c r="F410" t="s"/>
      <c r="G410" t="s"/>
      <c r="H410" t="s"/>
      <c r="I410" t="s"/>
      <c r="J410" t="n">
        <v>0.7034</v>
      </c>
      <c r="K410" t="n">
        <v>0</v>
      </c>
      <c r="L410" t="n">
        <v>0.651</v>
      </c>
      <c r="M410" t="n">
        <v>0.349</v>
      </c>
    </row>
    <row r="411" spans="1:13">
      <c r="A411" s="1">
        <f>HYPERLINK("http://www.twitter.com/NathanBLawrence/status/996081570564882432", "996081570564882432")</f>
        <v/>
      </c>
      <c r="B411" s="2" t="n">
        <v>43234.73295138889</v>
      </c>
      <c r="C411" t="n">
        <v>0</v>
      </c>
      <c r="D411" t="n">
        <v>567</v>
      </c>
      <c r="E411" t="s">
        <v>422</v>
      </c>
      <c r="F411">
        <f>HYPERLINK("http://pbs.twimg.com/media/DdK4pykWsAAn4HT.jpg", "http://pbs.twimg.com/media/DdK4pykWsAAn4HT.jpg")</f>
        <v/>
      </c>
      <c r="G411" t="s"/>
      <c r="H411" t="s"/>
      <c r="I411" t="s"/>
      <c r="J411" t="n">
        <v>0</v>
      </c>
      <c r="K411" t="n">
        <v>0</v>
      </c>
      <c r="L411" t="n">
        <v>1</v>
      </c>
      <c r="M411" t="n">
        <v>0</v>
      </c>
    </row>
    <row r="412" spans="1:13">
      <c r="A412" s="1">
        <f>HYPERLINK("http://www.twitter.com/NathanBLawrence/status/996080866802708480", "996080866802708480")</f>
        <v/>
      </c>
      <c r="B412" s="2" t="n">
        <v>43234.73100694444</v>
      </c>
      <c r="C412" t="n">
        <v>0</v>
      </c>
      <c r="D412" t="n">
        <v>559</v>
      </c>
      <c r="E412" t="s">
        <v>423</v>
      </c>
      <c r="F412" t="s"/>
      <c r="G412" t="s"/>
      <c r="H412" t="s"/>
      <c r="I412" t="s"/>
      <c r="J412" t="n">
        <v>0</v>
      </c>
      <c r="K412" t="n">
        <v>0</v>
      </c>
      <c r="L412" t="n">
        <v>1</v>
      </c>
      <c r="M412" t="n">
        <v>0</v>
      </c>
    </row>
    <row r="413" spans="1:13">
      <c r="A413" s="1">
        <f>HYPERLINK("http://www.twitter.com/NathanBLawrence/status/996080641119801346", "996080641119801346")</f>
        <v/>
      </c>
      <c r="B413" s="2" t="n">
        <v>43234.73038194444</v>
      </c>
      <c r="C413" t="n">
        <v>0</v>
      </c>
      <c r="D413" t="n">
        <v>1337</v>
      </c>
      <c r="E413" t="s">
        <v>424</v>
      </c>
      <c r="F413">
        <f>HYPERLINK("http://pbs.twimg.com/media/DdKzX1IVAAAzpkK.jpg", "http://pbs.twimg.com/media/DdKzX1IVAAAzpkK.jpg")</f>
        <v/>
      </c>
      <c r="G413" t="s"/>
      <c r="H413" t="s"/>
      <c r="I413" t="s"/>
      <c r="J413" t="n">
        <v>0.6249</v>
      </c>
      <c r="K413" t="n">
        <v>0</v>
      </c>
      <c r="L413" t="n">
        <v>0.854</v>
      </c>
      <c r="M413" t="n">
        <v>0.146</v>
      </c>
    </row>
    <row r="414" spans="1:13">
      <c r="A414" s="1">
        <f>HYPERLINK("http://www.twitter.com/NathanBLawrence/status/996053390957441024", "996053390957441024")</f>
        <v/>
      </c>
      <c r="B414" s="2" t="n">
        <v>43234.65518518518</v>
      </c>
      <c r="C414" t="n">
        <v>0</v>
      </c>
      <c r="D414" t="n">
        <v>121</v>
      </c>
      <c r="E414" t="s">
        <v>425</v>
      </c>
      <c r="F414">
        <f>HYPERLINK("http://pbs.twimg.com/media/DdKq593W0AA8wwZ.jpg", "http://pbs.twimg.com/media/DdKq593W0AA8wwZ.jpg")</f>
        <v/>
      </c>
      <c r="G414" t="s"/>
      <c r="H414" t="s"/>
      <c r="I414" t="s"/>
      <c r="J414" t="n">
        <v>0</v>
      </c>
      <c r="K414" t="n">
        <v>0</v>
      </c>
      <c r="L414" t="n">
        <v>1</v>
      </c>
      <c r="M414" t="n">
        <v>0</v>
      </c>
    </row>
    <row r="415" spans="1:13">
      <c r="A415" s="1">
        <f>HYPERLINK("http://www.twitter.com/NathanBLawrence/status/996052574590693377", "996052574590693377")</f>
        <v/>
      </c>
      <c r="B415" s="2" t="n">
        <v>43234.65293981481</v>
      </c>
      <c r="C415" t="n">
        <v>0</v>
      </c>
      <c r="D415" t="n">
        <v>10</v>
      </c>
      <c r="E415" t="s">
        <v>426</v>
      </c>
      <c r="F415" t="s"/>
      <c r="G415" t="s"/>
      <c r="H415" t="s"/>
      <c r="I415" t="s"/>
      <c r="J415" t="n">
        <v>-0.3182</v>
      </c>
      <c r="K415" t="n">
        <v>0.099</v>
      </c>
      <c r="L415" t="n">
        <v>0.901</v>
      </c>
      <c r="M415" t="n">
        <v>0</v>
      </c>
    </row>
    <row r="416" spans="1:13">
      <c r="A416" s="1">
        <f>HYPERLINK("http://www.twitter.com/NathanBLawrence/status/996052562095824896", "996052562095824896")</f>
        <v/>
      </c>
      <c r="B416" s="2" t="n">
        <v>43234.65290509259</v>
      </c>
      <c r="C416" t="n">
        <v>0</v>
      </c>
      <c r="D416" t="n">
        <v>9</v>
      </c>
      <c r="E416" t="s">
        <v>427</v>
      </c>
      <c r="F416" t="s"/>
      <c r="G416" t="s"/>
      <c r="H416" t="s"/>
      <c r="I416" t="s"/>
      <c r="J416" t="n">
        <v>0.5719</v>
      </c>
      <c r="K416" t="n">
        <v>0</v>
      </c>
      <c r="L416" t="n">
        <v>0.837</v>
      </c>
      <c r="M416" t="n">
        <v>0.163</v>
      </c>
    </row>
    <row r="417" spans="1:13">
      <c r="A417" s="1">
        <f>HYPERLINK("http://www.twitter.com/NathanBLawrence/status/996052402792026114", "996052402792026114")</f>
        <v/>
      </c>
      <c r="B417" s="2" t="n">
        <v>43234.65246527778</v>
      </c>
      <c r="C417" t="n">
        <v>0</v>
      </c>
      <c r="D417" t="n">
        <v>1178</v>
      </c>
      <c r="E417" t="s">
        <v>428</v>
      </c>
      <c r="F417">
        <f>HYPERLINK("http://pbs.twimg.com/media/DdKUay5W0AAEbao.jpg", "http://pbs.twimg.com/media/DdKUay5W0AAEbao.jpg")</f>
        <v/>
      </c>
      <c r="G417" t="s"/>
      <c r="H417" t="s"/>
      <c r="I417" t="s"/>
      <c r="J417" t="n">
        <v>0.6369</v>
      </c>
      <c r="K417" t="n">
        <v>0</v>
      </c>
      <c r="L417" t="n">
        <v>0.714</v>
      </c>
      <c r="M417" t="n">
        <v>0.286</v>
      </c>
    </row>
    <row r="418" spans="1:13">
      <c r="A418" s="1">
        <f>HYPERLINK("http://www.twitter.com/NathanBLawrence/status/996052252199669760", "996052252199669760")</f>
        <v/>
      </c>
      <c r="B418" s="2" t="n">
        <v>43234.65204861111</v>
      </c>
      <c r="C418" t="n">
        <v>0</v>
      </c>
      <c r="D418" t="n">
        <v>5536</v>
      </c>
      <c r="E418" t="s">
        <v>429</v>
      </c>
      <c r="F418">
        <f>HYPERLINK("https://video.twimg.com/amplify_video/996007989793447936/vid/1280x720/JJ62ua7x9mIlfrnt.mp4?tag=2", "https://video.twimg.com/amplify_video/996007989793447936/vid/1280x720/JJ62ua7x9mIlfrnt.mp4?tag=2")</f>
        <v/>
      </c>
      <c r="G418" t="s"/>
      <c r="H418" t="s"/>
      <c r="I418" t="s"/>
      <c r="J418" t="n">
        <v>0.6808</v>
      </c>
      <c r="K418" t="n">
        <v>0</v>
      </c>
      <c r="L418" t="n">
        <v>0.772</v>
      </c>
      <c r="M418" t="n">
        <v>0.228</v>
      </c>
    </row>
    <row r="419" spans="1:13">
      <c r="A419" s="1">
        <f>HYPERLINK("http://www.twitter.com/NathanBLawrence/status/996052184621047808", "996052184621047808")</f>
        <v/>
      </c>
      <c r="B419" s="2" t="n">
        <v>43234.65186342593</v>
      </c>
      <c r="C419" t="n">
        <v>0</v>
      </c>
      <c r="D419" t="n">
        <v>454</v>
      </c>
      <c r="E419" t="s">
        <v>430</v>
      </c>
      <c r="F419">
        <f>HYPERLINK("https://video.twimg.com/amplify_video/996021612603494400/vid/1280x720/GHKZDDx6hKfV0Fuu.mp4?tag=2", "https://video.twimg.com/amplify_video/996021612603494400/vid/1280x720/GHKZDDx6hKfV0Fuu.mp4?tag=2")</f>
        <v/>
      </c>
      <c r="G419" t="s"/>
      <c r="H419" t="s"/>
      <c r="I419" t="s"/>
      <c r="J419" t="n">
        <v>0.9382</v>
      </c>
      <c r="K419" t="n">
        <v>0</v>
      </c>
      <c r="L419" t="n">
        <v>0.507</v>
      </c>
      <c r="M419" t="n">
        <v>0.493</v>
      </c>
    </row>
    <row r="420" spans="1:13">
      <c r="A420" s="1">
        <f>HYPERLINK("http://www.twitter.com/NathanBLawrence/status/996051858207715329", "996051858207715329")</f>
        <v/>
      </c>
      <c r="B420" s="2" t="n">
        <v>43234.65096064815</v>
      </c>
      <c r="C420" t="n">
        <v>0</v>
      </c>
      <c r="D420" t="n">
        <v>253</v>
      </c>
      <c r="E420" t="s">
        <v>431</v>
      </c>
      <c r="F420">
        <f>HYPERLINK("https://video.twimg.com/ext_tw_video/995942608244494337/pu/vid/326x180/rT6WDN4wAxck1N_F.mp4?tag=3", "https://video.twimg.com/ext_tw_video/995942608244494337/pu/vid/326x180/rT6WDN4wAxck1N_F.mp4?tag=3")</f>
        <v/>
      </c>
      <c r="G420" t="s"/>
      <c r="H420" t="s"/>
      <c r="I420" t="s"/>
      <c r="J420" t="n">
        <v>0.5719</v>
      </c>
      <c r="K420" t="n">
        <v>0</v>
      </c>
      <c r="L420" t="n">
        <v>0.802</v>
      </c>
      <c r="M420" t="n">
        <v>0.198</v>
      </c>
    </row>
    <row r="421" spans="1:13">
      <c r="A421" s="1">
        <f>HYPERLINK("http://www.twitter.com/NathanBLawrence/status/996051704880787458", "996051704880787458")</f>
        <v/>
      </c>
      <c r="B421" s="2" t="n">
        <v>43234.65053240741</v>
      </c>
      <c r="C421" t="n">
        <v>0</v>
      </c>
      <c r="D421" t="n">
        <v>44</v>
      </c>
      <c r="E421" t="s">
        <v>432</v>
      </c>
      <c r="F421">
        <f>HYPERLINK("http://pbs.twimg.com/media/DdIXCnQX0AAd1iP.jpg", "http://pbs.twimg.com/media/DdIXCnQX0AAd1iP.jpg")</f>
        <v/>
      </c>
      <c r="G421" t="s"/>
      <c r="H421" t="s"/>
      <c r="I421" t="s"/>
      <c r="J421" t="n">
        <v>0.3818</v>
      </c>
      <c r="K421" t="n">
        <v>0</v>
      </c>
      <c r="L421" t="n">
        <v>0.885</v>
      </c>
      <c r="M421" t="n">
        <v>0.115</v>
      </c>
    </row>
    <row r="422" spans="1:13">
      <c r="A422" s="1">
        <f>HYPERLINK("http://www.twitter.com/NathanBLawrence/status/996051377259532288", "996051377259532288")</f>
        <v/>
      </c>
      <c r="B422" s="2" t="n">
        <v>43234.64962962963</v>
      </c>
      <c r="C422" t="n">
        <v>0</v>
      </c>
      <c r="D422" t="n">
        <v>941</v>
      </c>
      <c r="E422" t="s">
        <v>433</v>
      </c>
      <c r="F422">
        <f>HYPERLINK("https://video.twimg.com/ext_tw_video/995986910744018944/pu/vid/326x180/YSLSifsF47biOXF5.mp4?tag=3", "https://video.twimg.com/ext_tw_video/995986910744018944/pu/vid/326x180/YSLSifsF47biOXF5.mp4?tag=3")</f>
        <v/>
      </c>
      <c r="G422" t="s"/>
      <c r="H422" t="s"/>
      <c r="I422" t="s"/>
      <c r="J422" t="n">
        <v>0.7413</v>
      </c>
      <c r="K422" t="n">
        <v>0.074</v>
      </c>
      <c r="L422" t="n">
        <v>0.632</v>
      </c>
      <c r="M422" t="n">
        <v>0.294</v>
      </c>
    </row>
    <row r="423" spans="1:13">
      <c r="A423" s="1">
        <f>HYPERLINK("http://www.twitter.com/NathanBLawrence/status/996051027479744513", "996051027479744513")</f>
        <v/>
      </c>
      <c r="B423" s="2" t="n">
        <v>43234.64866898148</v>
      </c>
      <c r="C423" t="n">
        <v>0</v>
      </c>
      <c r="D423" t="n">
        <v>1676</v>
      </c>
      <c r="E423" t="s">
        <v>434</v>
      </c>
      <c r="F423">
        <f>HYPERLINK("http://pbs.twimg.com/media/DdJ-3HSVAAE9-Am.jpg", "http://pbs.twimg.com/media/DdJ-3HSVAAE9-Am.jpg")</f>
        <v/>
      </c>
      <c r="G423" t="s"/>
      <c r="H423" t="s"/>
      <c r="I423" t="s"/>
      <c r="J423" t="n">
        <v>0.296</v>
      </c>
      <c r="K423" t="n">
        <v>0</v>
      </c>
      <c r="L423" t="n">
        <v>0.833</v>
      </c>
      <c r="M423" t="n">
        <v>0.167</v>
      </c>
    </row>
    <row r="424" spans="1:13">
      <c r="A424" s="1">
        <f>HYPERLINK("http://www.twitter.com/NathanBLawrence/status/996039206681153538", "996039206681153538")</f>
        <v/>
      </c>
      <c r="B424" s="2" t="n">
        <v>43234.61605324074</v>
      </c>
      <c r="C424" t="n">
        <v>0</v>
      </c>
      <c r="D424" t="n">
        <v>176</v>
      </c>
      <c r="E424" t="s">
        <v>435</v>
      </c>
      <c r="F424">
        <f>HYPERLINK("https://video.twimg.com/ext_tw_video/996031230411001856/pu/vid/1280x720/CbU3vGIlQy5uuCmk.mp4?tag=3", "https://video.twimg.com/ext_tw_video/996031230411001856/pu/vid/1280x720/CbU3vGIlQy5uuCmk.mp4?tag=3")</f>
        <v/>
      </c>
      <c r="G424" t="s"/>
      <c r="H424" t="s"/>
      <c r="I424" t="s"/>
      <c r="J424" t="n">
        <v>0</v>
      </c>
      <c r="K424" t="n">
        <v>0</v>
      </c>
      <c r="L424" t="n">
        <v>1</v>
      </c>
      <c r="M424" t="n">
        <v>0</v>
      </c>
    </row>
    <row r="425" spans="1:13">
      <c r="A425" s="1">
        <f>HYPERLINK("http://www.twitter.com/NathanBLawrence/status/996039039630397442", "996039039630397442")</f>
        <v/>
      </c>
      <c r="B425" s="2" t="n">
        <v>43234.61559027778</v>
      </c>
      <c r="C425" t="n">
        <v>0</v>
      </c>
      <c r="D425" t="n">
        <v>220</v>
      </c>
      <c r="E425" t="s">
        <v>436</v>
      </c>
      <c r="F425">
        <f>HYPERLINK("http://pbs.twimg.com/media/DdKL5ApW0AAdHR5.jpg", "http://pbs.twimg.com/media/DdKL5ApW0AAdHR5.jpg")</f>
        <v/>
      </c>
      <c r="G425" t="s"/>
      <c r="H425" t="s"/>
      <c r="I425" t="s"/>
      <c r="J425" t="n">
        <v>0</v>
      </c>
      <c r="K425" t="n">
        <v>0</v>
      </c>
      <c r="L425" t="n">
        <v>1</v>
      </c>
      <c r="M425" t="n">
        <v>0</v>
      </c>
    </row>
    <row r="426" spans="1:13">
      <c r="A426" s="1">
        <f>HYPERLINK("http://www.twitter.com/NathanBLawrence/status/996032306769989634", "996032306769989634")</f>
        <v/>
      </c>
      <c r="B426" s="2" t="n">
        <v>43234.59700231482</v>
      </c>
      <c r="C426" t="n">
        <v>0</v>
      </c>
      <c r="D426" t="n">
        <v>1437</v>
      </c>
      <c r="E426" t="s">
        <v>437</v>
      </c>
      <c r="F426">
        <f>HYPERLINK("http://pbs.twimg.com/media/DdKZy3hVMAAcor6.jpg", "http://pbs.twimg.com/media/DdKZy3hVMAAcor6.jpg")</f>
        <v/>
      </c>
      <c r="G426" t="s"/>
      <c r="H426" t="s"/>
      <c r="I426" t="s"/>
      <c r="J426" t="n">
        <v>-0.5411</v>
      </c>
      <c r="K426" t="n">
        <v>0.225</v>
      </c>
      <c r="L426" t="n">
        <v>0.775</v>
      </c>
      <c r="M426" t="n">
        <v>0</v>
      </c>
    </row>
    <row r="427" spans="1:13">
      <c r="A427" s="1">
        <f>HYPERLINK("http://www.twitter.com/NathanBLawrence/status/996032147071930369", "996032147071930369")</f>
        <v/>
      </c>
      <c r="B427" s="2" t="n">
        <v>43234.5965625</v>
      </c>
      <c r="C427" t="n">
        <v>0</v>
      </c>
      <c r="D427" t="n">
        <v>1077</v>
      </c>
      <c r="E427" t="s">
        <v>438</v>
      </c>
      <c r="F427">
        <f>HYPERLINK("http://pbs.twimg.com/media/DdKSJhMW4AAWyp8.jpg", "http://pbs.twimg.com/media/DdKSJhMW4AAWyp8.jpg")</f>
        <v/>
      </c>
      <c r="G427" t="s"/>
      <c r="H427" t="s"/>
      <c r="I427" t="s"/>
      <c r="J427" t="n">
        <v>0</v>
      </c>
      <c r="K427" t="n">
        <v>0</v>
      </c>
      <c r="L427" t="n">
        <v>1</v>
      </c>
      <c r="M427" t="n">
        <v>0</v>
      </c>
    </row>
    <row r="428" spans="1:13">
      <c r="A428" s="1">
        <f>HYPERLINK("http://www.twitter.com/NathanBLawrence/status/996031808973168641", "996031808973168641")</f>
        <v/>
      </c>
      <c r="B428" s="2" t="n">
        <v>43234.59563657407</v>
      </c>
      <c r="C428" t="n">
        <v>0</v>
      </c>
      <c r="D428" t="n">
        <v>1218</v>
      </c>
      <c r="E428" t="s">
        <v>439</v>
      </c>
      <c r="F428" t="s"/>
      <c r="G428" t="s"/>
      <c r="H428" t="s"/>
      <c r="I428" t="s"/>
      <c r="J428" t="n">
        <v>-0.8225</v>
      </c>
      <c r="K428" t="n">
        <v>0.336</v>
      </c>
      <c r="L428" t="n">
        <v>0.664</v>
      </c>
      <c r="M428" t="n">
        <v>0</v>
      </c>
    </row>
    <row r="429" spans="1:13">
      <c r="A429" s="1">
        <f>HYPERLINK("http://www.twitter.com/NathanBLawrence/status/996031750395580416", "996031750395580416")</f>
        <v/>
      </c>
      <c r="B429" s="2" t="n">
        <v>43234.59547453704</v>
      </c>
      <c r="C429" t="n">
        <v>0</v>
      </c>
      <c r="D429" t="n">
        <v>72</v>
      </c>
      <c r="E429" t="s">
        <v>440</v>
      </c>
      <c r="F429">
        <f>HYPERLINK("http://pbs.twimg.com/media/DdKWxl8X4AEzBpn.jpg", "http://pbs.twimg.com/media/DdKWxl8X4AEzBpn.jpg")</f>
        <v/>
      </c>
      <c r="G429" t="s"/>
      <c r="H429" t="s"/>
      <c r="I429" t="s"/>
      <c r="J429" t="n">
        <v>0.6114000000000001</v>
      </c>
      <c r="K429" t="n">
        <v>0</v>
      </c>
      <c r="L429" t="n">
        <v>0.8100000000000001</v>
      </c>
      <c r="M429" t="n">
        <v>0.19</v>
      </c>
    </row>
    <row r="430" spans="1:13">
      <c r="A430" s="1">
        <f>HYPERLINK("http://www.twitter.com/NathanBLawrence/status/996031604559630336", "996031604559630336")</f>
        <v/>
      </c>
      <c r="B430" s="2" t="n">
        <v>43234.59506944445</v>
      </c>
      <c r="C430" t="n">
        <v>0</v>
      </c>
      <c r="D430" t="n">
        <v>3519</v>
      </c>
      <c r="E430" t="s">
        <v>441</v>
      </c>
      <c r="F430" t="s"/>
      <c r="G430" t="s"/>
      <c r="H430" t="s"/>
      <c r="I430" t="s"/>
      <c r="J430" t="n">
        <v>0.354</v>
      </c>
      <c r="K430" t="n">
        <v>0</v>
      </c>
      <c r="L430" t="n">
        <v>0.858</v>
      </c>
      <c r="M430" t="n">
        <v>0.142</v>
      </c>
    </row>
    <row r="431" spans="1:13">
      <c r="A431" s="1">
        <f>HYPERLINK("http://www.twitter.com/NathanBLawrence/status/996030643497832454", "996030643497832454")</f>
        <v/>
      </c>
      <c r="B431" s="2" t="n">
        <v>43234.59241898148</v>
      </c>
      <c r="C431" t="n">
        <v>0</v>
      </c>
      <c r="D431" t="n">
        <v>437</v>
      </c>
      <c r="E431" t="s">
        <v>442</v>
      </c>
      <c r="F431">
        <f>HYPERLINK("http://pbs.twimg.com/media/DdKbL_WVMAA437H.jpg", "http://pbs.twimg.com/media/DdKbL_WVMAA437H.jpg")</f>
        <v/>
      </c>
      <c r="G431" t="s"/>
      <c r="H431" t="s"/>
      <c r="I431" t="s"/>
      <c r="J431" t="n">
        <v>0</v>
      </c>
      <c r="K431" t="n">
        <v>0</v>
      </c>
      <c r="L431" t="n">
        <v>1</v>
      </c>
      <c r="M431" t="n">
        <v>0</v>
      </c>
    </row>
    <row r="432" spans="1:13">
      <c r="A432" s="1">
        <f>HYPERLINK("http://www.twitter.com/NathanBLawrence/status/996030530733985792", "996030530733985792")</f>
        <v/>
      </c>
      <c r="B432" s="2" t="n">
        <v>43234.59210648148</v>
      </c>
      <c r="C432" t="n">
        <v>0</v>
      </c>
      <c r="D432" t="n">
        <v>19923</v>
      </c>
      <c r="E432" t="s">
        <v>443</v>
      </c>
      <c r="F432" t="s"/>
      <c r="G432" t="s"/>
      <c r="H432" t="s"/>
      <c r="I432" t="s"/>
      <c r="J432" t="n">
        <v>0.3506</v>
      </c>
      <c r="K432" t="n">
        <v>0</v>
      </c>
      <c r="L432" t="n">
        <v>0.859</v>
      </c>
      <c r="M432" t="n">
        <v>0.141</v>
      </c>
    </row>
    <row r="433" spans="1:13">
      <c r="A433" s="1">
        <f>HYPERLINK("http://www.twitter.com/NathanBLawrence/status/996030457472045056", "996030457472045056")</f>
        <v/>
      </c>
      <c r="B433" s="2" t="n">
        <v>43234.59190972222</v>
      </c>
      <c r="C433" t="n">
        <v>0</v>
      </c>
      <c r="D433" t="n">
        <v>303</v>
      </c>
      <c r="E433" t="s">
        <v>444</v>
      </c>
      <c r="F433">
        <f>HYPERLINK("http://pbs.twimg.com/media/DdIZxT9XkAAUyXr.jpg", "http://pbs.twimg.com/media/DdIZxT9XkAAUyXr.jpg")</f>
        <v/>
      </c>
      <c r="G433" t="s"/>
      <c r="H433" t="s"/>
      <c r="I433" t="s"/>
      <c r="J433" t="n">
        <v>0.3818</v>
      </c>
      <c r="K433" t="n">
        <v>0</v>
      </c>
      <c r="L433" t="n">
        <v>0.894</v>
      </c>
      <c r="M433" t="n">
        <v>0.106</v>
      </c>
    </row>
    <row r="434" spans="1:13">
      <c r="A434" s="1">
        <f>HYPERLINK("http://www.twitter.com/NathanBLawrence/status/996030296410722304", "996030296410722304")</f>
        <v/>
      </c>
      <c r="B434" s="2" t="n">
        <v>43234.59145833334</v>
      </c>
      <c r="C434" t="n">
        <v>0</v>
      </c>
      <c r="D434" t="n">
        <v>605</v>
      </c>
      <c r="E434" t="s">
        <v>445</v>
      </c>
      <c r="F434">
        <f>HYPERLINK("http://pbs.twimg.com/media/DdKPiZqVAAA5qJo.jpg", "http://pbs.twimg.com/media/DdKPiZqVAAA5qJo.jpg")</f>
        <v/>
      </c>
      <c r="G434" t="s"/>
      <c r="H434" t="s"/>
      <c r="I434" t="s"/>
      <c r="J434" t="n">
        <v>0.836</v>
      </c>
      <c r="K434" t="n">
        <v>0</v>
      </c>
      <c r="L434" t="n">
        <v>0.473</v>
      </c>
      <c r="M434" t="n">
        <v>0.527</v>
      </c>
    </row>
    <row r="435" spans="1:13">
      <c r="A435" s="1">
        <f>HYPERLINK("http://www.twitter.com/NathanBLawrence/status/996029965849317382", "996029965849317382")</f>
        <v/>
      </c>
      <c r="B435" s="2" t="n">
        <v>43234.59054398148</v>
      </c>
      <c r="C435" t="n">
        <v>0</v>
      </c>
      <c r="D435" t="n">
        <v>169</v>
      </c>
      <c r="E435" t="s">
        <v>446</v>
      </c>
      <c r="F435">
        <f>HYPERLINK("http://pbs.twimg.com/media/DdFYfDGVwAAfLaQ.jpg", "http://pbs.twimg.com/media/DdFYfDGVwAAfLaQ.jpg")</f>
        <v/>
      </c>
      <c r="G435" t="s"/>
      <c r="H435" t="s"/>
      <c r="I435" t="s"/>
      <c r="J435" t="n">
        <v>0.9805</v>
      </c>
      <c r="K435" t="n">
        <v>0</v>
      </c>
      <c r="L435" t="n">
        <v>0.347</v>
      </c>
      <c r="M435" t="n">
        <v>0.653</v>
      </c>
    </row>
    <row r="436" spans="1:13">
      <c r="A436" s="1">
        <f>HYPERLINK("http://www.twitter.com/NathanBLawrence/status/996029773091672066", "996029773091672066")</f>
        <v/>
      </c>
      <c r="B436" s="2" t="n">
        <v>43234.59001157407</v>
      </c>
      <c r="C436" t="n">
        <v>0</v>
      </c>
      <c r="D436" t="n">
        <v>60</v>
      </c>
      <c r="E436" t="s">
        <v>447</v>
      </c>
      <c r="F436">
        <f>HYPERLINK("http://pbs.twimg.com/media/DdJ3q2TWAAEr9EQ.jpg", "http://pbs.twimg.com/media/DdJ3q2TWAAEr9EQ.jpg")</f>
        <v/>
      </c>
      <c r="G436" t="s"/>
      <c r="H436" t="s"/>
      <c r="I436" t="s"/>
      <c r="J436" t="n">
        <v>0</v>
      </c>
      <c r="K436" t="n">
        <v>0</v>
      </c>
      <c r="L436" t="n">
        <v>1</v>
      </c>
      <c r="M436" t="n">
        <v>0</v>
      </c>
    </row>
    <row r="437" spans="1:13">
      <c r="A437" s="1">
        <f>HYPERLINK("http://www.twitter.com/NathanBLawrence/status/995990395665506305", "995990395665506305")</f>
        <v/>
      </c>
      <c r="B437" s="2" t="n">
        <v>43234.48135416667</v>
      </c>
      <c r="C437" t="n">
        <v>0</v>
      </c>
      <c r="D437" t="n">
        <v>2032</v>
      </c>
      <c r="E437" t="s">
        <v>448</v>
      </c>
      <c r="F437">
        <f>HYPERLINK("https://video.twimg.com/ext_tw_video/995964453899374592/pu/vid/326x180/HsNRbgy2kzODhfdY.mp4?tag=3", "https://video.twimg.com/ext_tw_video/995964453899374592/pu/vid/326x180/HsNRbgy2kzODhfdY.mp4?tag=3")</f>
        <v/>
      </c>
      <c r="G437" t="s"/>
      <c r="H437" t="s"/>
      <c r="I437" t="s"/>
      <c r="J437" t="n">
        <v>0.5106000000000001</v>
      </c>
      <c r="K437" t="n">
        <v>0</v>
      </c>
      <c r="L437" t="n">
        <v>0.732</v>
      </c>
      <c r="M437" t="n">
        <v>0.268</v>
      </c>
    </row>
    <row r="438" spans="1:13">
      <c r="A438" s="1">
        <f>HYPERLINK("http://www.twitter.com/NathanBLawrence/status/995990228707037185", "995990228707037185")</f>
        <v/>
      </c>
      <c r="B438" s="2" t="n">
        <v>43234.4808912037</v>
      </c>
      <c r="C438" t="n">
        <v>0</v>
      </c>
      <c r="D438" t="n">
        <v>130</v>
      </c>
      <c r="E438" t="s">
        <v>449</v>
      </c>
      <c r="F438" t="s"/>
      <c r="G438" t="s"/>
      <c r="H438" t="s"/>
      <c r="I438" t="s"/>
      <c r="J438" t="n">
        <v>0.3182</v>
      </c>
      <c r="K438" t="n">
        <v>0</v>
      </c>
      <c r="L438" t="n">
        <v>0.897</v>
      </c>
      <c r="M438" t="n">
        <v>0.103</v>
      </c>
    </row>
    <row r="439" spans="1:13">
      <c r="A439" s="1">
        <f>HYPERLINK("http://www.twitter.com/NathanBLawrence/status/995987427759087616", "995987427759087616")</f>
        <v/>
      </c>
      <c r="B439" s="2" t="n">
        <v>43234.47315972222</v>
      </c>
      <c r="C439" t="n">
        <v>0</v>
      </c>
      <c r="D439" t="n">
        <v>5511</v>
      </c>
      <c r="E439" t="s">
        <v>450</v>
      </c>
      <c r="F439">
        <f>HYPERLINK("http://pbs.twimg.com/media/DdGo4k0X4AAireL.jpg", "http://pbs.twimg.com/media/DdGo4k0X4AAireL.jpg")</f>
        <v/>
      </c>
      <c r="G439">
        <f>HYPERLINK("http://pbs.twimg.com/media/DdGo4kBWsAcnRnr.jpg", "http://pbs.twimg.com/media/DdGo4kBWsAcnRnr.jpg")</f>
        <v/>
      </c>
      <c r="H439">
        <f>HYPERLINK("http://pbs.twimg.com/media/DdGo4jzX0AAF2vb.jpg", "http://pbs.twimg.com/media/DdGo4jzX0AAF2vb.jpg")</f>
        <v/>
      </c>
      <c r="I439" t="s"/>
      <c r="J439" t="n">
        <v>0.5719</v>
      </c>
      <c r="K439" t="n">
        <v>0</v>
      </c>
      <c r="L439" t="n">
        <v>0.844</v>
      </c>
      <c r="M439" t="n">
        <v>0.156</v>
      </c>
    </row>
    <row r="440" spans="1:13">
      <c r="A440" s="1">
        <f>HYPERLINK("http://www.twitter.com/NathanBLawrence/status/995986512230666250", "995986512230666250")</f>
        <v/>
      </c>
      <c r="B440" s="2" t="n">
        <v>43234.47063657407</v>
      </c>
      <c r="C440" t="n">
        <v>0</v>
      </c>
      <c r="D440" t="n">
        <v>2446</v>
      </c>
      <c r="E440" t="s">
        <v>451</v>
      </c>
      <c r="F440" t="s"/>
      <c r="G440" t="s"/>
      <c r="H440" t="s"/>
      <c r="I440" t="s"/>
      <c r="J440" t="n">
        <v>-0.6486</v>
      </c>
      <c r="K440" t="n">
        <v>0.275</v>
      </c>
      <c r="L440" t="n">
        <v>0.725</v>
      </c>
      <c r="M440" t="n">
        <v>0</v>
      </c>
    </row>
    <row r="441" spans="1:13">
      <c r="A441" s="1">
        <f>HYPERLINK("http://www.twitter.com/NathanBLawrence/status/995858366412021760", "995858366412021760")</f>
        <v/>
      </c>
      <c r="B441" s="2" t="n">
        <v>43234.11702546296</v>
      </c>
      <c r="C441" t="n">
        <v>0</v>
      </c>
      <c r="D441" t="n">
        <v>31</v>
      </c>
      <c r="E441" t="s">
        <v>452</v>
      </c>
      <c r="F441">
        <f>HYPERLINK("http://pbs.twimg.com/media/DdH52pBUwAAaw0s.jpg", "http://pbs.twimg.com/media/DdH52pBUwAAaw0s.jpg")</f>
        <v/>
      </c>
      <c r="G441" t="s"/>
      <c r="H441" t="s"/>
      <c r="I441" t="s"/>
      <c r="J441" t="n">
        <v>0</v>
      </c>
      <c r="K441" t="n">
        <v>0</v>
      </c>
      <c r="L441" t="n">
        <v>1</v>
      </c>
      <c r="M441" t="n">
        <v>0</v>
      </c>
    </row>
    <row r="442" spans="1:13">
      <c r="A442" s="1">
        <f>HYPERLINK("http://www.twitter.com/NathanBLawrence/status/995858004540051456", "995858004540051456")</f>
        <v/>
      </c>
      <c r="B442" s="2" t="n">
        <v>43234.11603009259</v>
      </c>
      <c r="C442" t="n">
        <v>0</v>
      </c>
      <c r="D442" t="n">
        <v>12</v>
      </c>
      <c r="E442" t="s">
        <v>453</v>
      </c>
      <c r="F442">
        <f>HYPERLINK("http://pbs.twimg.com/media/DdH97V4U0AAD7pc.jpg", "http://pbs.twimg.com/media/DdH97V4U0AAD7pc.jpg")</f>
        <v/>
      </c>
      <c r="G442" t="s"/>
      <c r="H442" t="s"/>
      <c r="I442" t="s"/>
      <c r="J442" t="n">
        <v>0.34</v>
      </c>
      <c r="K442" t="n">
        <v>0</v>
      </c>
      <c r="L442" t="n">
        <v>0.902</v>
      </c>
      <c r="M442" t="n">
        <v>0.098</v>
      </c>
    </row>
    <row r="443" spans="1:13">
      <c r="A443" s="1">
        <f>HYPERLINK("http://www.twitter.com/NathanBLawrence/status/995857902471733248", "995857902471733248")</f>
        <v/>
      </c>
      <c r="B443" s="2" t="n">
        <v>43234.11574074074</v>
      </c>
      <c r="C443" t="n">
        <v>0</v>
      </c>
      <c r="D443" t="n">
        <v>310</v>
      </c>
      <c r="E443" t="s">
        <v>454</v>
      </c>
      <c r="F443">
        <f>HYPERLINK("https://video.twimg.com/ext_tw_video/995853660478496768/pu/vid/1280x720/YB5NaveGQBqwAgTR.mp4?tag=3", "https://video.twimg.com/ext_tw_video/995853660478496768/pu/vid/1280x720/YB5NaveGQBqwAgTR.mp4?tag=3")</f>
        <v/>
      </c>
      <c r="G443" t="s"/>
      <c r="H443" t="s"/>
      <c r="I443" t="s"/>
      <c r="J443" t="n">
        <v>0</v>
      </c>
      <c r="K443" t="n">
        <v>0</v>
      </c>
      <c r="L443" t="n">
        <v>1</v>
      </c>
      <c r="M443" t="n">
        <v>0</v>
      </c>
    </row>
    <row r="444" spans="1:13">
      <c r="A444" s="1">
        <f>HYPERLINK("http://www.twitter.com/NathanBLawrence/status/995826080861827072", "995826080861827072")</f>
        <v/>
      </c>
      <c r="B444" s="2" t="n">
        <v>43234.02792824074</v>
      </c>
      <c r="C444" t="n">
        <v>0</v>
      </c>
      <c r="D444" t="n">
        <v>1058</v>
      </c>
      <c r="E444" t="s">
        <v>455</v>
      </c>
      <c r="F444" t="s"/>
      <c r="G444" t="s"/>
      <c r="H444" t="s"/>
      <c r="I444" t="s"/>
      <c r="J444" t="n">
        <v>0.4939</v>
      </c>
      <c r="K444" t="n">
        <v>0</v>
      </c>
      <c r="L444" t="n">
        <v>0.856</v>
      </c>
      <c r="M444" t="n">
        <v>0.144</v>
      </c>
    </row>
    <row r="445" spans="1:13">
      <c r="A445" s="1">
        <f>HYPERLINK("http://www.twitter.com/NathanBLawrence/status/995824523441266688", "995824523441266688")</f>
        <v/>
      </c>
      <c r="B445" s="2" t="n">
        <v>43234.02363425926</v>
      </c>
      <c r="C445" t="n">
        <v>0</v>
      </c>
      <c r="D445" t="n">
        <v>204</v>
      </c>
      <c r="E445" t="s">
        <v>456</v>
      </c>
      <c r="F445">
        <f>HYPERLINK("http://pbs.twimg.com/media/DdHJbWxVQAAWrTr.jpg", "http://pbs.twimg.com/media/DdHJbWxVQAAWrTr.jpg")</f>
        <v/>
      </c>
      <c r="G445" t="s"/>
      <c r="H445" t="s"/>
      <c r="I445" t="s"/>
      <c r="J445" t="n">
        <v>0.6369</v>
      </c>
      <c r="K445" t="n">
        <v>0</v>
      </c>
      <c r="L445" t="n">
        <v>0.8090000000000001</v>
      </c>
      <c r="M445" t="n">
        <v>0.191</v>
      </c>
    </row>
    <row r="446" spans="1:13">
      <c r="A446" s="1">
        <f>HYPERLINK("http://www.twitter.com/NathanBLawrence/status/995819327206166528", "995819327206166528")</f>
        <v/>
      </c>
      <c r="B446" s="2" t="n">
        <v>43234.00929398148</v>
      </c>
      <c r="C446" t="n">
        <v>0</v>
      </c>
      <c r="D446" t="n">
        <v>405</v>
      </c>
      <c r="E446" t="s">
        <v>457</v>
      </c>
      <c r="F446" t="s"/>
      <c r="G446" t="s"/>
      <c r="H446" t="s"/>
      <c r="I446" t="s"/>
      <c r="J446" t="n">
        <v>0</v>
      </c>
      <c r="K446" t="n">
        <v>0</v>
      </c>
      <c r="L446" t="n">
        <v>1</v>
      </c>
      <c r="M446" t="n">
        <v>0</v>
      </c>
    </row>
    <row r="447" spans="1:13">
      <c r="A447" s="1">
        <f>HYPERLINK("http://www.twitter.com/NathanBLawrence/status/995819251775823872", "995819251775823872")</f>
        <v/>
      </c>
      <c r="B447" s="2" t="n">
        <v>43234.00908564815</v>
      </c>
      <c r="C447" t="n">
        <v>0</v>
      </c>
      <c r="D447" t="n">
        <v>207</v>
      </c>
      <c r="E447" t="s">
        <v>458</v>
      </c>
      <c r="F447">
        <f>HYPERLINK("https://video.twimg.com/ext_tw_video/995459484687392768/pu/vid/1280x720/7Zt69T8v0AItUKzU.mp4?tag=3", "https://video.twimg.com/ext_tw_video/995459484687392768/pu/vid/1280x720/7Zt69T8v0AItUKzU.mp4?tag=3")</f>
        <v/>
      </c>
      <c r="G447" t="s"/>
      <c r="H447" t="s"/>
      <c r="I447" t="s"/>
      <c r="J447" t="n">
        <v>0.4404</v>
      </c>
      <c r="K447" t="n">
        <v>0</v>
      </c>
      <c r="L447" t="n">
        <v>0.868</v>
      </c>
      <c r="M447" t="n">
        <v>0.132</v>
      </c>
    </row>
    <row r="448" spans="1:13">
      <c r="A448" s="1">
        <f>HYPERLINK("http://www.twitter.com/NathanBLawrence/status/995817893198778369", "995817893198778369")</f>
        <v/>
      </c>
      <c r="B448" s="2" t="n">
        <v>43234.00533564815</v>
      </c>
      <c r="C448" t="n">
        <v>0</v>
      </c>
      <c r="D448" t="n">
        <v>221</v>
      </c>
      <c r="E448" t="s">
        <v>459</v>
      </c>
      <c r="F448" t="s"/>
      <c r="G448" t="s"/>
      <c r="H448" t="s"/>
      <c r="I448" t="s"/>
      <c r="J448" t="n">
        <v>0</v>
      </c>
      <c r="K448" t="n">
        <v>0</v>
      </c>
      <c r="L448" t="n">
        <v>1</v>
      </c>
      <c r="M448" t="n">
        <v>0</v>
      </c>
    </row>
    <row r="449" spans="1:13">
      <c r="A449" s="1">
        <f>HYPERLINK("http://www.twitter.com/NathanBLawrence/status/995817849590636549", "995817849590636549")</f>
        <v/>
      </c>
      <c r="B449" s="2" t="n">
        <v>43234.00521990741</v>
      </c>
      <c r="C449" t="n">
        <v>0</v>
      </c>
      <c r="D449" t="n">
        <v>336</v>
      </c>
      <c r="E449" t="s">
        <v>460</v>
      </c>
      <c r="F449" t="s"/>
      <c r="G449" t="s"/>
      <c r="H449" t="s"/>
      <c r="I449" t="s"/>
      <c r="J449" t="n">
        <v>-0.296</v>
      </c>
      <c r="K449" t="n">
        <v>0.115</v>
      </c>
      <c r="L449" t="n">
        <v>0.885</v>
      </c>
      <c r="M449" t="n">
        <v>0</v>
      </c>
    </row>
    <row r="450" spans="1:13">
      <c r="A450" s="1">
        <f>HYPERLINK("http://www.twitter.com/NathanBLawrence/status/995680832001069056", "995680832001069056")</f>
        <v/>
      </c>
      <c r="B450" s="2" t="n">
        <v>43233.62711805556</v>
      </c>
      <c r="C450" t="n">
        <v>0</v>
      </c>
      <c r="D450" t="n">
        <v>4454</v>
      </c>
      <c r="E450" t="s">
        <v>461</v>
      </c>
      <c r="F450">
        <f>HYPERLINK("https://video.twimg.com/amplify_video/994999484550705153/vid/640x360/06w573rJuL3nLVex.mp4?tag=2", "https://video.twimg.com/amplify_video/994999484550705153/vid/640x360/06w573rJuL3nLVex.mp4?tag=2")</f>
        <v/>
      </c>
      <c r="G450" t="s"/>
      <c r="H450" t="s"/>
      <c r="I450" t="s"/>
      <c r="J450" t="n">
        <v>0</v>
      </c>
      <c r="K450" t="n">
        <v>0</v>
      </c>
      <c r="L450" t="n">
        <v>1</v>
      </c>
      <c r="M450" t="n">
        <v>0</v>
      </c>
    </row>
    <row r="451" spans="1:13">
      <c r="A451" s="1">
        <f>HYPERLINK("http://www.twitter.com/NathanBLawrence/status/995679466360844293", "995679466360844293")</f>
        <v/>
      </c>
      <c r="B451" s="2" t="n">
        <v>43233.62335648148</v>
      </c>
      <c r="C451" t="n">
        <v>0</v>
      </c>
      <c r="D451" t="n">
        <v>46</v>
      </c>
      <c r="E451" t="s">
        <v>462</v>
      </c>
      <c r="F451" t="s"/>
      <c r="G451" t="s"/>
      <c r="H451" t="s"/>
      <c r="I451" t="s"/>
      <c r="J451" t="n">
        <v>0</v>
      </c>
      <c r="K451" t="n">
        <v>0</v>
      </c>
      <c r="L451" t="n">
        <v>1</v>
      </c>
      <c r="M451" t="n">
        <v>0</v>
      </c>
    </row>
    <row r="452" spans="1:13">
      <c r="A452" s="1">
        <f>HYPERLINK("http://www.twitter.com/NathanBLawrence/status/995679425713836032", "995679425713836032")</f>
        <v/>
      </c>
      <c r="B452" s="2" t="n">
        <v>43233.62324074074</v>
      </c>
      <c r="C452" t="n">
        <v>0</v>
      </c>
      <c r="D452" t="n">
        <v>102</v>
      </c>
      <c r="E452" t="s">
        <v>463</v>
      </c>
      <c r="F452" t="s"/>
      <c r="G452" t="s"/>
      <c r="H452" t="s"/>
      <c r="I452" t="s"/>
      <c r="J452" t="n">
        <v>0</v>
      </c>
      <c r="K452" t="n">
        <v>0</v>
      </c>
      <c r="L452" t="n">
        <v>1</v>
      </c>
      <c r="M452" t="n">
        <v>0</v>
      </c>
    </row>
    <row r="453" spans="1:13">
      <c r="A453" s="1">
        <f>HYPERLINK("http://www.twitter.com/NathanBLawrence/status/995678843301179393", "995678843301179393")</f>
        <v/>
      </c>
      <c r="B453" s="2" t="n">
        <v>43233.62163194444</v>
      </c>
      <c r="C453" t="n">
        <v>0</v>
      </c>
      <c r="D453" t="n">
        <v>52</v>
      </c>
      <c r="E453" t="s">
        <v>464</v>
      </c>
      <c r="F453">
        <f>HYPERLINK("http://pbs.twimg.com/media/DdEC3xQUwAAltuO.jpg", "http://pbs.twimg.com/media/DdEC3xQUwAAltuO.jpg")</f>
        <v/>
      </c>
      <c r="G453" t="s"/>
      <c r="H453" t="s"/>
      <c r="I453" t="s"/>
      <c r="J453" t="n">
        <v>0</v>
      </c>
      <c r="K453" t="n">
        <v>0</v>
      </c>
      <c r="L453" t="n">
        <v>1</v>
      </c>
      <c r="M453" t="n">
        <v>0</v>
      </c>
    </row>
    <row r="454" spans="1:13">
      <c r="A454" s="1">
        <f>HYPERLINK("http://www.twitter.com/NathanBLawrence/status/995678117938253824", "995678117938253824")</f>
        <v/>
      </c>
      <c r="B454" s="2" t="n">
        <v>43233.61962962963</v>
      </c>
      <c r="C454" t="n">
        <v>0</v>
      </c>
      <c r="D454" t="n">
        <v>1</v>
      </c>
      <c r="E454" t="s">
        <v>465</v>
      </c>
      <c r="F454" t="s"/>
      <c r="G454" t="s"/>
      <c r="H454" t="s"/>
      <c r="I454" t="s"/>
      <c r="J454" t="n">
        <v>-0.4588</v>
      </c>
      <c r="K454" t="n">
        <v>0.143</v>
      </c>
      <c r="L454" t="n">
        <v>0.857</v>
      </c>
      <c r="M454" t="n">
        <v>0</v>
      </c>
    </row>
    <row r="455" spans="1:13">
      <c r="A455" s="1">
        <f>HYPERLINK("http://www.twitter.com/NathanBLawrence/status/995678067979968512", "995678067979968512")</f>
        <v/>
      </c>
      <c r="B455" s="2" t="n">
        <v>43233.61949074074</v>
      </c>
      <c r="C455" t="n">
        <v>0</v>
      </c>
      <c r="D455" t="n">
        <v>12624</v>
      </c>
      <c r="E455" t="s">
        <v>466</v>
      </c>
      <c r="F455" t="s"/>
      <c r="G455" t="s"/>
      <c r="H455" t="s"/>
      <c r="I455" t="s"/>
      <c r="J455" t="n">
        <v>0.5859</v>
      </c>
      <c r="K455" t="n">
        <v>0</v>
      </c>
      <c r="L455" t="n">
        <v>0.806</v>
      </c>
      <c r="M455" t="n">
        <v>0.194</v>
      </c>
    </row>
    <row r="456" spans="1:13">
      <c r="A456" s="1">
        <f>HYPERLINK("http://www.twitter.com/NathanBLawrence/status/995486160012050433", "995486160012050433")</f>
        <v/>
      </c>
      <c r="B456" s="2" t="n">
        <v>43233.08993055556</v>
      </c>
      <c r="C456" t="n">
        <v>0</v>
      </c>
      <c r="D456" t="n">
        <v>725</v>
      </c>
      <c r="E456" t="s">
        <v>467</v>
      </c>
      <c r="F456" t="s"/>
      <c r="G456" t="s"/>
      <c r="H456" t="s"/>
      <c r="I456" t="s"/>
      <c r="J456" t="n">
        <v>0.1027</v>
      </c>
      <c r="K456" t="n">
        <v>0</v>
      </c>
      <c r="L456" t="n">
        <v>0.931</v>
      </c>
      <c r="M456" t="n">
        <v>0.06900000000000001</v>
      </c>
    </row>
    <row r="457" spans="1:13">
      <c r="A457" s="1">
        <f>HYPERLINK("http://www.twitter.com/NathanBLawrence/status/995484052865077248", "995484052865077248")</f>
        <v/>
      </c>
      <c r="B457" s="2" t="n">
        <v>43233.08412037037</v>
      </c>
      <c r="C457" t="n">
        <v>0</v>
      </c>
      <c r="D457" t="n">
        <v>214</v>
      </c>
      <c r="E457" t="s">
        <v>468</v>
      </c>
      <c r="F457">
        <f>HYPERLINK("https://video.twimg.com/amplify_video/995436480981012481/vid/1280x720/cyBfafa__KfWhkKh.mp4?tag=2", "https://video.twimg.com/amplify_video/995436480981012481/vid/1280x720/cyBfafa__KfWhkKh.mp4?tag=2")</f>
        <v/>
      </c>
      <c r="G457" t="s"/>
      <c r="H457" t="s"/>
      <c r="I457" t="s"/>
      <c r="J457" t="n">
        <v>0.0772</v>
      </c>
      <c r="K457" t="n">
        <v>0</v>
      </c>
      <c r="L457" t="n">
        <v>0.949</v>
      </c>
      <c r="M457" t="n">
        <v>0.051</v>
      </c>
    </row>
    <row r="458" spans="1:13">
      <c r="A458" s="1">
        <f>HYPERLINK("http://www.twitter.com/NathanBLawrence/status/995483751789539328", "995483751789539328")</f>
        <v/>
      </c>
      <c r="B458" s="2" t="n">
        <v>43233.08328703704</v>
      </c>
      <c r="C458" t="n">
        <v>0</v>
      </c>
      <c r="D458" t="n">
        <v>278</v>
      </c>
      <c r="E458" t="s">
        <v>469</v>
      </c>
      <c r="F458" t="s"/>
      <c r="G458" t="s"/>
      <c r="H458" t="s"/>
      <c r="I458" t="s"/>
      <c r="J458" t="n">
        <v>0</v>
      </c>
      <c r="K458" t="n">
        <v>0</v>
      </c>
      <c r="L458" t="n">
        <v>1</v>
      </c>
      <c r="M458" t="n">
        <v>0</v>
      </c>
    </row>
    <row r="459" spans="1:13">
      <c r="A459" s="1">
        <f>HYPERLINK("http://www.twitter.com/NathanBLawrence/status/995482399160008709", "995482399160008709")</f>
        <v/>
      </c>
      <c r="B459" s="2" t="n">
        <v>43233.07954861111</v>
      </c>
      <c r="C459" t="n">
        <v>0</v>
      </c>
      <c r="D459" t="n">
        <v>1023</v>
      </c>
      <c r="E459" t="s">
        <v>470</v>
      </c>
      <c r="F459" t="s"/>
      <c r="G459" t="s"/>
      <c r="H459" t="s"/>
      <c r="I459" t="s"/>
      <c r="J459" t="n">
        <v>0.128</v>
      </c>
      <c r="K459" t="n">
        <v>0.184</v>
      </c>
      <c r="L459" t="n">
        <v>0.575</v>
      </c>
      <c r="M459" t="n">
        <v>0.241</v>
      </c>
    </row>
    <row r="460" spans="1:13">
      <c r="A460" s="1">
        <f>HYPERLINK("http://www.twitter.com/NathanBLawrence/status/995437894998339584", "995437894998339584")</f>
        <v/>
      </c>
      <c r="B460" s="2" t="n">
        <v>43232.95674768519</v>
      </c>
      <c r="C460" t="n">
        <v>0</v>
      </c>
      <c r="D460" t="n">
        <v>5170</v>
      </c>
      <c r="E460" t="s">
        <v>471</v>
      </c>
      <c r="F460" t="s"/>
      <c r="G460" t="s"/>
      <c r="H460" t="s"/>
      <c r="I460" t="s"/>
      <c r="J460" t="n">
        <v>-0.296</v>
      </c>
      <c r="K460" t="n">
        <v>0.08400000000000001</v>
      </c>
      <c r="L460" t="n">
        <v>0.916</v>
      </c>
      <c r="M460" t="n">
        <v>0</v>
      </c>
    </row>
    <row r="461" spans="1:13">
      <c r="A461" s="1">
        <f>HYPERLINK("http://www.twitter.com/NathanBLawrence/status/995433967347228672", "995433967347228672")</f>
        <v/>
      </c>
      <c r="B461" s="2" t="n">
        <v>43232.94590277778</v>
      </c>
      <c r="C461" t="n">
        <v>0</v>
      </c>
      <c r="D461" t="n">
        <v>2122</v>
      </c>
      <c r="E461" t="s">
        <v>472</v>
      </c>
      <c r="F461" t="s"/>
      <c r="G461" t="s"/>
      <c r="H461" t="s"/>
      <c r="I461" t="s"/>
      <c r="J461" t="n">
        <v>-0.3818</v>
      </c>
      <c r="K461" t="n">
        <v>0.126</v>
      </c>
      <c r="L461" t="n">
        <v>0.874</v>
      </c>
      <c r="M461" t="n">
        <v>0</v>
      </c>
    </row>
    <row r="462" spans="1:13">
      <c r="A462" s="1">
        <f>HYPERLINK("http://www.twitter.com/NathanBLawrence/status/995433832991150082", "995433832991150082")</f>
        <v/>
      </c>
      <c r="B462" s="2" t="n">
        <v>43232.94553240741</v>
      </c>
      <c r="C462" t="n">
        <v>0</v>
      </c>
      <c r="D462" t="n">
        <v>143</v>
      </c>
      <c r="E462" t="s">
        <v>473</v>
      </c>
      <c r="F462" t="s"/>
      <c r="G462" t="s"/>
      <c r="H462" t="s"/>
      <c r="I462" t="s"/>
      <c r="J462" t="n">
        <v>-0.4939</v>
      </c>
      <c r="K462" t="n">
        <v>0.327</v>
      </c>
      <c r="L462" t="n">
        <v>0.449</v>
      </c>
      <c r="M462" t="n">
        <v>0.224</v>
      </c>
    </row>
    <row r="463" spans="1:13">
      <c r="A463" s="1">
        <f>HYPERLINK("http://www.twitter.com/NathanBLawrence/status/995285921049333766", "995285921049333766")</f>
        <v/>
      </c>
      <c r="B463" s="2" t="n">
        <v>43232.53737268518</v>
      </c>
      <c r="C463" t="n">
        <v>0</v>
      </c>
      <c r="D463" t="n">
        <v>6407</v>
      </c>
      <c r="E463" t="s">
        <v>474</v>
      </c>
      <c r="F463">
        <f>HYPERLINK("https://video.twimg.com/amplify_video/995268844699705344/vid/1280x720/k788_U-odUn7l9L5.mp4?tag=2", "https://video.twimg.com/amplify_video/995268844699705344/vid/1280x720/k788_U-odUn7l9L5.mp4?tag=2")</f>
        <v/>
      </c>
      <c r="G463" t="s"/>
      <c r="H463" t="s"/>
      <c r="I463" t="s"/>
      <c r="J463" t="n">
        <v>0</v>
      </c>
      <c r="K463" t="n">
        <v>0</v>
      </c>
      <c r="L463" t="n">
        <v>1</v>
      </c>
      <c r="M463" t="n">
        <v>0</v>
      </c>
    </row>
    <row r="464" spans="1:13">
      <c r="A464" s="1">
        <f>HYPERLINK("http://www.twitter.com/NathanBLawrence/status/995284431991689217", "995284431991689217")</f>
        <v/>
      </c>
      <c r="B464" s="2" t="n">
        <v>43232.53326388889</v>
      </c>
      <c r="C464" t="n">
        <v>0</v>
      </c>
      <c r="D464" t="n">
        <v>96</v>
      </c>
      <c r="E464" t="s">
        <v>475</v>
      </c>
      <c r="F464">
        <f>HYPERLINK("https://video.twimg.com/ext_tw_video/995044716461768704/pu/vid/1280x720/X5Np6CNV3NBxYz5w.mp4?tag=3", "https://video.twimg.com/ext_tw_video/995044716461768704/pu/vid/1280x720/X5Np6CNV3NBxYz5w.mp4?tag=3")</f>
        <v/>
      </c>
      <c r="G464" t="s"/>
      <c r="H464" t="s"/>
      <c r="I464" t="s"/>
      <c r="J464" t="n">
        <v>0.3182</v>
      </c>
      <c r="K464" t="n">
        <v>0</v>
      </c>
      <c r="L464" t="n">
        <v>0.897</v>
      </c>
      <c r="M464" t="n">
        <v>0.103</v>
      </c>
    </row>
    <row r="465" spans="1:13">
      <c r="A465" s="1">
        <f>HYPERLINK("http://www.twitter.com/NathanBLawrence/status/995279545279352834", "995279545279352834")</f>
        <v/>
      </c>
      <c r="B465" s="2" t="n">
        <v>43232.5197800926</v>
      </c>
      <c r="C465" t="n">
        <v>0</v>
      </c>
      <c r="D465" t="n">
        <v>2995</v>
      </c>
      <c r="E465" t="s">
        <v>476</v>
      </c>
      <c r="F465">
        <f>HYPERLINK("http://pbs.twimg.com/media/Dc_wNESWsAEW9uE.jpg", "http://pbs.twimg.com/media/Dc_wNESWsAEW9uE.jpg")</f>
        <v/>
      </c>
      <c r="G465" t="s"/>
      <c r="H465" t="s"/>
      <c r="I465" t="s"/>
      <c r="J465" t="n">
        <v>0.9629</v>
      </c>
      <c r="K465" t="n">
        <v>0</v>
      </c>
      <c r="L465" t="n">
        <v>0.431</v>
      </c>
      <c r="M465" t="n">
        <v>0.569</v>
      </c>
    </row>
    <row r="466" spans="1:13">
      <c r="A466" s="1">
        <f>HYPERLINK("http://www.twitter.com/NathanBLawrence/status/995279275677945856", "995279275677945856")</f>
        <v/>
      </c>
      <c r="B466" s="2" t="n">
        <v>43232.51903935185</v>
      </c>
      <c r="C466" t="n">
        <v>0</v>
      </c>
      <c r="D466" t="n">
        <v>1738</v>
      </c>
      <c r="E466" t="s">
        <v>477</v>
      </c>
      <c r="F466">
        <f>HYPERLINK("https://video.twimg.com/amplify_video/993976507621093377/vid/1280x720/S7C1ylf4T5yFSR4w.mp4?tag=2", "https://video.twimg.com/amplify_video/993976507621093377/vid/1280x720/S7C1ylf4T5yFSR4w.mp4?tag=2")</f>
        <v/>
      </c>
      <c r="G466" t="s"/>
      <c r="H466" t="s"/>
      <c r="I466" t="s"/>
      <c r="J466" t="n">
        <v>0.6249</v>
      </c>
      <c r="K466" t="n">
        <v>0</v>
      </c>
      <c r="L466" t="n">
        <v>0.83</v>
      </c>
      <c r="M466" t="n">
        <v>0.17</v>
      </c>
    </row>
    <row r="467" spans="1:13">
      <c r="A467" s="1">
        <f>HYPERLINK("http://www.twitter.com/NathanBLawrence/status/995278971813158913", "995278971813158913")</f>
        <v/>
      </c>
      <c r="B467" s="2" t="n">
        <v>43232.51819444444</v>
      </c>
      <c r="C467" t="n">
        <v>0</v>
      </c>
      <c r="D467" t="n">
        <v>444</v>
      </c>
      <c r="E467" t="s">
        <v>478</v>
      </c>
      <c r="F467" t="s"/>
      <c r="G467" t="s"/>
      <c r="H467" t="s"/>
      <c r="I467" t="s"/>
      <c r="J467" t="n">
        <v>0.5319</v>
      </c>
      <c r="K467" t="n">
        <v>0</v>
      </c>
      <c r="L467" t="n">
        <v>0.84</v>
      </c>
      <c r="M467" t="n">
        <v>0.16</v>
      </c>
    </row>
    <row r="468" spans="1:13">
      <c r="A468" s="1">
        <f>HYPERLINK("http://www.twitter.com/NathanBLawrence/status/995277554788552704", "995277554788552704")</f>
        <v/>
      </c>
      <c r="B468" s="2" t="n">
        <v>43232.51429398148</v>
      </c>
      <c r="C468" t="n">
        <v>0</v>
      </c>
      <c r="D468" t="n">
        <v>1329</v>
      </c>
      <c r="E468" t="s">
        <v>479</v>
      </c>
      <c r="F468" t="s"/>
      <c r="G468" t="s"/>
      <c r="H468" t="s"/>
      <c r="I468" t="s"/>
      <c r="J468" t="n">
        <v>-0.3182</v>
      </c>
      <c r="K468" t="n">
        <v>0.126</v>
      </c>
      <c r="L468" t="n">
        <v>0.874</v>
      </c>
      <c r="M468" t="n">
        <v>0</v>
      </c>
    </row>
    <row r="469" spans="1:13">
      <c r="A469" s="1">
        <f>HYPERLINK("http://www.twitter.com/NathanBLawrence/status/995069185372848128", "995069185372848128")</f>
        <v/>
      </c>
      <c r="B469" s="2" t="n">
        <v>43231.93929398148</v>
      </c>
      <c r="C469" t="n">
        <v>0</v>
      </c>
      <c r="D469" t="n">
        <v>11</v>
      </c>
      <c r="E469" t="s">
        <v>480</v>
      </c>
      <c r="F469" t="s"/>
      <c r="G469" t="s"/>
      <c r="H469" t="s"/>
      <c r="I469" t="s"/>
      <c r="J469" t="n">
        <v>-0.4003</v>
      </c>
      <c r="K469" t="n">
        <v>0.152</v>
      </c>
      <c r="L469" t="n">
        <v>0.848</v>
      </c>
      <c r="M469" t="n">
        <v>0</v>
      </c>
    </row>
    <row r="470" spans="1:13">
      <c r="A470" s="1">
        <f>HYPERLINK("http://www.twitter.com/NathanBLawrence/status/995067830302363648", "995067830302363648")</f>
        <v/>
      </c>
      <c r="B470" s="2" t="n">
        <v>43231.93555555555</v>
      </c>
      <c r="C470" t="n">
        <v>0</v>
      </c>
      <c r="D470" t="n">
        <v>313</v>
      </c>
      <c r="E470" t="s">
        <v>481</v>
      </c>
      <c r="F470" t="s"/>
      <c r="G470" t="s"/>
      <c r="H470" t="s"/>
      <c r="I470" t="s"/>
      <c r="J470" t="n">
        <v>0</v>
      </c>
      <c r="K470" t="n">
        <v>0</v>
      </c>
      <c r="L470" t="n">
        <v>1</v>
      </c>
      <c r="M470" t="n">
        <v>0</v>
      </c>
    </row>
    <row r="471" spans="1:13">
      <c r="A471" s="1">
        <f>HYPERLINK("http://www.twitter.com/NathanBLawrence/status/995067772148371456", "995067772148371456")</f>
        <v/>
      </c>
      <c r="B471" s="2" t="n">
        <v>43231.93540509259</v>
      </c>
      <c r="C471" t="n">
        <v>0</v>
      </c>
      <c r="D471" t="n">
        <v>3589</v>
      </c>
      <c r="E471" t="s">
        <v>482</v>
      </c>
      <c r="F471" t="s"/>
      <c r="G471" t="s"/>
      <c r="H471" t="s"/>
      <c r="I471" t="s"/>
      <c r="J471" t="n">
        <v>0</v>
      </c>
      <c r="K471" t="n">
        <v>0</v>
      </c>
      <c r="L471" t="n">
        <v>1</v>
      </c>
      <c r="M471" t="n">
        <v>0</v>
      </c>
    </row>
    <row r="472" spans="1:13">
      <c r="A472" s="1">
        <f>HYPERLINK("http://www.twitter.com/NathanBLawrence/status/995067723108487168", "995067723108487168")</f>
        <v/>
      </c>
      <c r="B472" s="2" t="n">
        <v>43231.93526620371</v>
      </c>
      <c r="C472" t="n">
        <v>0</v>
      </c>
      <c r="D472" t="n">
        <v>1090</v>
      </c>
      <c r="E472" t="s">
        <v>483</v>
      </c>
      <c r="F472">
        <f>HYPERLINK("http://pbs.twimg.com/media/Dc8wP5-XkAAD3ZM.jpg", "http://pbs.twimg.com/media/Dc8wP5-XkAAD3ZM.jpg")</f>
        <v/>
      </c>
      <c r="G472" t="s"/>
      <c r="H472" t="s"/>
      <c r="I472" t="s"/>
      <c r="J472" t="n">
        <v>0.5106000000000001</v>
      </c>
      <c r="K472" t="n">
        <v>0</v>
      </c>
      <c r="L472" t="n">
        <v>0.87</v>
      </c>
      <c r="M472" t="n">
        <v>0.13</v>
      </c>
    </row>
    <row r="473" spans="1:13">
      <c r="A473" s="1">
        <f>HYPERLINK("http://www.twitter.com/NathanBLawrence/status/995067441205084160", "995067441205084160")</f>
        <v/>
      </c>
      <c r="B473" s="2" t="n">
        <v>43231.93449074074</v>
      </c>
      <c r="C473" t="n">
        <v>0</v>
      </c>
      <c r="D473" t="n">
        <v>2</v>
      </c>
      <c r="E473" t="s">
        <v>484</v>
      </c>
      <c r="F473">
        <f>HYPERLINK("https://video.twimg.com/ext_tw_video/995059872780734464/pu/vid/326x180/ZeKm-u2WeQc1nr2a.mp4?tag=3", "https://video.twimg.com/ext_tw_video/995059872780734464/pu/vid/326x180/ZeKm-u2WeQc1nr2a.mp4?tag=3")</f>
        <v/>
      </c>
      <c r="G473" t="s"/>
      <c r="H473" t="s"/>
      <c r="I473" t="s"/>
      <c r="J473" t="n">
        <v>0.5859</v>
      </c>
      <c r="K473" t="n">
        <v>0</v>
      </c>
      <c r="L473" t="n">
        <v>0.612</v>
      </c>
      <c r="M473" t="n">
        <v>0.388</v>
      </c>
    </row>
    <row r="474" spans="1:13">
      <c r="A474" s="1">
        <f>HYPERLINK("http://www.twitter.com/NathanBLawrence/status/995066969408884737", "995066969408884737")</f>
        <v/>
      </c>
      <c r="B474" s="2" t="n">
        <v>43231.93318287037</v>
      </c>
      <c r="C474" t="n">
        <v>0</v>
      </c>
      <c r="D474" t="n">
        <v>256</v>
      </c>
      <c r="E474" t="s">
        <v>485</v>
      </c>
      <c r="F474" t="s"/>
      <c r="G474" t="s"/>
      <c r="H474" t="s"/>
      <c r="I474" t="s"/>
      <c r="J474" t="n">
        <v>0</v>
      </c>
      <c r="K474" t="n">
        <v>0</v>
      </c>
      <c r="L474" t="n">
        <v>1</v>
      </c>
      <c r="M474" t="n">
        <v>0</v>
      </c>
    </row>
    <row r="475" spans="1:13">
      <c r="A475" s="1">
        <f>HYPERLINK("http://www.twitter.com/NathanBLawrence/status/995066363449348096", "995066363449348096")</f>
        <v/>
      </c>
      <c r="B475" s="2" t="n">
        <v>43231.9315162037</v>
      </c>
      <c r="C475" t="n">
        <v>0</v>
      </c>
      <c r="D475" t="n">
        <v>657</v>
      </c>
      <c r="E475" t="s">
        <v>486</v>
      </c>
      <c r="F475" t="s"/>
      <c r="G475" t="s"/>
      <c r="H475" t="s"/>
      <c r="I475" t="s"/>
      <c r="J475" t="n">
        <v>0.4767</v>
      </c>
      <c r="K475" t="n">
        <v>0</v>
      </c>
      <c r="L475" t="n">
        <v>0.843</v>
      </c>
      <c r="M475" t="n">
        <v>0.157</v>
      </c>
    </row>
    <row r="476" spans="1:13">
      <c r="A476" s="1">
        <f>HYPERLINK("http://www.twitter.com/NathanBLawrence/status/995059412917260288", "995059412917260288")</f>
        <v/>
      </c>
      <c r="B476" s="2" t="n">
        <v>43231.91233796296</v>
      </c>
      <c r="C476" t="n">
        <v>0</v>
      </c>
      <c r="D476" t="n">
        <v>588</v>
      </c>
      <c r="E476" t="s">
        <v>487</v>
      </c>
      <c r="F476" t="s"/>
      <c r="G476" t="s"/>
      <c r="H476" t="s"/>
      <c r="I476" t="s"/>
      <c r="J476" t="n">
        <v>-0.656</v>
      </c>
      <c r="K476" t="n">
        <v>0.292</v>
      </c>
      <c r="L476" t="n">
        <v>0.708</v>
      </c>
      <c r="M476" t="n">
        <v>0</v>
      </c>
    </row>
    <row r="477" spans="1:13">
      <c r="A477" s="1">
        <f>HYPERLINK("http://www.twitter.com/NathanBLawrence/status/995059141394747392", "995059141394747392")</f>
        <v/>
      </c>
      <c r="B477" s="2" t="n">
        <v>43231.91158564815</v>
      </c>
      <c r="C477" t="n">
        <v>0</v>
      </c>
      <c r="D477" t="n">
        <v>22459</v>
      </c>
      <c r="E477" t="s">
        <v>488</v>
      </c>
      <c r="F477" t="s"/>
      <c r="G477" t="s"/>
      <c r="H477" t="s"/>
      <c r="I477" t="s"/>
      <c r="J477" t="n">
        <v>-0.296</v>
      </c>
      <c r="K477" t="n">
        <v>0.099</v>
      </c>
      <c r="L477" t="n">
        <v>0.901</v>
      </c>
      <c r="M477" t="n">
        <v>0</v>
      </c>
    </row>
    <row r="478" spans="1:13">
      <c r="A478" s="1">
        <f>HYPERLINK("http://www.twitter.com/NathanBLawrence/status/995058558600404992", "995058558600404992")</f>
        <v/>
      </c>
      <c r="B478" s="2" t="n">
        <v>43231.90997685185</v>
      </c>
      <c r="C478" t="n">
        <v>0</v>
      </c>
      <c r="D478" t="n">
        <v>1391</v>
      </c>
      <c r="E478" t="s">
        <v>489</v>
      </c>
      <c r="F478" t="s"/>
      <c r="G478" t="s"/>
      <c r="H478" t="s"/>
      <c r="I478" t="s"/>
      <c r="J478" t="n">
        <v>-0.4939</v>
      </c>
      <c r="K478" t="n">
        <v>0.218</v>
      </c>
      <c r="L478" t="n">
        <v>0.6850000000000001</v>
      </c>
      <c r="M478" t="n">
        <v>0.096</v>
      </c>
    </row>
    <row r="479" spans="1:13">
      <c r="A479" s="1">
        <f>HYPERLINK("http://www.twitter.com/NathanBLawrence/status/995057883619487744", "995057883619487744")</f>
        <v/>
      </c>
      <c r="B479" s="2" t="n">
        <v>43231.90811342592</v>
      </c>
      <c r="C479" t="n">
        <v>0</v>
      </c>
      <c r="D479" t="n">
        <v>1430</v>
      </c>
      <c r="E479" t="s">
        <v>490</v>
      </c>
      <c r="F479" t="s"/>
      <c r="G479" t="s"/>
      <c r="H479" t="s"/>
      <c r="I479" t="s"/>
      <c r="J479" t="n">
        <v>-0.4856</v>
      </c>
      <c r="K479" t="n">
        <v>0.207</v>
      </c>
      <c r="L479" t="n">
        <v>0.696</v>
      </c>
      <c r="M479" t="n">
        <v>0.097</v>
      </c>
    </row>
    <row r="480" spans="1:13">
      <c r="A480" s="1">
        <f>HYPERLINK("http://www.twitter.com/NathanBLawrence/status/995057605465858048", "995057605465858048")</f>
        <v/>
      </c>
      <c r="B480" s="2" t="n">
        <v>43231.90734953704</v>
      </c>
      <c r="C480" t="n">
        <v>0</v>
      </c>
      <c r="D480" t="n">
        <v>20145</v>
      </c>
      <c r="E480" t="s">
        <v>491</v>
      </c>
      <c r="F480">
        <f>HYPERLINK("https://video.twimg.com/ext_tw_video/995044716461768704/pu/vid/1280x720/X5Np6CNV3NBxYz5w.mp4?tag=3", "https://video.twimg.com/ext_tw_video/995044716461768704/pu/vid/1280x720/X5Np6CNV3NBxYz5w.mp4?tag=3")</f>
        <v/>
      </c>
      <c r="G480" t="s"/>
      <c r="H480" t="s"/>
      <c r="I480" t="s"/>
      <c r="J480" t="n">
        <v>0.6369</v>
      </c>
      <c r="K480" t="n">
        <v>0</v>
      </c>
      <c r="L480" t="n">
        <v>0.794</v>
      </c>
      <c r="M480" t="n">
        <v>0.206</v>
      </c>
    </row>
    <row r="481" spans="1:13">
      <c r="A481" s="1">
        <f>HYPERLINK("http://www.twitter.com/NathanBLawrence/status/995057219749150721", "995057219749150721")</f>
        <v/>
      </c>
      <c r="B481" s="2" t="n">
        <v>43231.90628472222</v>
      </c>
      <c r="C481" t="n">
        <v>0</v>
      </c>
      <c r="D481" t="n">
        <v>347</v>
      </c>
      <c r="E481" t="s">
        <v>492</v>
      </c>
      <c r="F481" t="s"/>
      <c r="G481" t="s"/>
      <c r="H481" t="s"/>
      <c r="I481" t="s"/>
      <c r="J481" t="n">
        <v>-0.4588</v>
      </c>
      <c r="K481" t="n">
        <v>0.13</v>
      </c>
      <c r="L481" t="n">
        <v>0.87</v>
      </c>
      <c r="M481" t="n">
        <v>0</v>
      </c>
    </row>
    <row r="482" spans="1:13">
      <c r="A482" s="1">
        <f>HYPERLINK("http://www.twitter.com/NathanBLawrence/status/995055408627765248", "995055408627765248")</f>
        <v/>
      </c>
      <c r="B482" s="2" t="n">
        <v>43231.90128472223</v>
      </c>
      <c r="C482" t="n">
        <v>0</v>
      </c>
      <c r="D482" t="n">
        <v>938</v>
      </c>
      <c r="E482" t="s">
        <v>493</v>
      </c>
      <c r="F482" t="s"/>
      <c r="G482" t="s"/>
      <c r="H482" t="s"/>
      <c r="I482" t="s"/>
      <c r="J482" t="n">
        <v>0.1513</v>
      </c>
      <c r="K482" t="n">
        <v>0</v>
      </c>
      <c r="L482" t="n">
        <v>0.9419999999999999</v>
      </c>
      <c r="M482" t="n">
        <v>0.058</v>
      </c>
    </row>
    <row r="483" spans="1:13">
      <c r="A483" s="1">
        <f>HYPERLINK("http://www.twitter.com/NathanBLawrence/status/995055330261381120", "995055330261381120")</f>
        <v/>
      </c>
      <c r="B483" s="2" t="n">
        <v>43231.90106481482</v>
      </c>
      <c r="C483" t="n">
        <v>0</v>
      </c>
      <c r="D483" t="n">
        <v>1839</v>
      </c>
      <c r="E483" t="s">
        <v>494</v>
      </c>
      <c r="F483" t="s"/>
      <c r="G483" t="s"/>
      <c r="H483" t="s"/>
      <c r="I483" t="s"/>
      <c r="J483" t="n">
        <v>0.7351</v>
      </c>
      <c r="K483" t="n">
        <v>0</v>
      </c>
      <c r="L483" t="n">
        <v>0.763</v>
      </c>
      <c r="M483" t="n">
        <v>0.237</v>
      </c>
    </row>
    <row r="484" spans="1:13">
      <c r="A484" s="1">
        <f>HYPERLINK("http://www.twitter.com/NathanBLawrence/status/995055252582883328", "995055252582883328")</f>
        <v/>
      </c>
      <c r="B484" s="2" t="n">
        <v>43231.90085648148</v>
      </c>
      <c r="C484" t="n">
        <v>0</v>
      </c>
      <c r="D484" t="n">
        <v>1434</v>
      </c>
      <c r="E484" t="s">
        <v>495</v>
      </c>
      <c r="F484" t="s"/>
      <c r="G484" t="s"/>
      <c r="H484" t="s"/>
      <c r="I484" t="s"/>
      <c r="J484" t="n">
        <v>0.6486</v>
      </c>
      <c r="K484" t="n">
        <v>0</v>
      </c>
      <c r="L484" t="n">
        <v>0.798</v>
      </c>
      <c r="M484" t="n">
        <v>0.202</v>
      </c>
    </row>
    <row r="485" spans="1:13">
      <c r="A485" s="1">
        <f>HYPERLINK("http://www.twitter.com/NathanBLawrence/status/994981457469820928", "994981457469820928")</f>
        <v/>
      </c>
      <c r="B485" s="2" t="n">
        <v>43231.69721064815</v>
      </c>
      <c r="C485" t="n">
        <v>0</v>
      </c>
      <c r="D485" t="n">
        <v>2999</v>
      </c>
      <c r="E485" t="s">
        <v>496</v>
      </c>
      <c r="F485" t="s"/>
      <c r="G485" t="s"/>
      <c r="H485" t="s"/>
      <c r="I485" t="s"/>
      <c r="J485" t="n">
        <v>-0.2883</v>
      </c>
      <c r="K485" t="n">
        <v>0.15</v>
      </c>
      <c r="L485" t="n">
        <v>0.773</v>
      </c>
      <c r="M485" t="n">
        <v>0.077</v>
      </c>
    </row>
    <row r="486" spans="1:13">
      <c r="A486" s="1">
        <f>HYPERLINK("http://www.twitter.com/NathanBLawrence/status/994981306382602241", "994981306382602241")</f>
        <v/>
      </c>
      <c r="B486" s="2" t="n">
        <v>43231.69679398148</v>
      </c>
      <c r="C486" t="n">
        <v>0</v>
      </c>
      <c r="D486" t="n">
        <v>210</v>
      </c>
      <c r="E486" t="s">
        <v>497</v>
      </c>
      <c r="F486">
        <f>HYPERLINK("http://pbs.twimg.com/media/Dc7bykBVAAA4CNd.jpg", "http://pbs.twimg.com/media/Dc7bykBVAAA4CNd.jpg")</f>
        <v/>
      </c>
      <c r="G486" t="s"/>
      <c r="H486" t="s"/>
      <c r="I486" t="s"/>
      <c r="J486" t="n">
        <v>0.2732</v>
      </c>
      <c r="K486" t="n">
        <v>0</v>
      </c>
      <c r="L486" t="n">
        <v>0.905</v>
      </c>
      <c r="M486" t="n">
        <v>0.095</v>
      </c>
    </row>
    <row r="487" spans="1:13">
      <c r="A487" s="1">
        <f>HYPERLINK("http://www.twitter.com/NathanBLawrence/status/994969627422855168", "994969627422855168")</f>
        <v/>
      </c>
      <c r="B487" s="2" t="n">
        <v>43231.66457175926</v>
      </c>
      <c r="C487" t="n">
        <v>0</v>
      </c>
      <c r="D487" t="n">
        <v>121</v>
      </c>
      <c r="E487" t="s">
        <v>498</v>
      </c>
      <c r="F487">
        <f>HYPERLINK("http://pbs.twimg.com/media/Dc7C3MuWkAAQEfs.jpg", "http://pbs.twimg.com/media/Dc7C3MuWkAAQEfs.jpg")</f>
        <v/>
      </c>
      <c r="G487" t="s"/>
      <c r="H487" t="s"/>
      <c r="I487" t="s"/>
      <c r="J487" t="n">
        <v>-0.296</v>
      </c>
      <c r="K487" t="n">
        <v>0.08699999999999999</v>
      </c>
      <c r="L487" t="n">
        <v>0.913</v>
      </c>
      <c r="M487" t="n">
        <v>0</v>
      </c>
    </row>
    <row r="488" spans="1:13">
      <c r="A488" s="1">
        <f>HYPERLINK("http://www.twitter.com/NathanBLawrence/status/994968418091782150", "994968418091782150")</f>
        <v/>
      </c>
      <c r="B488" s="2" t="n">
        <v>43231.66123842593</v>
      </c>
      <c r="C488" t="n">
        <v>0</v>
      </c>
      <c r="D488" t="n">
        <v>3132</v>
      </c>
      <c r="E488" t="s">
        <v>499</v>
      </c>
      <c r="F488" t="s"/>
      <c r="G488" t="s"/>
      <c r="H488" t="s"/>
      <c r="I488" t="s"/>
      <c r="J488" t="n">
        <v>-0.5266999999999999</v>
      </c>
      <c r="K488" t="n">
        <v>0.152</v>
      </c>
      <c r="L488" t="n">
        <v>0.848</v>
      </c>
      <c r="M488" t="n">
        <v>0</v>
      </c>
    </row>
    <row r="489" spans="1:13">
      <c r="A489" s="1">
        <f>HYPERLINK("http://www.twitter.com/NathanBLawrence/status/994968323937927168", "994968323937927168")</f>
        <v/>
      </c>
      <c r="B489" s="2" t="n">
        <v>43231.66097222222</v>
      </c>
      <c r="C489" t="n">
        <v>0</v>
      </c>
      <c r="D489" t="n">
        <v>62</v>
      </c>
      <c r="E489" t="s">
        <v>500</v>
      </c>
      <c r="F489" t="s"/>
      <c r="G489" t="s"/>
      <c r="H489" t="s"/>
      <c r="I489" t="s"/>
      <c r="J489" t="n">
        <v>0</v>
      </c>
      <c r="K489" t="n">
        <v>0</v>
      </c>
      <c r="L489" t="n">
        <v>1</v>
      </c>
      <c r="M489" t="n">
        <v>0</v>
      </c>
    </row>
    <row r="490" spans="1:13">
      <c r="A490" s="1">
        <f>HYPERLINK("http://www.twitter.com/NathanBLawrence/status/994968230358904833", "994968230358904833")</f>
        <v/>
      </c>
      <c r="B490" s="2" t="n">
        <v>43231.66071759259</v>
      </c>
      <c r="C490" t="n">
        <v>0</v>
      </c>
      <c r="D490" t="n">
        <v>138</v>
      </c>
      <c r="E490" t="s">
        <v>501</v>
      </c>
      <c r="F490">
        <f>HYPERLINK("http://pbs.twimg.com/media/Dc7U7hBU0AEzrNC.jpg", "http://pbs.twimg.com/media/Dc7U7hBU0AEzrNC.jpg")</f>
        <v/>
      </c>
      <c r="G490" t="s"/>
      <c r="H490" t="s"/>
      <c r="I490" t="s"/>
      <c r="J490" t="n">
        <v>0.5266999999999999</v>
      </c>
      <c r="K490" t="n">
        <v>0.099</v>
      </c>
      <c r="L490" t="n">
        <v>0.6850000000000001</v>
      </c>
      <c r="M490" t="n">
        <v>0.216</v>
      </c>
    </row>
    <row r="491" spans="1:13">
      <c r="A491" s="1">
        <f>HYPERLINK("http://www.twitter.com/NathanBLawrence/status/994966446479470594", "994966446479470594")</f>
        <v/>
      </c>
      <c r="B491" s="2" t="n">
        <v>43231.65579861111</v>
      </c>
      <c r="C491" t="n">
        <v>0</v>
      </c>
      <c r="D491" t="n">
        <v>224</v>
      </c>
      <c r="E491" t="s">
        <v>502</v>
      </c>
      <c r="F491">
        <f>HYPERLINK("http://pbs.twimg.com/media/Dc667evVAAYY7qF.jpg", "http://pbs.twimg.com/media/Dc667evVAAYY7qF.jpg")</f>
        <v/>
      </c>
      <c r="G491" t="s"/>
      <c r="H491" t="s"/>
      <c r="I491" t="s"/>
      <c r="J491" t="n">
        <v>0</v>
      </c>
      <c r="K491" t="n">
        <v>0</v>
      </c>
      <c r="L491" t="n">
        <v>1</v>
      </c>
      <c r="M491" t="n">
        <v>0</v>
      </c>
    </row>
    <row r="492" spans="1:13">
      <c r="A492" s="1">
        <f>HYPERLINK("http://www.twitter.com/NathanBLawrence/status/994965945822138368", "994965945822138368")</f>
        <v/>
      </c>
      <c r="B492" s="2" t="n">
        <v>43231.65440972222</v>
      </c>
      <c r="C492" t="n">
        <v>0</v>
      </c>
      <c r="D492" t="n">
        <v>28</v>
      </c>
      <c r="E492" t="s">
        <v>503</v>
      </c>
      <c r="F492">
        <f>HYPERLINK("http://pbs.twimg.com/media/Dc7Nz5AV4AM-RyH.jpg", "http://pbs.twimg.com/media/Dc7Nz5AV4AM-RyH.jpg")</f>
        <v/>
      </c>
      <c r="G492" t="s"/>
      <c r="H492" t="s"/>
      <c r="I492" t="s"/>
      <c r="J492" t="n">
        <v>0</v>
      </c>
      <c r="K492" t="n">
        <v>0</v>
      </c>
      <c r="L492" t="n">
        <v>1</v>
      </c>
      <c r="M492" t="n">
        <v>0</v>
      </c>
    </row>
    <row r="493" spans="1:13">
      <c r="A493" s="1">
        <f>HYPERLINK("http://www.twitter.com/NathanBLawrence/status/994965835809804290", "994965835809804290")</f>
        <v/>
      </c>
      <c r="B493" s="2" t="n">
        <v>43231.6541087963</v>
      </c>
      <c r="C493" t="n">
        <v>0</v>
      </c>
      <c r="D493" t="n">
        <v>435</v>
      </c>
      <c r="E493" t="s">
        <v>504</v>
      </c>
      <c r="F493" t="s"/>
      <c r="G493" t="s"/>
      <c r="H493" t="s"/>
      <c r="I493" t="s"/>
      <c r="J493" t="n">
        <v>-0.296</v>
      </c>
      <c r="K493" t="n">
        <v>0.136</v>
      </c>
      <c r="L493" t="n">
        <v>0.864</v>
      </c>
      <c r="M493" t="n">
        <v>0</v>
      </c>
    </row>
    <row r="494" spans="1:13">
      <c r="A494" s="1">
        <f>HYPERLINK("http://www.twitter.com/NathanBLawrence/status/994965661041528832", "994965661041528832")</f>
        <v/>
      </c>
      <c r="B494" s="2" t="n">
        <v>43231.65362268518</v>
      </c>
      <c r="C494" t="n">
        <v>0</v>
      </c>
      <c r="D494" t="n">
        <v>261</v>
      </c>
      <c r="E494" t="s">
        <v>505</v>
      </c>
      <c r="F494" t="s"/>
      <c r="G494" t="s"/>
      <c r="H494" t="s"/>
      <c r="I494" t="s"/>
      <c r="J494" t="n">
        <v>0</v>
      </c>
      <c r="K494" t="n">
        <v>0</v>
      </c>
      <c r="L494" t="n">
        <v>1</v>
      </c>
      <c r="M494" t="n">
        <v>0</v>
      </c>
    </row>
    <row r="495" spans="1:13">
      <c r="A495" s="1">
        <f>HYPERLINK("http://www.twitter.com/NathanBLawrence/status/994965476143976449", "994965476143976449")</f>
        <v/>
      </c>
      <c r="B495" s="2" t="n">
        <v>43231.65311342593</v>
      </c>
      <c r="C495" t="n">
        <v>0</v>
      </c>
      <c r="D495" t="n">
        <v>211</v>
      </c>
      <c r="E495" t="s">
        <v>506</v>
      </c>
      <c r="F495" t="s"/>
      <c r="G495" t="s"/>
      <c r="H495" t="s"/>
      <c r="I495" t="s"/>
      <c r="J495" t="n">
        <v>0.2111</v>
      </c>
      <c r="K495" t="n">
        <v>0.223</v>
      </c>
      <c r="L495" t="n">
        <v>0.497</v>
      </c>
      <c r="M495" t="n">
        <v>0.28</v>
      </c>
    </row>
    <row r="496" spans="1:13">
      <c r="A496" s="1">
        <f>HYPERLINK("http://www.twitter.com/NathanBLawrence/status/994965392052379650", "994965392052379650")</f>
        <v/>
      </c>
      <c r="B496" s="2" t="n">
        <v>43231.65288194444</v>
      </c>
      <c r="C496" t="n">
        <v>0</v>
      </c>
      <c r="D496" t="n">
        <v>1116</v>
      </c>
      <c r="E496" t="s">
        <v>507</v>
      </c>
      <c r="F496" t="s"/>
      <c r="G496" t="s"/>
      <c r="H496" t="s"/>
      <c r="I496" t="s"/>
      <c r="J496" t="n">
        <v>-0.7902</v>
      </c>
      <c r="K496" t="n">
        <v>0.285</v>
      </c>
      <c r="L496" t="n">
        <v>0.644</v>
      </c>
      <c r="M496" t="n">
        <v>0.07099999999999999</v>
      </c>
    </row>
    <row r="497" spans="1:13">
      <c r="A497" s="1">
        <f>HYPERLINK("http://www.twitter.com/NathanBLawrence/status/994965120467066881", "994965120467066881")</f>
        <v/>
      </c>
      <c r="B497" s="2" t="n">
        <v>43231.65212962963</v>
      </c>
      <c r="C497" t="n">
        <v>0</v>
      </c>
      <c r="D497" t="n">
        <v>1380</v>
      </c>
      <c r="E497" t="s">
        <v>508</v>
      </c>
      <c r="F497" t="s"/>
      <c r="G497" t="s"/>
      <c r="H497" t="s"/>
      <c r="I497" t="s"/>
      <c r="J497" t="n">
        <v>-0.1779</v>
      </c>
      <c r="K497" t="n">
        <v>0.221</v>
      </c>
      <c r="L497" t="n">
        <v>0.779</v>
      </c>
      <c r="M497" t="n">
        <v>0</v>
      </c>
    </row>
    <row r="498" spans="1:13">
      <c r="A498" s="1">
        <f>HYPERLINK("http://www.twitter.com/NathanBLawrence/status/994964944528519168", "994964944528519168")</f>
        <v/>
      </c>
      <c r="B498" s="2" t="n">
        <v>43231.65164351852</v>
      </c>
      <c r="C498" t="n">
        <v>0</v>
      </c>
      <c r="D498" t="n">
        <v>438</v>
      </c>
      <c r="E498" t="s">
        <v>509</v>
      </c>
      <c r="F498">
        <f>HYPERLINK("https://video.twimg.com/amplify_video/994931840300535808/vid/1280x720/2k0HTaCHbxeedfkQ.mp4?tag=2", "https://video.twimg.com/amplify_video/994931840300535808/vid/1280x720/2k0HTaCHbxeedfkQ.mp4?tag=2")</f>
        <v/>
      </c>
      <c r="G498" t="s"/>
      <c r="H498" t="s"/>
      <c r="I498" t="s"/>
      <c r="J498" t="n">
        <v>-0.5266999999999999</v>
      </c>
      <c r="K498" t="n">
        <v>0.196</v>
      </c>
      <c r="L498" t="n">
        <v>0.804</v>
      </c>
      <c r="M498" t="n">
        <v>0</v>
      </c>
    </row>
    <row r="499" spans="1:13">
      <c r="A499" s="1">
        <f>HYPERLINK("http://www.twitter.com/NathanBLawrence/status/994964860747251712", "994964860747251712")</f>
        <v/>
      </c>
      <c r="B499" s="2" t="n">
        <v>43231.65142361111</v>
      </c>
      <c r="C499" t="n">
        <v>0</v>
      </c>
      <c r="D499" t="n">
        <v>293</v>
      </c>
      <c r="E499" t="s">
        <v>510</v>
      </c>
      <c r="F499">
        <f>HYPERLINK("http://pbs.twimg.com/media/Dc69fUcU8AYRTXd.jpg", "http://pbs.twimg.com/media/Dc69fUcU8AYRTXd.jpg")</f>
        <v/>
      </c>
      <c r="G499" t="s"/>
      <c r="H499" t="s"/>
      <c r="I499" t="s"/>
      <c r="J499" t="n">
        <v>0</v>
      </c>
      <c r="K499" t="n">
        <v>0</v>
      </c>
      <c r="L499" t="n">
        <v>1</v>
      </c>
      <c r="M499" t="n">
        <v>0</v>
      </c>
    </row>
    <row r="500" spans="1:13">
      <c r="A500" s="1">
        <f>HYPERLINK("http://www.twitter.com/NathanBLawrence/status/994964804862439424", "994964804862439424")</f>
        <v/>
      </c>
      <c r="B500" s="2" t="n">
        <v>43231.65126157407</v>
      </c>
      <c r="C500" t="n">
        <v>0</v>
      </c>
      <c r="D500" t="n">
        <v>174</v>
      </c>
      <c r="E500" t="s">
        <v>511</v>
      </c>
      <c r="F500">
        <f>HYPERLINK("http://pbs.twimg.com/media/Dc63VBCU0AAr09T.jpg", "http://pbs.twimg.com/media/Dc63VBCU0AAr09T.jpg")</f>
        <v/>
      </c>
      <c r="G500" t="s"/>
      <c r="H500" t="s"/>
      <c r="I500" t="s"/>
      <c r="J500" t="n">
        <v>-0.0772</v>
      </c>
      <c r="K500" t="n">
        <v>0.115</v>
      </c>
      <c r="L500" t="n">
        <v>0.785</v>
      </c>
      <c r="M500" t="n">
        <v>0.099</v>
      </c>
    </row>
    <row r="501" spans="1:13">
      <c r="A501" s="1">
        <f>HYPERLINK("http://www.twitter.com/NathanBLawrence/status/994964675946254338", "994964675946254338")</f>
        <v/>
      </c>
      <c r="B501" s="2" t="n">
        <v>43231.65090277778</v>
      </c>
      <c r="C501" t="n">
        <v>0</v>
      </c>
      <c r="D501" t="n">
        <v>1487</v>
      </c>
      <c r="E501" t="s">
        <v>512</v>
      </c>
      <c r="F501" t="s"/>
      <c r="G501" t="s"/>
      <c r="H501" t="s"/>
      <c r="I501" t="s"/>
      <c r="J501" t="n">
        <v>-0.0772</v>
      </c>
      <c r="K501" t="n">
        <v>0.07199999999999999</v>
      </c>
      <c r="L501" t="n">
        <v>0.872</v>
      </c>
      <c r="M501" t="n">
        <v>0.056</v>
      </c>
    </row>
    <row r="502" spans="1:13">
      <c r="A502" s="1">
        <f>HYPERLINK("http://www.twitter.com/NathanBLawrence/status/994964580886568960", "994964580886568960")</f>
        <v/>
      </c>
      <c r="B502" s="2" t="n">
        <v>43231.65064814815</v>
      </c>
      <c r="C502" t="n">
        <v>0</v>
      </c>
      <c r="D502" t="n">
        <v>1393</v>
      </c>
      <c r="E502" t="s">
        <v>513</v>
      </c>
      <c r="F502" t="s"/>
      <c r="G502" t="s"/>
      <c r="H502" t="s"/>
      <c r="I502" t="s"/>
      <c r="J502" t="n">
        <v>-0.296</v>
      </c>
      <c r="K502" t="n">
        <v>0.08699999999999999</v>
      </c>
      <c r="L502" t="n">
        <v>0.913</v>
      </c>
      <c r="M502" t="n">
        <v>0</v>
      </c>
    </row>
    <row r="503" spans="1:13">
      <c r="A503" s="1">
        <f>HYPERLINK("http://www.twitter.com/NathanBLawrence/status/994964220226756608", "994964220226756608")</f>
        <v/>
      </c>
      <c r="B503" s="2" t="n">
        <v>43231.64965277778</v>
      </c>
      <c r="C503" t="n">
        <v>0</v>
      </c>
      <c r="D503" t="n">
        <v>3594</v>
      </c>
      <c r="E503" t="s">
        <v>514</v>
      </c>
      <c r="F503" t="s"/>
      <c r="G503" t="s"/>
      <c r="H503" t="s"/>
      <c r="I503" t="s"/>
      <c r="J503" t="n">
        <v>0</v>
      </c>
      <c r="K503" t="n">
        <v>0</v>
      </c>
      <c r="L503" t="n">
        <v>1</v>
      </c>
      <c r="M503" t="n">
        <v>0</v>
      </c>
    </row>
    <row r="504" spans="1:13">
      <c r="A504" s="1">
        <f>HYPERLINK("http://www.twitter.com/NathanBLawrence/status/994922362821906432", "994922362821906432")</f>
        <v/>
      </c>
      <c r="B504" s="2" t="n">
        <v>43231.53414351852</v>
      </c>
      <c r="C504" t="n">
        <v>0</v>
      </c>
      <c r="D504" t="n">
        <v>242</v>
      </c>
      <c r="E504" t="s">
        <v>515</v>
      </c>
      <c r="F504" t="s"/>
      <c r="G504" t="s"/>
      <c r="H504" t="s"/>
      <c r="I504" t="s"/>
      <c r="J504" t="n">
        <v>0.3182</v>
      </c>
      <c r="K504" t="n">
        <v>0</v>
      </c>
      <c r="L504" t="n">
        <v>0.913</v>
      </c>
      <c r="M504" t="n">
        <v>0.08699999999999999</v>
      </c>
    </row>
    <row r="505" spans="1:13">
      <c r="A505" s="1">
        <f>HYPERLINK("http://www.twitter.com/NathanBLawrence/status/994918271714459648", "994918271714459648")</f>
        <v/>
      </c>
      <c r="B505" s="2" t="n">
        <v>43231.5228587963</v>
      </c>
      <c r="C505" t="n">
        <v>0</v>
      </c>
      <c r="D505" t="n">
        <v>785</v>
      </c>
      <c r="E505" t="s">
        <v>516</v>
      </c>
      <c r="F505">
        <f>HYPERLINK("http://pbs.twimg.com/media/Dc6i0h4WkAA3Fzt.jpg", "http://pbs.twimg.com/media/Dc6i0h4WkAA3Fzt.jpg")</f>
        <v/>
      </c>
      <c r="G505" t="s"/>
      <c r="H505" t="s"/>
      <c r="I505" t="s"/>
      <c r="J505" t="n">
        <v>0</v>
      </c>
      <c r="K505" t="n">
        <v>0</v>
      </c>
      <c r="L505" t="n">
        <v>1</v>
      </c>
      <c r="M505" t="n">
        <v>0</v>
      </c>
    </row>
    <row r="506" spans="1:13">
      <c r="A506" s="1">
        <f>HYPERLINK("http://www.twitter.com/NathanBLawrence/status/994917023661674496", "994917023661674496")</f>
        <v/>
      </c>
      <c r="B506" s="2" t="n">
        <v>43231.51940972222</v>
      </c>
      <c r="C506" t="n">
        <v>0</v>
      </c>
      <c r="D506" t="n">
        <v>101</v>
      </c>
      <c r="E506" t="s">
        <v>517</v>
      </c>
      <c r="F506" t="s"/>
      <c r="G506" t="s"/>
      <c r="H506" t="s"/>
      <c r="I506" t="s"/>
      <c r="J506" t="n">
        <v>0</v>
      </c>
      <c r="K506" t="n">
        <v>0</v>
      </c>
      <c r="L506" t="n">
        <v>1</v>
      </c>
      <c r="M506" t="n">
        <v>0</v>
      </c>
    </row>
    <row r="507" spans="1:13">
      <c r="A507" s="1">
        <f>HYPERLINK("http://www.twitter.com/NathanBLawrence/status/994916881122447360", "994916881122447360")</f>
        <v/>
      </c>
      <c r="B507" s="2" t="n">
        <v>43231.5190162037</v>
      </c>
      <c r="C507" t="n">
        <v>0</v>
      </c>
      <c r="D507" t="n">
        <v>9</v>
      </c>
      <c r="E507" t="s">
        <v>518</v>
      </c>
      <c r="F507">
        <f>HYPERLINK("http://pbs.twimg.com/media/Dc6lDCOWkAAYkwl.jpg", "http://pbs.twimg.com/media/Dc6lDCOWkAAYkwl.jpg")</f>
        <v/>
      </c>
      <c r="G507" t="s"/>
      <c r="H507" t="s"/>
      <c r="I507" t="s"/>
      <c r="J507" t="n">
        <v>-0.6249</v>
      </c>
      <c r="K507" t="n">
        <v>0.242</v>
      </c>
      <c r="L507" t="n">
        <v>0.758</v>
      </c>
      <c r="M507" t="n">
        <v>0</v>
      </c>
    </row>
    <row r="508" spans="1:13">
      <c r="A508" s="1">
        <f>HYPERLINK("http://www.twitter.com/NathanBLawrence/status/994914832045563910", "994914832045563910")</f>
        <v/>
      </c>
      <c r="B508" s="2" t="n">
        <v>43231.51336805556</v>
      </c>
      <c r="C508" t="n">
        <v>0</v>
      </c>
      <c r="D508" t="n">
        <v>920</v>
      </c>
      <c r="E508" t="s">
        <v>519</v>
      </c>
      <c r="F508">
        <f>HYPERLINK("http://pbs.twimg.com/media/Dc6HQOcXkAYR3vt.jpg", "http://pbs.twimg.com/media/Dc6HQOcXkAYR3vt.jpg")</f>
        <v/>
      </c>
      <c r="G508" t="s"/>
      <c r="H508" t="s"/>
      <c r="I508" t="s"/>
      <c r="J508" t="n">
        <v>-0.4588</v>
      </c>
      <c r="K508" t="n">
        <v>0.13</v>
      </c>
      <c r="L508" t="n">
        <v>0.87</v>
      </c>
      <c r="M508" t="n">
        <v>0</v>
      </c>
    </row>
    <row r="509" spans="1:13">
      <c r="A509" s="1">
        <f>HYPERLINK("http://www.twitter.com/NathanBLawrence/status/994908321026109440", "994908321026109440")</f>
        <v/>
      </c>
      <c r="B509" s="2" t="n">
        <v>43231.49539351852</v>
      </c>
      <c r="C509" t="n">
        <v>0</v>
      </c>
      <c r="D509" t="n">
        <v>717</v>
      </c>
      <c r="E509" t="s">
        <v>520</v>
      </c>
      <c r="F509">
        <f>HYPERLINK("http://pbs.twimg.com/media/Dc5DndDW4AAnW5t.jpg", "http://pbs.twimg.com/media/Dc5DndDW4AAnW5t.jpg")</f>
        <v/>
      </c>
      <c r="G509" t="s"/>
      <c r="H509" t="s"/>
      <c r="I509" t="s"/>
      <c r="J509" t="n">
        <v>0</v>
      </c>
      <c r="K509" t="n">
        <v>0</v>
      </c>
      <c r="L509" t="n">
        <v>1</v>
      </c>
      <c r="M509" t="n">
        <v>0</v>
      </c>
    </row>
    <row r="510" spans="1:13">
      <c r="A510" s="1">
        <f>HYPERLINK("http://www.twitter.com/NathanBLawrence/status/994907666261643264", "994907666261643264")</f>
        <v/>
      </c>
      <c r="B510" s="2" t="n">
        <v>43231.49358796296</v>
      </c>
      <c r="C510" t="n">
        <v>0</v>
      </c>
      <c r="D510" t="n">
        <v>622</v>
      </c>
      <c r="E510" t="s">
        <v>521</v>
      </c>
      <c r="F510">
        <f>HYPERLINK("https://video.twimg.com/ext_tw_video/994866170091261952/pu/vid/1280x720/g3N-E9KudCj7rA-y.mp4?tag=3", "https://video.twimg.com/ext_tw_video/994866170091261952/pu/vid/1280x720/g3N-E9KudCj7rA-y.mp4?tag=3")</f>
        <v/>
      </c>
      <c r="G510" t="s"/>
      <c r="H510" t="s"/>
      <c r="I510" t="s"/>
      <c r="J510" t="n">
        <v>-0.4767</v>
      </c>
      <c r="K510" t="n">
        <v>0.134</v>
      </c>
      <c r="L510" t="n">
        <v>0.866</v>
      </c>
      <c r="M510" t="n">
        <v>0</v>
      </c>
    </row>
    <row r="511" spans="1:13">
      <c r="A511" s="1">
        <f>HYPERLINK("http://www.twitter.com/NathanBLawrence/status/994798672260018176", "994798672260018176")</f>
        <v/>
      </c>
      <c r="B511" s="2" t="n">
        <v>43231.19282407407</v>
      </c>
      <c r="C511" t="n">
        <v>0</v>
      </c>
      <c r="D511" t="n">
        <v>188</v>
      </c>
      <c r="E511" t="s">
        <v>522</v>
      </c>
      <c r="F511" t="s"/>
      <c r="G511" t="s"/>
      <c r="H511" t="s"/>
      <c r="I511" t="s"/>
      <c r="J511" t="n">
        <v>-0.705</v>
      </c>
      <c r="K511" t="n">
        <v>0.245</v>
      </c>
      <c r="L511" t="n">
        <v>0.755</v>
      </c>
      <c r="M511" t="n">
        <v>0</v>
      </c>
    </row>
    <row r="512" spans="1:13">
      <c r="A512" s="1">
        <f>HYPERLINK("http://www.twitter.com/NathanBLawrence/status/994797828630343680", "994797828630343680")</f>
        <v/>
      </c>
      <c r="B512" s="2" t="n">
        <v>43231.19049768519</v>
      </c>
      <c r="C512" t="n">
        <v>0</v>
      </c>
      <c r="D512" t="n">
        <v>993</v>
      </c>
      <c r="E512" t="s">
        <v>523</v>
      </c>
      <c r="F512">
        <f>HYPERLINK("http://pbs.twimg.com/media/Dc41PovWkAUko1L.jpg", "http://pbs.twimg.com/media/Dc41PovWkAUko1L.jpg")</f>
        <v/>
      </c>
      <c r="G512" t="s"/>
      <c r="H512" t="s"/>
      <c r="I512" t="s"/>
      <c r="J512" t="n">
        <v>0.2732</v>
      </c>
      <c r="K512" t="n">
        <v>0</v>
      </c>
      <c r="L512" t="n">
        <v>0.769</v>
      </c>
      <c r="M512" t="n">
        <v>0.231</v>
      </c>
    </row>
    <row r="513" spans="1:13">
      <c r="A513" s="1">
        <f>HYPERLINK("http://www.twitter.com/NathanBLawrence/status/994797481472004097", "994797481472004097")</f>
        <v/>
      </c>
      <c r="B513" s="2" t="n">
        <v>43231.18953703704</v>
      </c>
      <c r="C513" t="n">
        <v>0</v>
      </c>
      <c r="D513" t="n">
        <v>2</v>
      </c>
      <c r="E513" t="s">
        <v>524</v>
      </c>
      <c r="F513" t="s"/>
      <c r="G513" t="s"/>
      <c r="H513" t="s"/>
      <c r="I513" t="s"/>
      <c r="J513" t="n">
        <v>0</v>
      </c>
      <c r="K513" t="n">
        <v>0</v>
      </c>
      <c r="L513" t="n">
        <v>1</v>
      </c>
      <c r="M513" t="n">
        <v>0</v>
      </c>
    </row>
    <row r="514" spans="1:13">
      <c r="A514" s="1">
        <f>HYPERLINK("http://www.twitter.com/NathanBLawrence/status/994796082772299776", "994796082772299776")</f>
        <v/>
      </c>
      <c r="B514" s="2" t="n">
        <v>43231.18568287037</v>
      </c>
      <c r="C514" t="n">
        <v>0</v>
      </c>
      <c r="D514" t="n">
        <v>1312</v>
      </c>
      <c r="E514" t="s">
        <v>525</v>
      </c>
      <c r="F514" t="s"/>
      <c r="G514" t="s"/>
      <c r="H514" t="s"/>
      <c r="I514" t="s"/>
      <c r="J514" t="n">
        <v>0</v>
      </c>
      <c r="K514" t="n">
        <v>0</v>
      </c>
      <c r="L514" t="n">
        <v>1</v>
      </c>
      <c r="M514" t="n">
        <v>0</v>
      </c>
    </row>
    <row r="515" spans="1:13">
      <c r="A515" s="1">
        <f>HYPERLINK("http://www.twitter.com/NathanBLawrence/status/994795998139568128", "994795998139568128")</f>
        <v/>
      </c>
      <c r="B515" s="2" t="n">
        <v>43231.18545138889</v>
      </c>
      <c r="C515" t="n">
        <v>0</v>
      </c>
      <c r="D515" t="n">
        <v>1093</v>
      </c>
      <c r="E515" t="s">
        <v>526</v>
      </c>
      <c r="F515">
        <f>HYPERLINK("https://video.twimg.com/ext_tw_video/994259219204395008/pu/vid/1280x720/jm-fbtDJk_wn-2o3.mp4?tag=3", "https://video.twimg.com/ext_tw_video/994259219204395008/pu/vid/1280x720/jm-fbtDJk_wn-2o3.mp4?tag=3")</f>
        <v/>
      </c>
      <c r="G515" t="s"/>
      <c r="H515" t="s"/>
      <c r="I515" t="s"/>
      <c r="J515" t="n">
        <v>0.5719</v>
      </c>
      <c r="K515" t="n">
        <v>0</v>
      </c>
      <c r="L515" t="n">
        <v>0.824</v>
      </c>
      <c r="M515" t="n">
        <v>0.176</v>
      </c>
    </row>
    <row r="516" spans="1:13">
      <c r="A516" s="1">
        <f>HYPERLINK("http://www.twitter.com/NathanBLawrence/status/994795430008573958", "994795430008573958")</f>
        <v/>
      </c>
      <c r="B516" s="2" t="n">
        <v>43231.18387731481</v>
      </c>
      <c r="C516" t="n">
        <v>0</v>
      </c>
      <c r="D516" t="n">
        <v>307</v>
      </c>
      <c r="E516" t="s">
        <v>527</v>
      </c>
      <c r="F516" t="s"/>
      <c r="G516" t="s"/>
      <c r="H516" t="s"/>
      <c r="I516" t="s"/>
      <c r="J516" t="n">
        <v>0</v>
      </c>
      <c r="K516" t="n">
        <v>0</v>
      </c>
      <c r="L516" t="n">
        <v>1</v>
      </c>
      <c r="M516" t="n">
        <v>0</v>
      </c>
    </row>
    <row r="517" spans="1:13">
      <c r="A517" s="1">
        <f>HYPERLINK("http://www.twitter.com/NathanBLawrence/status/994795013908426752", "994795013908426752")</f>
        <v/>
      </c>
      <c r="B517" s="2" t="n">
        <v>43231.18273148148</v>
      </c>
      <c r="C517" t="n">
        <v>0</v>
      </c>
      <c r="D517" t="n">
        <v>3417</v>
      </c>
      <c r="E517" t="s">
        <v>528</v>
      </c>
      <c r="F517" t="s"/>
      <c r="G517" t="s"/>
      <c r="H517" t="s"/>
      <c r="I517" t="s"/>
      <c r="J517" t="n">
        <v>0.1027</v>
      </c>
      <c r="K517" t="n">
        <v>0</v>
      </c>
      <c r="L517" t="n">
        <v>0.947</v>
      </c>
      <c r="M517" t="n">
        <v>0.053</v>
      </c>
    </row>
    <row r="518" spans="1:13">
      <c r="A518" s="1">
        <f>HYPERLINK("http://www.twitter.com/NathanBLawrence/status/994794793124417536", "994794793124417536")</f>
        <v/>
      </c>
      <c r="B518" s="2" t="n">
        <v>43231.18211805556</v>
      </c>
      <c r="C518" t="n">
        <v>0</v>
      </c>
      <c r="D518" t="n">
        <v>773</v>
      </c>
      <c r="E518" t="s">
        <v>529</v>
      </c>
      <c r="F518">
        <f>HYPERLINK("http://pbs.twimg.com/media/Dc36ntQVwAACVYJ.jpg", "http://pbs.twimg.com/media/Dc36ntQVwAACVYJ.jpg")</f>
        <v/>
      </c>
      <c r="G518" t="s"/>
      <c r="H518" t="s"/>
      <c r="I518" t="s"/>
      <c r="J518" t="n">
        <v>0.6249</v>
      </c>
      <c r="K518" t="n">
        <v>0</v>
      </c>
      <c r="L518" t="n">
        <v>0.854</v>
      </c>
      <c r="M518" t="n">
        <v>0.146</v>
      </c>
    </row>
    <row r="519" spans="1:13">
      <c r="A519" s="1">
        <f>HYPERLINK("http://www.twitter.com/NathanBLawrence/status/994786659060342784", "994786659060342784")</f>
        <v/>
      </c>
      <c r="B519" s="2" t="n">
        <v>43231.15967592593</v>
      </c>
      <c r="C519" t="n">
        <v>0</v>
      </c>
      <c r="D519" t="n">
        <v>571</v>
      </c>
      <c r="E519" t="s">
        <v>530</v>
      </c>
      <c r="F519">
        <f>HYPERLINK("https://video.twimg.com/ext_tw_video/994723110816436225/pu/vid/720x720/DDzhBVvOaYH88pdX.mp4?tag=3", "https://video.twimg.com/ext_tw_video/994723110816436225/pu/vid/720x720/DDzhBVvOaYH88pdX.mp4?tag=3")</f>
        <v/>
      </c>
      <c r="G519" t="s"/>
      <c r="H519" t="s"/>
      <c r="I519" t="s"/>
      <c r="J519" t="n">
        <v>-0.7506</v>
      </c>
      <c r="K519" t="n">
        <v>0.305</v>
      </c>
      <c r="L519" t="n">
        <v>0.604</v>
      </c>
      <c r="M519" t="n">
        <v>0.091</v>
      </c>
    </row>
    <row r="520" spans="1:13">
      <c r="A520" s="1">
        <f>HYPERLINK("http://www.twitter.com/NathanBLawrence/status/994786057240694784", "994786057240694784")</f>
        <v/>
      </c>
      <c r="B520" s="2" t="n">
        <v>43231.15800925926</v>
      </c>
      <c r="C520" t="n">
        <v>0</v>
      </c>
      <c r="D520" t="n">
        <v>156</v>
      </c>
      <c r="E520" t="s">
        <v>531</v>
      </c>
      <c r="F520" t="s"/>
      <c r="G520" t="s"/>
      <c r="H520" t="s"/>
      <c r="I520" t="s"/>
      <c r="J520" t="n">
        <v>0.7351</v>
      </c>
      <c r="K520" t="n">
        <v>0</v>
      </c>
      <c r="L520" t="n">
        <v>0.754</v>
      </c>
      <c r="M520" t="n">
        <v>0.246</v>
      </c>
    </row>
    <row r="521" spans="1:13">
      <c r="A521" s="1">
        <f>HYPERLINK("http://www.twitter.com/NathanBLawrence/status/994784796818771971", "994784796818771971")</f>
        <v/>
      </c>
      <c r="B521" s="2" t="n">
        <v>43231.15453703704</v>
      </c>
      <c r="C521" t="n">
        <v>0</v>
      </c>
      <c r="D521" t="n">
        <v>348</v>
      </c>
      <c r="E521" t="s">
        <v>532</v>
      </c>
      <c r="F521" t="s"/>
      <c r="G521" t="s"/>
      <c r="H521" t="s"/>
      <c r="I521" t="s"/>
      <c r="J521" t="n">
        <v>0</v>
      </c>
      <c r="K521" t="n">
        <v>0</v>
      </c>
      <c r="L521" t="n">
        <v>1</v>
      </c>
      <c r="M521" t="n">
        <v>0</v>
      </c>
    </row>
    <row r="522" spans="1:13">
      <c r="A522" s="1">
        <f>HYPERLINK("http://www.twitter.com/NathanBLawrence/status/994782865148784646", "994782865148784646")</f>
        <v/>
      </c>
      <c r="B522" s="2" t="n">
        <v>43231.14920138889</v>
      </c>
      <c r="C522" t="n">
        <v>0</v>
      </c>
      <c r="D522" t="n">
        <v>10553</v>
      </c>
      <c r="E522" t="s">
        <v>533</v>
      </c>
      <c r="F522" t="s"/>
      <c r="G522" t="s"/>
      <c r="H522" t="s"/>
      <c r="I522" t="s"/>
      <c r="J522" t="n">
        <v>-0.5859</v>
      </c>
      <c r="K522" t="n">
        <v>0.167</v>
      </c>
      <c r="L522" t="n">
        <v>0.833</v>
      </c>
      <c r="M522" t="n">
        <v>0</v>
      </c>
    </row>
    <row r="523" spans="1:13">
      <c r="A523" s="1">
        <f>HYPERLINK("http://www.twitter.com/NathanBLawrence/status/994782587343265792", "994782587343265792")</f>
        <v/>
      </c>
      <c r="B523" s="2" t="n">
        <v>43231.1484375</v>
      </c>
      <c r="C523" t="n">
        <v>0</v>
      </c>
      <c r="D523" t="n">
        <v>291</v>
      </c>
      <c r="E523" t="s">
        <v>534</v>
      </c>
      <c r="F523">
        <f>HYPERLINK("http://pbs.twimg.com/media/Dc0wjF3XUAAlbqs.jpg", "http://pbs.twimg.com/media/Dc0wjF3XUAAlbqs.jpg")</f>
        <v/>
      </c>
      <c r="G523" t="s"/>
      <c r="H523" t="s"/>
      <c r="I523" t="s"/>
      <c r="J523" t="n">
        <v>0.6369</v>
      </c>
      <c r="K523" t="n">
        <v>0</v>
      </c>
      <c r="L523" t="n">
        <v>0.802</v>
      </c>
      <c r="M523" t="n">
        <v>0.198</v>
      </c>
    </row>
    <row r="524" spans="1:13">
      <c r="A524" s="1">
        <f>HYPERLINK("http://www.twitter.com/NathanBLawrence/status/994782484679315457", "994782484679315457")</f>
        <v/>
      </c>
      <c r="B524" s="2" t="n">
        <v>43231.14815972222</v>
      </c>
      <c r="C524" t="n">
        <v>0</v>
      </c>
      <c r="D524" t="n">
        <v>1335</v>
      </c>
      <c r="E524" t="s">
        <v>535</v>
      </c>
      <c r="F524">
        <f>HYPERLINK("http://pbs.twimg.com/media/Dc4FTDIVwAEr1xV.jpg", "http://pbs.twimg.com/media/Dc4FTDIVwAEr1xV.jpg")</f>
        <v/>
      </c>
      <c r="G524" t="s"/>
      <c r="H524" t="s"/>
      <c r="I524" t="s"/>
      <c r="J524" t="n">
        <v>0.7177</v>
      </c>
      <c r="K524" t="n">
        <v>0</v>
      </c>
      <c r="L524" t="n">
        <v>0.715</v>
      </c>
      <c r="M524" t="n">
        <v>0.285</v>
      </c>
    </row>
    <row r="525" spans="1:13">
      <c r="A525" s="1">
        <f>HYPERLINK("http://www.twitter.com/NathanBLawrence/status/994780184371978241", "994780184371978241")</f>
        <v/>
      </c>
      <c r="B525" s="2" t="n">
        <v>43231.14180555556</v>
      </c>
      <c r="C525" t="n">
        <v>0</v>
      </c>
      <c r="D525" t="n">
        <v>81</v>
      </c>
      <c r="E525" t="s">
        <v>536</v>
      </c>
      <c r="F525">
        <f>HYPERLINK("http://pbs.twimg.com/media/DcEGEPQU0AA9F2J.jpg", "http://pbs.twimg.com/media/DcEGEPQU0AA9F2J.jpg")</f>
        <v/>
      </c>
      <c r="G525">
        <f>HYPERLINK("http://pbs.twimg.com/media/DcEGF-mVMAAK1xR.jpg", "http://pbs.twimg.com/media/DcEGF-mVMAAK1xR.jpg")</f>
        <v/>
      </c>
      <c r="H525" t="s"/>
      <c r="I525" t="s"/>
      <c r="J525" t="n">
        <v>0.8779</v>
      </c>
      <c r="K525" t="n">
        <v>0</v>
      </c>
      <c r="L525" t="n">
        <v>0.6850000000000001</v>
      </c>
      <c r="M525" t="n">
        <v>0.315</v>
      </c>
    </row>
    <row r="526" spans="1:13">
      <c r="A526" s="1">
        <f>HYPERLINK("http://www.twitter.com/NathanBLawrence/status/994779756997509121", "994779756997509121")</f>
        <v/>
      </c>
      <c r="B526" s="2" t="n">
        <v>43231.140625</v>
      </c>
      <c r="C526" t="n">
        <v>0</v>
      </c>
      <c r="D526" t="n">
        <v>159</v>
      </c>
      <c r="E526" t="s">
        <v>537</v>
      </c>
      <c r="F526" t="s"/>
      <c r="G526" t="s"/>
      <c r="H526" t="s"/>
      <c r="I526" t="s"/>
      <c r="J526" t="n">
        <v>-0.7184</v>
      </c>
      <c r="K526" t="n">
        <v>0.264</v>
      </c>
      <c r="L526" t="n">
        <v>0.6879999999999999</v>
      </c>
      <c r="M526" t="n">
        <v>0.047</v>
      </c>
    </row>
    <row r="527" spans="1:13">
      <c r="A527" s="1">
        <f>HYPERLINK("http://www.twitter.com/NathanBLawrence/status/994779490172723200", "994779490172723200")</f>
        <v/>
      </c>
      <c r="B527" s="2" t="n">
        <v>43231.13989583333</v>
      </c>
      <c r="C527" t="n">
        <v>0</v>
      </c>
      <c r="D527" t="n">
        <v>509</v>
      </c>
      <c r="E527" t="s">
        <v>538</v>
      </c>
      <c r="F527">
        <f>HYPERLINK("http://pbs.twimg.com/media/DczC_D-V0AAEqmC.jpg", "http://pbs.twimg.com/media/DczC_D-V0AAEqmC.jpg")</f>
        <v/>
      </c>
      <c r="G527">
        <f>HYPERLINK("http://pbs.twimg.com/media/DczC_YdV0AUXN3B.jpg", "http://pbs.twimg.com/media/DczC_YdV0AUXN3B.jpg")</f>
        <v/>
      </c>
      <c r="H527" t="s"/>
      <c r="I527" t="s"/>
      <c r="J527" t="n">
        <v>0.4939</v>
      </c>
      <c r="K527" t="n">
        <v>0</v>
      </c>
      <c r="L527" t="n">
        <v>0.868</v>
      </c>
      <c r="M527" t="n">
        <v>0.132</v>
      </c>
    </row>
    <row r="528" spans="1:13">
      <c r="A528" s="1">
        <f>HYPERLINK("http://www.twitter.com/NathanBLawrence/status/994778277632991233", "994778277632991233")</f>
        <v/>
      </c>
      <c r="B528" s="2" t="n">
        <v>43231.13655092593</v>
      </c>
      <c r="C528" t="n">
        <v>0</v>
      </c>
      <c r="D528" t="n">
        <v>1240</v>
      </c>
      <c r="E528" t="s">
        <v>539</v>
      </c>
      <c r="F528" t="s"/>
      <c r="G528" t="s"/>
      <c r="H528" t="s"/>
      <c r="I528" t="s"/>
      <c r="J528" t="n">
        <v>0.3818</v>
      </c>
      <c r="K528" t="n">
        <v>0</v>
      </c>
      <c r="L528" t="n">
        <v>0.88</v>
      </c>
      <c r="M528" t="n">
        <v>0.12</v>
      </c>
    </row>
    <row r="529" spans="1:13">
      <c r="A529" s="1">
        <f>HYPERLINK("http://www.twitter.com/NathanBLawrence/status/994773212851589120", "994773212851589120")</f>
        <v/>
      </c>
      <c r="B529" s="2" t="n">
        <v>43231.12256944444</v>
      </c>
      <c r="C529" t="n">
        <v>0</v>
      </c>
      <c r="D529" t="n">
        <v>8452</v>
      </c>
      <c r="E529" t="s">
        <v>540</v>
      </c>
      <c r="F529" t="s"/>
      <c r="G529" t="s"/>
      <c r="H529" t="s"/>
      <c r="I529" t="s"/>
      <c r="J529" t="n">
        <v>-0.0394</v>
      </c>
      <c r="K529" t="n">
        <v>0.1</v>
      </c>
      <c r="L529" t="n">
        <v>0.805</v>
      </c>
      <c r="M529" t="n">
        <v>0.094</v>
      </c>
    </row>
    <row r="530" spans="1:13">
      <c r="A530" s="1">
        <f>HYPERLINK("http://www.twitter.com/NathanBLawrence/status/994760011451641856", "994760011451641856")</f>
        <v/>
      </c>
      <c r="B530" s="2" t="n">
        <v>43231.08614583333</v>
      </c>
      <c r="C530" t="n">
        <v>0</v>
      </c>
      <c r="D530" t="n">
        <v>13</v>
      </c>
      <c r="E530" t="s">
        <v>541</v>
      </c>
      <c r="F530">
        <f>HYPERLINK("http://pbs.twimg.com/media/Dc4V_YsX0AEcWyg.jpg", "http://pbs.twimg.com/media/Dc4V_YsX0AEcWyg.jpg")</f>
        <v/>
      </c>
      <c r="G530" t="s"/>
      <c r="H530" t="s"/>
      <c r="I530" t="s"/>
      <c r="J530" t="n">
        <v>0</v>
      </c>
      <c r="K530" t="n">
        <v>0</v>
      </c>
      <c r="L530" t="n">
        <v>1</v>
      </c>
      <c r="M530" t="n">
        <v>0</v>
      </c>
    </row>
    <row r="531" spans="1:13">
      <c r="A531" s="1">
        <f>HYPERLINK("http://www.twitter.com/NathanBLawrence/status/994759888948596736", "994759888948596736")</f>
        <v/>
      </c>
      <c r="B531" s="2" t="n">
        <v>43231.08579861111</v>
      </c>
      <c r="C531" t="n">
        <v>0</v>
      </c>
      <c r="D531" t="n">
        <v>9</v>
      </c>
      <c r="E531" t="s">
        <v>542</v>
      </c>
      <c r="F531">
        <f>HYPERLINK("http://pbs.twimg.com/media/Dc4WBQ9VQAAYnUH.jpg", "http://pbs.twimg.com/media/Dc4WBQ9VQAAYnUH.jpg")</f>
        <v/>
      </c>
      <c r="G531" t="s"/>
      <c r="H531" t="s"/>
      <c r="I531" t="s"/>
      <c r="J531" t="n">
        <v>0</v>
      </c>
      <c r="K531" t="n">
        <v>0</v>
      </c>
      <c r="L531" t="n">
        <v>1</v>
      </c>
      <c r="M531" t="n">
        <v>0</v>
      </c>
    </row>
    <row r="532" spans="1:13">
      <c r="A532" s="1">
        <f>HYPERLINK("http://www.twitter.com/NathanBLawrence/status/994759610237112320", "994759610237112320")</f>
        <v/>
      </c>
      <c r="B532" s="2" t="n">
        <v>43231.08503472222</v>
      </c>
      <c r="C532" t="n">
        <v>0</v>
      </c>
      <c r="D532" t="n">
        <v>9</v>
      </c>
      <c r="E532" t="s">
        <v>543</v>
      </c>
      <c r="F532" t="s"/>
      <c r="G532" t="s"/>
      <c r="H532" t="s"/>
      <c r="I532" t="s"/>
      <c r="J532" t="n">
        <v>-0.3612</v>
      </c>
      <c r="K532" t="n">
        <v>0.094</v>
      </c>
      <c r="L532" t="n">
        <v>0.906</v>
      </c>
      <c r="M532" t="n">
        <v>0</v>
      </c>
    </row>
    <row r="533" spans="1:13">
      <c r="A533" s="1">
        <f>HYPERLINK("http://www.twitter.com/NathanBLawrence/status/994758192927334400", "994758192927334400")</f>
        <v/>
      </c>
      <c r="B533" s="2" t="n">
        <v>43231.08112268519</v>
      </c>
      <c r="C533" t="n">
        <v>0</v>
      </c>
      <c r="D533" t="n">
        <v>3644</v>
      </c>
      <c r="E533" t="s">
        <v>544</v>
      </c>
      <c r="F533" t="s"/>
      <c r="G533" t="s"/>
      <c r="H533" t="s"/>
      <c r="I533" t="s"/>
      <c r="J533" t="n">
        <v>0.3802</v>
      </c>
      <c r="K533" t="n">
        <v>0</v>
      </c>
      <c r="L533" t="n">
        <v>0.906</v>
      </c>
      <c r="M533" t="n">
        <v>0.094</v>
      </c>
    </row>
    <row r="534" spans="1:13">
      <c r="A534" s="1">
        <f>HYPERLINK("http://www.twitter.com/NathanBLawrence/status/994757654730899457", "994757654730899457")</f>
        <v/>
      </c>
      <c r="B534" s="2" t="n">
        <v>43231.0796412037</v>
      </c>
      <c r="C534" t="n">
        <v>0</v>
      </c>
      <c r="D534" t="n">
        <v>243</v>
      </c>
      <c r="E534" t="s">
        <v>545</v>
      </c>
      <c r="F534">
        <f>HYPERLINK("https://video.twimg.com/ext_tw_video/994745948881367040/pu/vid/1280x720/_5v-bFjXWvfK36Aa.mp4?tag=3", "https://video.twimg.com/ext_tw_video/994745948881367040/pu/vid/1280x720/_5v-bFjXWvfK36Aa.mp4?tag=3")</f>
        <v/>
      </c>
      <c r="G534" t="s"/>
      <c r="H534" t="s"/>
      <c r="I534" t="s"/>
      <c r="J534" t="n">
        <v>-0.0516</v>
      </c>
      <c r="K534" t="n">
        <v>0.08500000000000001</v>
      </c>
      <c r="L534" t="n">
        <v>0.915</v>
      </c>
      <c r="M534" t="n">
        <v>0</v>
      </c>
    </row>
    <row r="535" spans="1:13">
      <c r="A535" s="1">
        <f>HYPERLINK("http://www.twitter.com/NathanBLawrence/status/994757387633512448", "994757387633512448")</f>
        <v/>
      </c>
      <c r="B535" s="2" t="n">
        <v>43231.07890046296</v>
      </c>
      <c r="C535" t="n">
        <v>0</v>
      </c>
      <c r="D535" t="n">
        <v>170</v>
      </c>
      <c r="E535" t="s">
        <v>546</v>
      </c>
      <c r="F535">
        <f>HYPERLINK("http://pbs.twimg.com/media/Dc3oSpwVMAASrH_.jpg", "http://pbs.twimg.com/media/Dc3oSpwVMAASrH_.jpg")</f>
        <v/>
      </c>
      <c r="G535" t="s"/>
      <c r="H535" t="s"/>
      <c r="I535" t="s"/>
      <c r="J535" t="n">
        <v>0.5719</v>
      </c>
      <c r="K535" t="n">
        <v>0</v>
      </c>
      <c r="L535" t="n">
        <v>0.871</v>
      </c>
      <c r="M535" t="n">
        <v>0.129</v>
      </c>
    </row>
    <row r="536" spans="1:13">
      <c r="A536" s="1">
        <f>HYPERLINK("http://www.twitter.com/NathanBLawrence/status/994757023689560064", "994757023689560064")</f>
        <v/>
      </c>
      <c r="B536" s="2" t="n">
        <v>43231.07789351852</v>
      </c>
      <c r="C536" t="n">
        <v>0</v>
      </c>
      <c r="D536" t="n">
        <v>1</v>
      </c>
      <c r="E536" t="s">
        <v>547</v>
      </c>
      <c r="F536" t="s"/>
      <c r="G536" t="s"/>
      <c r="H536" t="s"/>
      <c r="I536" t="s"/>
      <c r="J536" t="n">
        <v>-0.0772</v>
      </c>
      <c r="K536" t="n">
        <v>0.219</v>
      </c>
      <c r="L536" t="n">
        <v>0.584</v>
      </c>
      <c r="M536" t="n">
        <v>0.197</v>
      </c>
    </row>
    <row r="537" spans="1:13">
      <c r="A537" s="1">
        <f>HYPERLINK("http://www.twitter.com/NathanBLawrence/status/994756774895996928", "994756774895996928")</f>
        <v/>
      </c>
      <c r="B537" s="2" t="n">
        <v>43231.07721064815</v>
      </c>
      <c r="C537" t="n">
        <v>0</v>
      </c>
      <c r="D537" t="n">
        <v>1611</v>
      </c>
      <c r="E537" t="s">
        <v>548</v>
      </c>
      <c r="F537" t="s"/>
      <c r="G537" t="s"/>
      <c r="H537" t="s"/>
      <c r="I537" t="s"/>
      <c r="J537" t="n">
        <v>0</v>
      </c>
      <c r="K537" t="n">
        <v>0</v>
      </c>
      <c r="L537" t="n">
        <v>1</v>
      </c>
      <c r="M537" t="n">
        <v>0</v>
      </c>
    </row>
    <row r="538" spans="1:13">
      <c r="A538" s="1">
        <f>HYPERLINK("http://www.twitter.com/NathanBLawrence/status/994754890936340480", "994754890936340480")</f>
        <v/>
      </c>
      <c r="B538" s="2" t="n">
        <v>43231.07201388889</v>
      </c>
      <c r="C538" t="n">
        <v>0</v>
      </c>
      <c r="D538" t="n">
        <v>16</v>
      </c>
      <c r="E538" t="s">
        <v>549</v>
      </c>
      <c r="F538" t="s"/>
      <c r="G538" t="s"/>
      <c r="H538" t="s"/>
      <c r="I538" t="s"/>
      <c r="J538" t="n">
        <v>-0.34</v>
      </c>
      <c r="K538" t="n">
        <v>0.167</v>
      </c>
      <c r="L538" t="n">
        <v>0.833</v>
      </c>
      <c r="M538" t="n">
        <v>0</v>
      </c>
    </row>
    <row r="539" spans="1:13">
      <c r="A539" s="1">
        <f>HYPERLINK("http://www.twitter.com/NathanBLawrence/status/994754297148649473", "994754297148649473")</f>
        <v/>
      </c>
      <c r="B539" s="2" t="n">
        <v>43231.07037037037</v>
      </c>
      <c r="C539" t="n">
        <v>0</v>
      </c>
      <c r="D539" t="n">
        <v>71</v>
      </c>
      <c r="E539" t="s">
        <v>550</v>
      </c>
      <c r="F539">
        <f>HYPERLINK("http://pbs.twimg.com/media/Dc4QGIOVAAEr4i5.jpg", "http://pbs.twimg.com/media/Dc4QGIOVAAEr4i5.jpg")</f>
        <v/>
      </c>
      <c r="G539" t="s"/>
      <c r="H539" t="s"/>
      <c r="I539" t="s"/>
      <c r="J539" t="n">
        <v>0</v>
      </c>
      <c r="K539" t="n">
        <v>0</v>
      </c>
      <c r="L539" t="n">
        <v>1</v>
      </c>
      <c r="M539" t="n">
        <v>0</v>
      </c>
    </row>
    <row r="540" spans="1:13">
      <c r="A540" s="1">
        <f>HYPERLINK("http://www.twitter.com/NathanBLawrence/status/994753690476130305", "994753690476130305")</f>
        <v/>
      </c>
      <c r="B540" s="2" t="n">
        <v>43231.06870370371</v>
      </c>
      <c r="C540" t="n">
        <v>0</v>
      </c>
      <c r="D540" t="n">
        <v>42</v>
      </c>
      <c r="E540" t="s">
        <v>551</v>
      </c>
      <c r="F540">
        <f>HYPERLINK("http://pbs.twimg.com/media/Dc4RbFxW4AAd_em.jpg", "http://pbs.twimg.com/media/Dc4RbFxW4AAd_em.jpg")</f>
        <v/>
      </c>
      <c r="G540" t="s"/>
      <c r="H540" t="s"/>
      <c r="I540" t="s"/>
      <c r="J540" t="n">
        <v>0.4019</v>
      </c>
      <c r="K540" t="n">
        <v>0</v>
      </c>
      <c r="L540" t="n">
        <v>0.803</v>
      </c>
      <c r="M540" t="n">
        <v>0.197</v>
      </c>
    </row>
    <row r="541" spans="1:13">
      <c r="A541" s="1">
        <f>HYPERLINK("http://www.twitter.com/NathanBLawrence/status/994751875529486336", "994751875529486336")</f>
        <v/>
      </c>
      <c r="B541" s="2" t="n">
        <v>43231.06369212963</v>
      </c>
      <c r="C541" t="n">
        <v>0</v>
      </c>
      <c r="D541" t="n">
        <v>4039</v>
      </c>
      <c r="E541" t="s">
        <v>552</v>
      </c>
      <c r="F541">
        <f>HYPERLINK("http://pbs.twimg.com/media/Dc38UgWUwAArlBf.jpg", "http://pbs.twimg.com/media/Dc38UgWUwAArlBf.jpg")</f>
        <v/>
      </c>
      <c r="G541" t="s"/>
      <c r="H541" t="s"/>
      <c r="I541" t="s"/>
      <c r="J541" t="n">
        <v>0.4019</v>
      </c>
      <c r="K541" t="n">
        <v>0</v>
      </c>
      <c r="L541" t="n">
        <v>0.876</v>
      </c>
      <c r="M541" t="n">
        <v>0.124</v>
      </c>
    </row>
    <row r="542" spans="1:13">
      <c r="A542" s="1">
        <f>HYPERLINK("http://www.twitter.com/NathanBLawrence/status/994745385120882689", "994745385120882689")</f>
        <v/>
      </c>
      <c r="B542" s="2" t="n">
        <v>43231.04577546296</v>
      </c>
      <c r="C542" t="n">
        <v>0</v>
      </c>
      <c r="D542" t="n">
        <v>215</v>
      </c>
      <c r="E542" t="s">
        <v>553</v>
      </c>
      <c r="F542" t="s"/>
      <c r="G542" t="s"/>
      <c r="H542" t="s"/>
      <c r="I542" t="s"/>
      <c r="J542" t="n">
        <v>0.4404</v>
      </c>
      <c r="K542" t="n">
        <v>0</v>
      </c>
      <c r="L542" t="n">
        <v>0.888</v>
      </c>
      <c r="M542" t="n">
        <v>0.112</v>
      </c>
    </row>
    <row r="543" spans="1:13">
      <c r="A543" s="1">
        <f>HYPERLINK("http://www.twitter.com/NathanBLawrence/status/994745081923035141", "994745081923035141")</f>
        <v/>
      </c>
      <c r="B543" s="2" t="n">
        <v>43231.04494212963</v>
      </c>
      <c r="C543" t="n">
        <v>0</v>
      </c>
      <c r="D543" t="n">
        <v>262</v>
      </c>
      <c r="E543" t="s">
        <v>554</v>
      </c>
      <c r="F543">
        <f>HYPERLINK("https://video.twimg.com/ext_tw_video/994730702297059328/pu/vid/630x360/TRYuw6C4x8rskdLN.mp4?tag=3", "https://video.twimg.com/ext_tw_video/994730702297059328/pu/vid/630x360/TRYuw6C4x8rskdLN.mp4?tag=3")</f>
        <v/>
      </c>
      <c r="G543" t="s"/>
      <c r="H543" t="s"/>
      <c r="I543" t="s"/>
      <c r="J543" t="n">
        <v>0.0634</v>
      </c>
      <c r="K543" t="n">
        <v>0.125</v>
      </c>
      <c r="L543" t="n">
        <v>0.737</v>
      </c>
      <c r="M543" t="n">
        <v>0.138</v>
      </c>
    </row>
    <row r="544" spans="1:13">
      <c r="A544" s="1">
        <f>HYPERLINK("http://www.twitter.com/NathanBLawrence/status/994744705501007872", "994744705501007872")</f>
        <v/>
      </c>
      <c r="B544" s="2" t="n">
        <v>43231.04390046297</v>
      </c>
      <c r="C544" t="n">
        <v>0</v>
      </c>
      <c r="D544" t="n">
        <v>1094</v>
      </c>
      <c r="E544" t="s">
        <v>555</v>
      </c>
      <c r="F544">
        <f>HYPERLINK("https://video.twimg.com/amplify_video/994735374894321666/vid/1280x720/EWql4tNdIREYDSsJ.mp4?tag=2", "https://video.twimg.com/amplify_video/994735374894321666/vid/1280x720/EWql4tNdIREYDSsJ.mp4?tag=2")</f>
        <v/>
      </c>
      <c r="G544" t="s"/>
      <c r="H544" t="s"/>
      <c r="I544" t="s"/>
      <c r="J544" t="n">
        <v>0.7876</v>
      </c>
      <c r="K544" t="n">
        <v>0</v>
      </c>
      <c r="L544" t="n">
        <v>0.732</v>
      </c>
      <c r="M544" t="n">
        <v>0.268</v>
      </c>
    </row>
    <row r="545" spans="1:13">
      <c r="A545" s="1">
        <f>HYPERLINK("http://www.twitter.com/NathanBLawrence/status/994744377477160960", "994744377477160960")</f>
        <v/>
      </c>
      <c r="B545" s="2" t="n">
        <v>43231.04299768519</v>
      </c>
      <c r="C545" t="n">
        <v>0</v>
      </c>
      <c r="D545" t="n">
        <v>17</v>
      </c>
      <c r="E545" t="s">
        <v>556</v>
      </c>
      <c r="F545" t="s"/>
      <c r="G545" t="s"/>
      <c r="H545" t="s"/>
      <c r="I545" t="s"/>
      <c r="J545" t="n">
        <v>0.7184</v>
      </c>
      <c r="K545" t="n">
        <v>0</v>
      </c>
      <c r="L545" t="n">
        <v>0.786</v>
      </c>
      <c r="M545" t="n">
        <v>0.214</v>
      </c>
    </row>
    <row r="546" spans="1:13">
      <c r="A546" s="1">
        <f>HYPERLINK("http://www.twitter.com/NathanBLawrence/status/994744011616325632", "994744011616325632")</f>
        <v/>
      </c>
      <c r="B546" s="2" t="n">
        <v>43231.04199074074</v>
      </c>
      <c r="C546" t="n">
        <v>0</v>
      </c>
      <c r="D546" t="n">
        <v>17931</v>
      </c>
      <c r="E546" t="s">
        <v>557</v>
      </c>
      <c r="F546" t="s"/>
      <c r="G546" t="s"/>
      <c r="H546" t="s"/>
      <c r="I546" t="s"/>
      <c r="J546" t="n">
        <v>0.4199</v>
      </c>
      <c r="K546" t="n">
        <v>0</v>
      </c>
      <c r="L546" t="n">
        <v>0.6820000000000001</v>
      </c>
      <c r="M546" t="n">
        <v>0.318</v>
      </c>
    </row>
    <row r="547" spans="1:13">
      <c r="A547" s="1">
        <f>HYPERLINK("http://www.twitter.com/NathanBLawrence/status/994743629913706497", "994743629913706497")</f>
        <v/>
      </c>
      <c r="B547" s="2" t="n">
        <v>43231.0409375</v>
      </c>
      <c r="C547" t="n">
        <v>0</v>
      </c>
      <c r="D547" t="n">
        <v>1642</v>
      </c>
      <c r="E547" t="s">
        <v>558</v>
      </c>
      <c r="F547">
        <f>HYPERLINK("https://video.twimg.com/ext_tw_video/994694066557235200/pu/vid/1280x720/eS7G6gw4nav-9-gq.mp4?tag=3", "https://video.twimg.com/ext_tw_video/994694066557235200/pu/vid/1280x720/eS7G6gw4nav-9-gq.mp4?tag=3")</f>
        <v/>
      </c>
      <c r="G547" t="s"/>
      <c r="H547" t="s"/>
      <c r="I547" t="s"/>
      <c r="J547" t="n">
        <v>0</v>
      </c>
      <c r="K547" t="n">
        <v>0</v>
      </c>
      <c r="L547" t="n">
        <v>1</v>
      </c>
      <c r="M547" t="n">
        <v>0</v>
      </c>
    </row>
    <row r="548" spans="1:13">
      <c r="A548" s="1">
        <f>HYPERLINK("http://www.twitter.com/NathanBLawrence/status/994741171695116288", "994741171695116288")</f>
        <v/>
      </c>
      <c r="B548" s="2" t="n">
        <v>43231.0341550926</v>
      </c>
      <c r="C548" t="n">
        <v>0</v>
      </c>
      <c r="D548" t="n">
        <v>32</v>
      </c>
      <c r="E548" t="s">
        <v>559</v>
      </c>
      <c r="F548" t="s"/>
      <c r="G548" t="s"/>
      <c r="H548" t="s"/>
      <c r="I548" t="s"/>
      <c r="J548" t="n">
        <v>0</v>
      </c>
      <c r="K548" t="n">
        <v>0</v>
      </c>
      <c r="L548" t="n">
        <v>1</v>
      </c>
      <c r="M548" t="n">
        <v>0</v>
      </c>
    </row>
    <row r="549" spans="1:13">
      <c r="A549" s="1">
        <f>HYPERLINK("http://www.twitter.com/NathanBLawrence/status/994740215813169152", "994740215813169152")</f>
        <v/>
      </c>
      <c r="B549" s="2" t="n">
        <v>43231.0315162037</v>
      </c>
      <c r="C549" t="n">
        <v>0</v>
      </c>
      <c r="D549" t="n">
        <v>186</v>
      </c>
      <c r="E549" t="s">
        <v>560</v>
      </c>
      <c r="F549" t="s"/>
      <c r="G549" t="s"/>
      <c r="H549" t="s"/>
      <c r="I549" t="s"/>
      <c r="J549" t="n">
        <v>0.4215</v>
      </c>
      <c r="K549" t="n">
        <v>0.123</v>
      </c>
      <c r="L549" t="n">
        <v>0.636</v>
      </c>
      <c r="M549" t="n">
        <v>0.242</v>
      </c>
    </row>
    <row r="550" spans="1:13">
      <c r="A550" s="1">
        <f>HYPERLINK("http://www.twitter.com/NathanBLawrence/status/994740113254076417", "994740113254076417")</f>
        <v/>
      </c>
      <c r="B550" s="2" t="n">
        <v>43231.03123842592</v>
      </c>
      <c r="C550" t="n">
        <v>0</v>
      </c>
      <c r="D550" t="n">
        <v>693</v>
      </c>
      <c r="E550" t="s">
        <v>561</v>
      </c>
      <c r="F550" t="s"/>
      <c r="G550" t="s"/>
      <c r="H550" t="s"/>
      <c r="I550" t="s"/>
      <c r="J550" t="n">
        <v>-0.2023</v>
      </c>
      <c r="K550" t="n">
        <v>0.083</v>
      </c>
      <c r="L550" t="n">
        <v>0.917</v>
      </c>
      <c r="M550" t="n">
        <v>0</v>
      </c>
    </row>
    <row r="551" spans="1:13">
      <c r="A551" s="1">
        <f>HYPERLINK("http://www.twitter.com/NathanBLawrence/status/994738992422760448", "994738992422760448")</f>
        <v/>
      </c>
      <c r="B551" s="2" t="n">
        <v>43231.02813657407</v>
      </c>
      <c r="C551" t="n">
        <v>0</v>
      </c>
      <c r="D551" t="n">
        <v>978</v>
      </c>
      <c r="E551" t="s">
        <v>562</v>
      </c>
      <c r="F551">
        <f>HYPERLINK("https://video.twimg.com/ext_tw_video/994722395704430592/pu/vid/1280x720/vNJRAUwEKYRYOwcl.mp4?tag=3", "https://video.twimg.com/ext_tw_video/994722395704430592/pu/vid/1280x720/vNJRAUwEKYRYOwcl.mp4?tag=3")</f>
        <v/>
      </c>
      <c r="G551" t="s"/>
      <c r="H551" t="s"/>
      <c r="I551" t="s"/>
      <c r="J551" t="n">
        <v>0.8481</v>
      </c>
      <c r="K551" t="n">
        <v>0</v>
      </c>
      <c r="L551" t="n">
        <v>0.695</v>
      </c>
      <c r="M551" t="n">
        <v>0.305</v>
      </c>
    </row>
    <row r="552" spans="1:13">
      <c r="A552" s="1">
        <f>HYPERLINK("http://www.twitter.com/NathanBLawrence/status/994738067209703434", "994738067209703434")</f>
        <v/>
      </c>
      <c r="B552" s="2" t="n">
        <v>43231.02559027778</v>
      </c>
      <c r="C552" t="n">
        <v>0</v>
      </c>
      <c r="D552" t="n">
        <v>1121</v>
      </c>
      <c r="E552" t="s">
        <v>563</v>
      </c>
      <c r="F552" t="s"/>
      <c r="G552" t="s"/>
      <c r="H552" t="s"/>
      <c r="I552" t="s"/>
      <c r="J552" t="n">
        <v>0.5399</v>
      </c>
      <c r="K552" t="n">
        <v>0</v>
      </c>
      <c r="L552" t="n">
        <v>0.821</v>
      </c>
      <c r="M552" t="n">
        <v>0.179</v>
      </c>
    </row>
    <row r="553" spans="1:13">
      <c r="A553" s="1">
        <f>HYPERLINK("http://www.twitter.com/NathanBLawrence/status/994621475863883776", "994621475863883776")</f>
        <v/>
      </c>
      <c r="B553" s="2" t="n">
        <v>43230.70385416667</v>
      </c>
      <c r="C553" t="n">
        <v>0</v>
      </c>
      <c r="D553" t="n">
        <v>9</v>
      </c>
      <c r="E553" t="s">
        <v>564</v>
      </c>
      <c r="F553">
        <f>HYPERLINK("http://pbs.twimg.com/media/Dc2XmCHW0AEj22-.jpg", "http://pbs.twimg.com/media/Dc2XmCHW0AEj22-.jpg")</f>
        <v/>
      </c>
      <c r="G553" t="s"/>
      <c r="H553" t="s"/>
      <c r="I553" t="s"/>
      <c r="J553" t="n">
        <v>0.3182</v>
      </c>
      <c r="K553" t="n">
        <v>0</v>
      </c>
      <c r="L553" t="n">
        <v>0.858</v>
      </c>
      <c r="M553" t="n">
        <v>0.142</v>
      </c>
    </row>
    <row r="554" spans="1:13">
      <c r="A554" s="1">
        <f>HYPERLINK("http://www.twitter.com/NathanBLawrence/status/994621033046052864", "994621033046052864")</f>
        <v/>
      </c>
      <c r="B554" s="2" t="n">
        <v>43230.70263888889</v>
      </c>
      <c r="C554" t="n">
        <v>0</v>
      </c>
      <c r="D554" t="n">
        <v>1</v>
      </c>
      <c r="E554" t="s">
        <v>565</v>
      </c>
      <c r="F554" t="s"/>
      <c r="G554" t="s"/>
      <c r="H554" t="s"/>
      <c r="I554" t="s"/>
      <c r="J554" t="n">
        <v>-0.6486</v>
      </c>
      <c r="K554" t="n">
        <v>0.194</v>
      </c>
      <c r="L554" t="n">
        <v>0.806</v>
      </c>
      <c r="M554" t="n">
        <v>0</v>
      </c>
    </row>
    <row r="555" spans="1:13">
      <c r="A555" s="1">
        <f>HYPERLINK("http://www.twitter.com/NathanBLawrence/status/994620930885390341", "994620930885390341")</f>
        <v/>
      </c>
      <c r="B555" s="2" t="n">
        <v>43230.70234953704</v>
      </c>
      <c r="C555" t="n">
        <v>0</v>
      </c>
      <c r="D555" t="n">
        <v>4040</v>
      </c>
      <c r="E555" t="s">
        <v>566</v>
      </c>
      <c r="F555">
        <f>HYPERLINK("http://pbs.twimg.com/media/Dc2L0n-VMAA17Gr.jpg", "http://pbs.twimg.com/media/Dc2L0n-VMAA17Gr.jpg")</f>
        <v/>
      </c>
      <c r="G555" t="s"/>
      <c r="H555" t="s"/>
      <c r="I555" t="s"/>
      <c r="J555" t="n">
        <v>0.6369</v>
      </c>
      <c r="K555" t="n">
        <v>0</v>
      </c>
      <c r="L555" t="n">
        <v>0.656</v>
      </c>
      <c r="M555" t="n">
        <v>0.344</v>
      </c>
    </row>
    <row r="556" spans="1:13">
      <c r="A556" s="1">
        <f>HYPERLINK("http://www.twitter.com/NathanBLawrence/status/994620642480807942", "994620642480807942")</f>
        <v/>
      </c>
      <c r="B556" s="2" t="n">
        <v>43230.70155092593</v>
      </c>
      <c r="C556" t="n">
        <v>0</v>
      </c>
      <c r="D556" t="n">
        <v>251</v>
      </c>
      <c r="E556" t="s">
        <v>567</v>
      </c>
      <c r="F556">
        <f>HYPERLINK("http://pbs.twimg.com/media/Dc2WTN5X4AUIdsq.jpg", "http://pbs.twimg.com/media/Dc2WTN5X4AUIdsq.jpg")</f>
        <v/>
      </c>
      <c r="G556" t="s"/>
      <c r="H556" t="s"/>
      <c r="I556" t="s"/>
      <c r="J556" t="n">
        <v>0.5106000000000001</v>
      </c>
      <c r="K556" t="n">
        <v>0</v>
      </c>
      <c r="L556" t="n">
        <v>0.875</v>
      </c>
      <c r="M556" t="n">
        <v>0.125</v>
      </c>
    </row>
    <row r="557" spans="1:13">
      <c r="A557" s="1">
        <f>HYPERLINK("http://www.twitter.com/NathanBLawrence/status/994619986302963712", "994619986302963712")</f>
        <v/>
      </c>
      <c r="B557" s="2" t="n">
        <v>43230.69974537037</v>
      </c>
      <c r="C557" t="n">
        <v>0</v>
      </c>
      <c r="D557" t="n">
        <v>6</v>
      </c>
      <c r="E557" t="s">
        <v>568</v>
      </c>
      <c r="F557">
        <f>HYPERLINK("http://pbs.twimg.com/media/Dc1xTXgVAAAfE37.jpg", "http://pbs.twimg.com/media/Dc1xTXgVAAAfE37.jpg")</f>
        <v/>
      </c>
      <c r="G557" t="s"/>
      <c r="H557" t="s"/>
      <c r="I557" t="s"/>
      <c r="J557" t="n">
        <v>0</v>
      </c>
      <c r="K557" t="n">
        <v>0</v>
      </c>
      <c r="L557" t="n">
        <v>1</v>
      </c>
      <c r="M557" t="n">
        <v>0</v>
      </c>
    </row>
    <row r="558" spans="1:13">
      <c r="A558" s="1">
        <f>HYPERLINK("http://www.twitter.com/NathanBLawrence/status/994619867033755648", "994619867033755648")</f>
        <v/>
      </c>
      <c r="B558" s="2" t="n">
        <v>43230.6994212963</v>
      </c>
      <c r="C558" t="n">
        <v>0</v>
      </c>
      <c r="D558" t="n">
        <v>4</v>
      </c>
      <c r="E558" t="s">
        <v>569</v>
      </c>
      <c r="F558" t="s"/>
      <c r="G558" t="s"/>
      <c r="H558" t="s"/>
      <c r="I558" t="s"/>
      <c r="J558" t="n">
        <v>0.3612</v>
      </c>
      <c r="K558" t="n">
        <v>0.073</v>
      </c>
      <c r="L558" t="n">
        <v>0.777</v>
      </c>
      <c r="M558" t="n">
        <v>0.15</v>
      </c>
    </row>
    <row r="559" spans="1:13">
      <c r="A559" s="1">
        <f>HYPERLINK("http://www.twitter.com/NathanBLawrence/status/994619806572740609", "994619806572740609")</f>
        <v/>
      </c>
      <c r="B559" s="2" t="n">
        <v>43230.69924768519</v>
      </c>
      <c r="C559" t="n">
        <v>0</v>
      </c>
      <c r="D559" t="n">
        <v>197</v>
      </c>
      <c r="E559" t="s">
        <v>570</v>
      </c>
      <c r="F559" t="s"/>
      <c r="G559" t="s"/>
      <c r="H559" t="s"/>
      <c r="I559" t="s"/>
      <c r="J559" t="n">
        <v>-0.5574</v>
      </c>
      <c r="K559" t="n">
        <v>0.167</v>
      </c>
      <c r="L559" t="n">
        <v>0.833</v>
      </c>
      <c r="M559" t="n">
        <v>0</v>
      </c>
    </row>
    <row r="560" spans="1:13">
      <c r="A560" s="1">
        <f>HYPERLINK("http://www.twitter.com/NathanBLawrence/status/994619282549067777", "994619282549067777")</f>
        <v/>
      </c>
      <c r="B560" s="2" t="n">
        <v>43230.69780092593</v>
      </c>
      <c r="C560" t="n">
        <v>0</v>
      </c>
      <c r="D560" t="n">
        <v>403</v>
      </c>
      <c r="E560" t="s">
        <v>571</v>
      </c>
      <c r="F560">
        <f>HYPERLINK("http://pbs.twimg.com/media/Dc1eNpwXUAIaTOQ.jpg", "http://pbs.twimg.com/media/Dc1eNpwXUAIaTOQ.jpg")</f>
        <v/>
      </c>
      <c r="G560" t="s"/>
      <c r="H560" t="s"/>
      <c r="I560" t="s"/>
      <c r="J560" t="n">
        <v>0</v>
      </c>
      <c r="K560" t="n">
        <v>0</v>
      </c>
      <c r="L560" t="n">
        <v>1</v>
      </c>
      <c r="M560" t="n">
        <v>0</v>
      </c>
    </row>
    <row r="561" spans="1:13">
      <c r="A561" s="1">
        <f>HYPERLINK("http://www.twitter.com/NathanBLawrence/status/994618222380044290", "994618222380044290")</f>
        <v/>
      </c>
      <c r="B561" s="2" t="n">
        <v>43230.69487268518</v>
      </c>
      <c r="C561" t="n">
        <v>0</v>
      </c>
      <c r="D561" t="n">
        <v>1045</v>
      </c>
      <c r="E561" t="s">
        <v>572</v>
      </c>
      <c r="F561" t="s"/>
      <c r="G561" t="s"/>
      <c r="H561" t="s"/>
      <c r="I561" t="s"/>
      <c r="J561" t="n">
        <v>-0.7597</v>
      </c>
      <c r="K561" t="n">
        <v>0.29</v>
      </c>
      <c r="L561" t="n">
        <v>0.71</v>
      </c>
      <c r="M561" t="n">
        <v>0</v>
      </c>
    </row>
    <row r="562" spans="1:13">
      <c r="A562" s="1">
        <f>HYPERLINK("http://www.twitter.com/NathanBLawrence/status/994617336970739714", "994617336970739714")</f>
        <v/>
      </c>
      <c r="B562" s="2" t="n">
        <v>43230.69243055556</v>
      </c>
      <c r="C562" t="n">
        <v>0</v>
      </c>
      <c r="D562" t="n">
        <v>186</v>
      </c>
      <c r="E562" t="s">
        <v>573</v>
      </c>
      <c r="F562" t="s"/>
      <c r="G562" t="s"/>
      <c r="H562" t="s"/>
      <c r="I562" t="s"/>
      <c r="J562" t="n">
        <v>-0.4019</v>
      </c>
      <c r="K562" t="n">
        <v>0.105</v>
      </c>
      <c r="L562" t="n">
        <v>0.895</v>
      </c>
      <c r="M562" t="n">
        <v>0</v>
      </c>
    </row>
    <row r="563" spans="1:13">
      <c r="A563" s="1">
        <f>HYPERLINK("http://www.twitter.com/NathanBLawrence/status/994617199699660801", "994617199699660801")</f>
        <v/>
      </c>
      <c r="B563" s="2" t="n">
        <v>43230.69206018518</v>
      </c>
      <c r="C563" t="n">
        <v>0</v>
      </c>
      <c r="D563" t="n">
        <v>11</v>
      </c>
      <c r="E563" t="s">
        <v>574</v>
      </c>
      <c r="F563" t="s"/>
      <c r="G563" t="s"/>
      <c r="H563" t="s"/>
      <c r="I563" t="s"/>
      <c r="J563" t="n">
        <v>0</v>
      </c>
      <c r="K563" t="n">
        <v>0</v>
      </c>
      <c r="L563" t="n">
        <v>1</v>
      </c>
      <c r="M563" t="n">
        <v>0</v>
      </c>
    </row>
    <row r="564" spans="1:13">
      <c r="A564" s="1">
        <f>HYPERLINK("http://www.twitter.com/NathanBLawrence/status/994617147304357888", "994617147304357888")</f>
        <v/>
      </c>
      <c r="B564" s="2" t="n">
        <v>43230.69190972222</v>
      </c>
      <c r="C564" t="n">
        <v>0</v>
      </c>
      <c r="D564" t="n">
        <v>704</v>
      </c>
      <c r="E564" t="s">
        <v>575</v>
      </c>
      <c r="F564" t="s"/>
      <c r="G564" t="s"/>
      <c r="H564" t="s"/>
      <c r="I564" t="s"/>
      <c r="J564" t="n">
        <v>0</v>
      </c>
      <c r="K564" t="n">
        <v>0</v>
      </c>
      <c r="L564" t="n">
        <v>1</v>
      </c>
      <c r="M564" t="n">
        <v>0</v>
      </c>
    </row>
    <row r="565" spans="1:13">
      <c r="A565" s="1">
        <f>HYPERLINK("http://www.twitter.com/NathanBLawrence/status/994616799697211392", "994616799697211392")</f>
        <v/>
      </c>
      <c r="B565" s="2" t="n">
        <v>43230.69094907407</v>
      </c>
      <c r="C565" t="n">
        <v>0</v>
      </c>
      <c r="D565" t="n">
        <v>1</v>
      </c>
      <c r="E565" t="s">
        <v>576</v>
      </c>
      <c r="F565" t="s"/>
      <c r="G565" t="s"/>
      <c r="H565" t="s"/>
      <c r="I565" t="s"/>
      <c r="J565" t="n">
        <v>0</v>
      </c>
      <c r="K565" t="n">
        <v>0</v>
      </c>
      <c r="L565" t="n">
        <v>1</v>
      </c>
      <c r="M565" t="n">
        <v>0</v>
      </c>
    </row>
    <row r="566" spans="1:13">
      <c r="A566" s="1">
        <f>HYPERLINK("http://www.twitter.com/NathanBLawrence/status/994616675420049410", "994616675420049410")</f>
        <v/>
      </c>
      <c r="B566" s="2" t="n">
        <v>43230.69061342593</v>
      </c>
      <c r="C566" t="n">
        <v>0</v>
      </c>
      <c r="D566" t="n">
        <v>8</v>
      </c>
      <c r="E566" t="s">
        <v>577</v>
      </c>
      <c r="F566">
        <f>HYPERLINK("http://pbs.twimg.com/media/Dc2VIwLV0AA0xlG.jpg", "http://pbs.twimg.com/media/Dc2VIwLV0AA0xlG.jpg")</f>
        <v/>
      </c>
      <c r="G566" t="s"/>
      <c r="H566" t="s"/>
      <c r="I566" t="s"/>
      <c r="J566" t="n">
        <v>0.6124000000000001</v>
      </c>
      <c r="K566" t="n">
        <v>0</v>
      </c>
      <c r="L566" t="n">
        <v>0.762</v>
      </c>
      <c r="M566" t="n">
        <v>0.238</v>
      </c>
    </row>
    <row r="567" spans="1:13">
      <c r="A567" s="1">
        <f>HYPERLINK("http://www.twitter.com/NathanBLawrence/status/994616629924368385", "994616629924368385")</f>
        <v/>
      </c>
      <c r="B567" s="2" t="n">
        <v>43230.69048611111</v>
      </c>
      <c r="C567" t="n">
        <v>0</v>
      </c>
      <c r="D567" t="n">
        <v>7</v>
      </c>
      <c r="E567" t="s">
        <v>578</v>
      </c>
      <c r="F567">
        <f>HYPERLINK("http://pbs.twimg.com/media/Dc1x78DU8AAD6_n.jpg", "http://pbs.twimg.com/media/Dc1x78DU8AAD6_n.jpg")</f>
        <v/>
      </c>
      <c r="G567" t="s"/>
      <c r="H567" t="s"/>
      <c r="I567" t="s"/>
      <c r="J567" t="n">
        <v>0</v>
      </c>
      <c r="K567" t="n">
        <v>0</v>
      </c>
      <c r="L567" t="n">
        <v>1</v>
      </c>
      <c r="M567" t="n">
        <v>0</v>
      </c>
    </row>
    <row r="568" spans="1:13">
      <c r="A568" s="1">
        <f>HYPERLINK("http://www.twitter.com/NathanBLawrence/status/994615713569628160", "994615713569628160")</f>
        <v/>
      </c>
      <c r="B568" s="2" t="n">
        <v>43230.68795138889</v>
      </c>
      <c r="C568" t="n">
        <v>0</v>
      </c>
      <c r="D568" t="n">
        <v>2</v>
      </c>
      <c r="E568" t="s">
        <v>579</v>
      </c>
      <c r="F568" t="s"/>
      <c r="G568" t="s"/>
      <c r="H568" t="s"/>
      <c r="I568" t="s"/>
      <c r="J568" t="n">
        <v>0</v>
      </c>
      <c r="K568" t="n">
        <v>0</v>
      </c>
      <c r="L568" t="n">
        <v>1</v>
      </c>
      <c r="M568" t="n">
        <v>0</v>
      </c>
    </row>
    <row r="569" spans="1:13">
      <c r="A569" s="1">
        <f>HYPERLINK("http://www.twitter.com/NathanBLawrence/status/994615294617378816", "994615294617378816")</f>
        <v/>
      </c>
      <c r="B569" s="2" t="n">
        <v>43230.68679398148</v>
      </c>
      <c r="C569" t="n">
        <v>0</v>
      </c>
      <c r="D569" t="n">
        <v>978</v>
      </c>
      <c r="E569" t="s">
        <v>580</v>
      </c>
      <c r="F569" t="s"/>
      <c r="G569" t="s"/>
      <c r="H569" t="s"/>
      <c r="I569" t="s"/>
      <c r="J569" t="n">
        <v>-0.7262999999999999</v>
      </c>
      <c r="K569" t="n">
        <v>0.264</v>
      </c>
      <c r="L569" t="n">
        <v>0.736</v>
      </c>
      <c r="M569" t="n">
        <v>0</v>
      </c>
    </row>
    <row r="570" spans="1:13">
      <c r="A570" s="1">
        <f>HYPERLINK("http://www.twitter.com/NathanBLawrence/status/994614939707994112", "994614939707994112")</f>
        <v/>
      </c>
      <c r="B570" s="2" t="n">
        <v>43230.68582175926</v>
      </c>
      <c r="C570" t="n">
        <v>0</v>
      </c>
      <c r="D570" t="n">
        <v>13839</v>
      </c>
      <c r="E570" t="s">
        <v>581</v>
      </c>
      <c r="F570" t="s"/>
      <c r="G570" t="s"/>
      <c r="H570" t="s"/>
      <c r="I570" t="s"/>
      <c r="J570" t="n">
        <v>-0.875</v>
      </c>
      <c r="K570" t="n">
        <v>0.414</v>
      </c>
      <c r="L570" t="n">
        <v>0.514</v>
      </c>
      <c r="M570" t="n">
        <v>0.07199999999999999</v>
      </c>
    </row>
    <row r="571" spans="1:13">
      <c r="A571" s="1">
        <f>HYPERLINK("http://www.twitter.com/NathanBLawrence/status/994614854588813312", "994614854588813312")</f>
        <v/>
      </c>
      <c r="B571" s="2" t="n">
        <v>43230.68559027778</v>
      </c>
      <c r="C571" t="n">
        <v>0</v>
      </c>
      <c r="D571" t="n">
        <v>8</v>
      </c>
      <c r="E571" t="s">
        <v>582</v>
      </c>
      <c r="F571">
        <f>HYPERLINK("http://pbs.twimg.com/media/Dc2IFIXXcAA6ge8.jpg", "http://pbs.twimg.com/media/Dc2IFIXXcAA6ge8.jpg")</f>
        <v/>
      </c>
      <c r="G571" t="s"/>
      <c r="H571" t="s"/>
      <c r="I571" t="s"/>
      <c r="J571" t="n">
        <v>0.1027</v>
      </c>
      <c r="K571" t="n">
        <v>0.122</v>
      </c>
      <c r="L571" t="n">
        <v>0.732</v>
      </c>
      <c r="M571" t="n">
        <v>0.146</v>
      </c>
    </row>
    <row r="572" spans="1:13">
      <c r="A572" s="1">
        <f>HYPERLINK("http://www.twitter.com/NathanBLawrence/status/994614208678580224", "994614208678580224")</f>
        <v/>
      </c>
      <c r="B572" s="2" t="n">
        <v>43230.68380787037</v>
      </c>
      <c r="C572" t="n">
        <v>0</v>
      </c>
      <c r="D572" t="n">
        <v>21888</v>
      </c>
      <c r="E572" t="s">
        <v>583</v>
      </c>
      <c r="F572" t="s"/>
      <c r="G572" t="s"/>
      <c r="H572" t="s"/>
      <c r="I572" t="s"/>
      <c r="J572" t="n">
        <v>0</v>
      </c>
      <c r="K572" t="n">
        <v>0</v>
      </c>
      <c r="L572" t="n">
        <v>1</v>
      </c>
      <c r="M572" t="n">
        <v>0</v>
      </c>
    </row>
    <row r="573" spans="1:13">
      <c r="A573" s="1">
        <f>HYPERLINK("http://www.twitter.com/NathanBLawrence/status/994614047764045824", "994614047764045824")</f>
        <v/>
      </c>
      <c r="B573" s="2" t="n">
        <v>43230.68335648148</v>
      </c>
      <c r="C573" t="n">
        <v>0</v>
      </c>
      <c r="D573" t="n">
        <v>11</v>
      </c>
      <c r="E573" t="s">
        <v>584</v>
      </c>
      <c r="F573" t="s"/>
      <c r="G573" t="s"/>
      <c r="H573" t="s"/>
      <c r="I573" t="s"/>
      <c r="J573" t="n">
        <v>-0.2263</v>
      </c>
      <c r="K573" t="n">
        <v>0.147</v>
      </c>
      <c r="L573" t="n">
        <v>0.853</v>
      </c>
      <c r="M573" t="n">
        <v>0</v>
      </c>
    </row>
    <row r="574" spans="1:13">
      <c r="A574" s="1">
        <f>HYPERLINK("http://www.twitter.com/NathanBLawrence/status/994613671962841089", "994613671962841089")</f>
        <v/>
      </c>
      <c r="B574" s="2" t="n">
        <v>43230.68232638889</v>
      </c>
      <c r="C574" t="n">
        <v>0</v>
      </c>
      <c r="D574" t="n">
        <v>852</v>
      </c>
      <c r="E574" t="s">
        <v>585</v>
      </c>
      <c r="F574">
        <f>HYPERLINK("https://video.twimg.com/amplify_video/994547962226335746/vid/1280x720/JG5G9IXFLoVkXRDt.mp4?tag=2", "https://video.twimg.com/amplify_video/994547962226335746/vid/1280x720/JG5G9IXFLoVkXRDt.mp4?tag=2")</f>
        <v/>
      </c>
      <c r="G574" t="s"/>
      <c r="H574" t="s"/>
      <c r="I574" t="s"/>
      <c r="J574" t="n">
        <v>0.6114000000000001</v>
      </c>
      <c r="K574" t="n">
        <v>0</v>
      </c>
      <c r="L574" t="n">
        <v>0.773</v>
      </c>
      <c r="M574" t="n">
        <v>0.227</v>
      </c>
    </row>
    <row r="575" spans="1:13">
      <c r="A575" s="1">
        <f>HYPERLINK("http://www.twitter.com/NathanBLawrence/status/994613555382116357", "994613555382116357")</f>
        <v/>
      </c>
      <c r="B575" s="2" t="n">
        <v>43230.68200231482</v>
      </c>
      <c r="C575" t="n">
        <v>0</v>
      </c>
      <c r="D575" t="n">
        <v>507</v>
      </c>
      <c r="E575" t="s">
        <v>586</v>
      </c>
      <c r="F575" t="s"/>
      <c r="G575" t="s"/>
      <c r="H575" t="s"/>
      <c r="I575" t="s"/>
      <c r="J575" t="n">
        <v>0</v>
      </c>
      <c r="K575" t="n">
        <v>0</v>
      </c>
      <c r="L575" t="n">
        <v>1</v>
      </c>
      <c r="M575" t="n">
        <v>0</v>
      </c>
    </row>
    <row r="576" spans="1:13">
      <c r="A576" s="1">
        <f>HYPERLINK("http://www.twitter.com/NathanBLawrence/status/994613263542505472", "994613263542505472")</f>
        <v/>
      </c>
      <c r="B576" s="2" t="n">
        <v>43230.68119212963</v>
      </c>
      <c r="C576" t="n">
        <v>0</v>
      </c>
      <c r="D576" t="n">
        <v>64</v>
      </c>
      <c r="E576" t="s">
        <v>587</v>
      </c>
      <c r="F576" t="s"/>
      <c r="G576" t="s"/>
      <c r="H576" t="s"/>
      <c r="I576" t="s"/>
      <c r="J576" t="n">
        <v>-0.1027</v>
      </c>
      <c r="K576" t="n">
        <v>0.147</v>
      </c>
      <c r="L576" t="n">
        <v>0.755</v>
      </c>
      <c r="M576" t="n">
        <v>0.097</v>
      </c>
    </row>
    <row r="577" spans="1:13">
      <c r="A577" s="1">
        <f>HYPERLINK("http://www.twitter.com/NathanBLawrence/status/994613032562110464", "994613032562110464")</f>
        <v/>
      </c>
      <c r="B577" s="2" t="n">
        <v>43230.68055555555</v>
      </c>
      <c r="C577" t="n">
        <v>0</v>
      </c>
      <c r="D577" t="n">
        <v>357</v>
      </c>
      <c r="E577" t="s">
        <v>588</v>
      </c>
      <c r="F577" t="s"/>
      <c r="G577" t="s"/>
      <c r="H577" t="s"/>
      <c r="I577" t="s"/>
      <c r="J577" t="n">
        <v>0.8478</v>
      </c>
      <c r="K577" t="n">
        <v>0</v>
      </c>
      <c r="L577" t="n">
        <v>0.696</v>
      </c>
      <c r="M577" t="n">
        <v>0.304</v>
      </c>
    </row>
    <row r="578" spans="1:13">
      <c r="A578" s="1">
        <f>HYPERLINK("http://www.twitter.com/NathanBLawrence/status/994612946461429760", "994612946461429760")</f>
        <v/>
      </c>
      <c r="B578" s="2" t="n">
        <v>43230.68032407408</v>
      </c>
      <c r="C578" t="n">
        <v>0</v>
      </c>
      <c r="D578" t="n">
        <v>3</v>
      </c>
      <c r="E578" t="s">
        <v>589</v>
      </c>
      <c r="F578" t="s"/>
      <c r="G578" t="s"/>
      <c r="H578" t="s"/>
      <c r="I578" t="s"/>
      <c r="J578" t="n">
        <v>0</v>
      </c>
      <c r="K578" t="n">
        <v>0</v>
      </c>
      <c r="L578" t="n">
        <v>1</v>
      </c>
      <c r="M578" t="n">
        <v>0</v>
      </c>
    </row>
    <row r="579" spans="1:13">
      <c r="A579" s="1">
        <f>HYPERLINK("http://www.twitter.com/NathanBLawrence/status/994612731872464898", "994612731872464898")</f>
        <v/>
      </c>
      <c r="B579" s="2" t="n">
        <v>43230.67972222222</v>
      </c>
      <c r="C579" t="n">
        <v>0</v>
      </c>
      <c r="D579" t="n">
        <v>3615</v>
      </c>
      <c r="E579" t="s">
        <v>590</v>
      </c>
      <c r="F579" t="s"/>
      <c r="G579" t="s"/>
      <c r="H579" t="s"/>
      <c r="I579" t="s"/>
      <c r="J579" t="n">
        <v>-0.6249</v>
      </c>
      <c r="K579" t="n">
        <v>0.194</v>
      </c>
      <c r="L579" t="n">
        <v>0.806</v>
      </c>
      <c r="M579" t="n">
        <v>0</v>
      </c>
    </row>
    <row r="580" spans="1:13">
      <c r="A580" s="1">
        <f>HYPERLINK("http://www.twitter.com/NathanBLawrence/status/994612604135002112", "994612604135002112")</f>
        <v/>
      </c>
      <c r="B580" s="2" t="n">
        <v>43230.679375</v>
      </c>
      <c r="C580" t="n">
        <v>0</v>
      </c>
      <c r="D580" t="n">
        <v>1482</v>
      </c>
      <c r="E580" t="s">
        <v>591</v>
      </c>
      <c r="F580" t="s"/>
      <c r="G580" t="s"/>
      <c r="H580" t="s"/>
      <c r="I580" t="s"/>
      <c r="J580" t="n">
        <v>-0.2263</v>
      </c>
      <c r="K580" t="n">
        <v>0.101</v>
      </c>
      <c r="L580" t="n">
        <v>0.899</v>
      </c>
      <c r="M580" t="n">
        <v>0</v>
      </c>
    </row>
    <row r="581" spans="1:13">
      <c r="A581" s="1">
        <f>HYPERLINK("http://www.twitter.com/NathanBLawrence/status/994601297038004224", "994601297038004224")</f>
        <v/>
      </c>
      <c r="B581" s="2" t="n">
        <v>43230.6481712963</v>
      </c>
      <c r="C581" t="n">
        <v>0</v>
      </c>
      <c r="D581" t="n">
        <v>31</v>
      </c>
      <c r="E581" t="s">
        <v>592</v>
      </c>
      <c r="F581" t="s"/>
      <c r="G581" t="s"/>
      <c r="H581" t="s"/>
      <c r="I581" t="s"/>
      <c r="J581" t="n">
        <v>0.9285</v>
      </c>
      <c r="K581" t="n">
        <v>0</v>
      </c>
      <c r="L581" t="n">
        <v>0.45</v>
      </c>
      <c r="M581" t="n">
        <v>0.55</v>
      </c>
    </row>
    <row r="582" spans="1:13">
      <c r="A582" s="1">
        <f>HYPERLINK("http://www.twitter.com/NathanBLawrence/status/994601219015499776", "994601219015499776")</f>
        <v/>
      </c>
      <c r="B582" s="2" t="n">
        <v>43230.64796296296</v>
      </c>
      <c r="C582" t="n">
        <v>0</v>
      </c>
      <c r="D582" t="n">
        <v>64</v>
      </c>
      <c r="E582" t="s">
        <v>593</v>
      </c>
      <c r="F582">
        <f>HYPERLINK("http://pbs.twimg.com/media/DcxVhHCXcAMn9I2.jpg", "http://pbs.twimg.com/media/DcxVhHCXcAMn9I2.jpg")</f>
        <v/>
      </c>
      <c r="G582" t="s"/>
      <c r="H582" t="s"/>
      <c r="I582" t="s"/>
      <c r="J582" t="n">
        <v>-0.296</v>
      </c>
      <c r="K582" t="n">
        <v>0.099</v>
      </c>
      <c r="L582" t="n">
        <v>0.901</v>
      </c>
      <c r="M582" t="n">
        <v>0</v>
      </c>
    </row>
    <row r="583" spans="1:13">
      <c r="A583" s="1">
        <f>HYPERLINK("http://www.twitter.com/NathanBLawrence/status/994600398240526336", "994600398240526336")</f>
        <v/>
      </c>
      <c r="B583" s="2" t="n">
        <v>43230.64569444444</v>
      </c>
      <c r="C583" t="n">
        <v>0</v>
      </c>
      <c r="D583" t="n">
        <v>7557</v>
      </c>
      <c r="E583" t="s">
        <v>594</v>
      </c>
      <c r="F583">
        <f>HYPERLINK("http://pbs.twimg.com/media/DQaSunZVQAAgUJ5.jpg", "http://pbs.twimg.com/media/DQaSunZVQAAgUJ5.jpg")</f>
        <v/>
      </c>
      <c r="G583" t="s"/>
      <c r="H583" t="s"/>
      <c r="I583" t="s"/>
      <c r="J583" t="n">
        <v>0.4199</v>
      </c>
      <c r="K583" t="n">
        <v>0</v>
      </c>
      <c r="L583" t="n">
        <v>0.715</v>
      </c>
      <c r="M583" t="n">
        <v>0.285</v>
      </c>
    </row>
    <row r="584" spans="1:13">
      <c r="A584" s="1">
        <f>HYPERLINK("http://www.twitter.com/NathanBLawrence/status/994599613805064192", "994599613805064192")</f>
        <v/>
      </c>
      <c r="B584" s="2" t="n">
        <v>43230.6435300926</v>
      </c>
      <c r="C584" t="n">
        <v>0</v>
      </c>
      <c r="D584" t="n">
        <v>110</v>
      </c>
      <c r="E584" t="s">
        <v>595</v>
      </c>
      <c r="F584" t="s"/>
      <c r="G584" t="s"/>
      <c r="H584" t="s"/>
      <c r="I584" t="s"/>
      <c r="J584" t="n">
        <v>0.7506</v>
      </c>
      <c r="K584" t="n">
        <v>0</v>
      </c>
      <c r="L584" t="n">
        <v>0.738</v>
      </c>
      <c r="M584" t="n">
        <v>0.262</v>
      </c>
    </row>
    <row r="585" spans="1:13">
      <c r="A585" s="1">
        <f>HYPERLINK("http://www.twitter.com/NathanBLawrence/status/994599373895098369", "994599373895098369")</f>
        <v/>
      </c>
      <c r="B585" s="2" t="n">
        <v>43230.64287037037</v>
      </c>
      <c r="C585" t="n">
        <v>0</v>
      </c>
      <c r="D585" t="n">
        <v>3</v>
      </c>
      <c r="E585" t="s">
        <v>596</v>
      </c>
      <c r="F585">
        <f>HYPERLINK("http://pbs.twimg.com/media/Dc2Bjd4XkAAYbzf.jpg", "http://pbs.twimg.com/media/Dc2Bjd4XkAAYbzf.jpg")</f>
        <v/>
      </c>
      <c r="G585" t="s"/>
      <c r="H585" t="s"/>
      <c r="I585" t="s"/>
      <c r="J585" t="n">
        <v>0</v>
      </c>
      <c r="K585" t="n">
        <v>0</v>
      </c>
      <c r="L585" t="n">
        <v>1</v>
      </c>
      <c r="M585" t="n">
        <v>0</v>
      </c>
    </row>
    <row r="586" spans="1:13">
      <c r="A586" s="1">
        <f>HYPERLINK("http://www.twitter.com/NathanBLawrence/status/994599337572421634", "994599337572421634")</f>
        <v/>
      </c>
      <c r="B586" s="2" t="n">
        <v>43230.6427662037</v>
      </c>
      <c r="C586" t="n">
        <v>0</v>
      </c>
      <c r="D586" t="n">
        <v>1090</v>
      </c>
      <c r="E586" t="s">
        <v>597</v>
      </c>
      <c r="F586" t="s"/>
      <c r="G586" t="s"/>
      <c r="H586" t="s"/>
      <c r="I586" t="s"/>
      <c r="J586" t="n">
        <v>-0.4767</v>
      </c>
      <c r="K586" t="n">
        <v>0.179</v>
      </c>
      <c r="L586" t="n">
        <v>0.746</v>
      </c>
      <c r="M586" t="n">
        <v>0.075</v>
      </c>
    </row>
    <row r="587" spans="1:13">
      <c r="A587" s="1">
        <f>HYPERLINK("http://www.twitter.com/NathanBLawrence/status/994598959137124353", "994598959137124353")</f>
        <v/>
      </c>
      <c r="B587" s="2" t="n">
        <v>43230.64172453704</v>
      </c>
      <c r="C587" t="n">
        <v>0</v>
      </c>
      <c r="D587" t="n">
        <v>1077</v>
      </c>
      <c r="E587" t="s">
        <v>598</v>
      </c>
      <c r="F587" t="s"/>
      <c r="G587" t="s"/>
      <c r="H587" t="s"/>
      <c r="I587" t="s"/>
      <c r="J587" t="n">
        <v>0</v>
      </c>
      <c r="K587" t="n">
        <v>0</v>
      </c>
      <c r="L587" t="n">
        <v>1</v>
      </c>
      <c r="M587" t="n">
        <v>0</v>
      </c>
    </row>
    <row r="588" spans="1:13">
      <c r="A588" s="1">
        <f>HYPERLINK("http://www.twitter.com/NathanBLawrence/status/994598807349448705", "994598807349448705")</f>
        <v/>
      </c>
      <c r="B588" s="2" t="n">
        <v>43230.64130787037</v>
      </c>
      <c r="C588" t="n">
        <v>0</v>
      </c>
      <c r="D588" t="n">
        <v>5</v>
      </c>
      <c r="E588" t="s">
        <v>599</v>
      </c>
      <c r="F588" t="s"/>
      <c r="G588" t="s"/>
      <c r="H588" t="s"/>
      <c r="I588" t="s"/>
      <c r="J588" t="n">
        <v>0</v>
      </c>
      <c r="K588" t="n">
        <v>0</v>
      </c>
      <c r="L588" t="n">
        <v>1</v>
      </c>
      <c r="M588" t="n">
        <v>0</v>
      </c>
    </row>
    <row r="589" spans="1:13">
      <c r="A589" s="1">
        <f>HYPERLINK("http://www.twitter.com/NathanBLawrence/status/994597627290406913", "994597627290406913")</f>
        <v/>
      </c>
      <c r="B589" s="2" t="n">
        <v>43230.63804398148</v>
      </c>
      <c r="C589" t="n">
        <v>0</v>
      </c>
      <c r="D589" t="n">
        <v>43</v>
      </c>
      <c r="E589" t="s">
        <v>600</v>
      </c>
      <c r="F589">
        <f>HYPERLINK("http://pbs.twimg.com/media/Dc2EZ8-UwAU0k6r.jpg", "http://pbs.twimg.com/media/Dc2EZ8-UwAU0k6r.jpg")</f>
        <v/>
      </c>
      <c r="G589" t="s"/>
      <c r="H589" t="s"/>
      <c r="I589" t="s"/>
      <c r="J589" t="n">
        <v>0.3818</v>
      </c>
      <c r="K589" t="n">
        <v>0</v>
      </c>
      <c r="L589" t="n">
        <v>0.833</v>
      </c>
      <c r="M589" t="n">
        <v>0.167</v>
      </c>
    </row>
    <row r="590" spans="1:13">
      <c r="A590" s="1">
        <f>HYPERLINK("http://www.twitter.com/NathanBLawrence/status/994597461548249088", "994597461548249088")</f>
        <v/>
      </c>
      <c r="B590" s="2" t="n">
        <v>43230.63759259259</v>
      </c>
      <c r="C590" t="n">
        <v>0</v>
      </c>
      <c r="D590" t="n">
        <v>70</v>
      </c>
      <c r="E590" t="s">
        <v>601</v>
      </c>
      <c r="F590" t="s"/>
      <c r="G590" t="s"/>
      <c r="H590" t="s"/>
      <c r="I590" t="s"/>
      <c r="J590" t="n">
        <v>0.3612</v>
      </c>
      <c r="K590" t="n">
        <v>0</v>
      </c>
      <c r="L590" t="n">
        <v>0.902</v>
      </c>
      <c r="M590" t="n">
        <v>0.098</v>
      </c>
    </row>
    <row r="591" spans="1:13">
      <c r="A591" s="1">
        <f>HYPERLINK("http://www.twitter.com/NathanBLawrence/status/994597284242493440", "994597284242493440")</f>
        <v/>
      </c>
      <c r="B591" s="2" t="n">
        <v>43230.6370949074</v>
      </c>
      <c r="C591" t="n">
        <v>0</v>
      </c>
      <c r="D591" t="n">
        <v>337</v>
      </c>
      <c r="E591" t="s">
        <v>602</v>
      </c>
      <c r="F591" t="s"/>
      <c r="G591" t="s"/>
      <c r="H591" t="s"/>
      <c r="I591" t="s"/>
      <c r="J591" t="n">
        <v>0</v>
      </c>
      <c r="K591" t="n">
        <v>0</v>
      </c>
      <c r="L591" t="n">
        <v>1</v>
      </c>
      <c r="M591" t="n">
        <v>0</v>
      </c>
    </row>
    <row r="592" spans="1:13">
      <c r="A592" s="1">
        <f>HYPERLINK("http://www.twitter.com/NathanBLawrence/status/994597118202478593", "994597118202478593")</f>
        <v/>
      </c>
      <c r="B592" s="2" t="n">
        <v>43230.63664351852</v>
      </c>
      <c r="C592" t="n">
        <v>0</v>
      </c>
      <c r="D592" t="n">
        <v>4</v>
      </c>
      <c r="E592" t="s">
        <v>603</v>
      </c>
      <c r="F592" t="s"/>
      <c r="G592" t="s"/>
      <c r="H592" t="s"/>
      <c r="I592" t="s"/>
      <c r="J592" t="n">
        <v>0</v>
      </c>
      <c r="K592" t="n">
        <v>0</v>
      </c>
      <c r="L592" t="n">
        <v>1</v>
      </c>
      <c r="M592" t="n">
        <v>0</v>
      </c>
    </row>
    <row r="593" spans="1:13">
      <c r="A593" s="1">
        <f>HYPERLINK("http://www.twitter.com/NathanBLawrence/status/994596164992405504", "994596164992405504")</f>
        <v/>
      </c>
      <c r="B593" s="2" t="n">
        <v>43230.6340162037</v>
      </c>
      <c r="C593" t="n">
        <v>0</v>
      </c>
      <c r="D593" t="n">
        <v>122</v>
      </c>
      <c r="E593" t="s">
        <v>604</v>
      </c>
      <c r="F593" t="s"/>
      <c r="G593" t="s"/>
      <c r="H593" t="s"/>
      <c r="I593" t="s"/>
      <c r="J593" t="n">
        <v>0</v>
      </c>
      <c r="K593" t="n">
        <v>0</v>
      </c>
      <c r="L593" t="n">
        <v>1</v>
      </c>
      <c r="M593" t="n">
        <v>0</v>
      </c>
    </row>
    <row r="594" spans="1:13">
      <c r="A594" s="1">
        <f>HYPERLINK("http://www.twitter.com/NathanBLawrence/status/994596099670380547", "994596099670380547")</f>
        <v/>
      </c>
      <c r="B594" s="2" t="n">
        <v>43230.63383101852</v>
      </c>
      <c r="C594" t="n">
        <v>0</v>
      </c>
      <c r="D594" t="n">
        <v>1379</v>
      </c>
      <c r="E594" t="s">
        <v>605</v>
      </c>
      <c r="F594" t="s"/>
      <c r="G594" t="s"/>
      <c r="H594" t="s"/>
      <c r="I594" t="s"/>
      <c r="J594" t="n">
        <v>-0.8834</v>
      </c>
      <c r="K594" t="n">
        <v>0.354</v>
      </c>
      <c r="L594" t="n">
        <v>0.646</v>
      </c>
      <c r="M594" t="n">
        <v>0</v>
      </c>
    </row>
    <row r="595" spans="1:13">
      <c r="A595" s="1">
        <f>HYPERLINK("http://www.twitter.com/NathanBLawrence/status/994595930132434944", "994595930132434944")</f>
        <v/>
      </c>
      <c r="B595" s="2" t="n">
        <v>43230.63336805555</v>
      </c>
      <c r="C595" t="n">
        <v>0</v>
      </c>
      <c r="D595" t="n">
        <v>1435</v>
      </c>
      <c r="E595" t="s">
        <v>606</v>
      </c>
      <c r="F595" t="s"/>
      <c r="G595" t="s"/>
      <c r="H595" t="s"/>
      <c r="I595" t="s"/>
      <c r="J595" t="n">
        <v>0.5106000000000001</v>
      </c>
      <c r="K595" t="n">
        <v>0</v>
      </c>
      <c r="L595" t="n">
        <v>0.87</v>
      </c>
      <c r="M595" t="n">
        <v>0.13</v>
      </c>
    </row>
    <row r="596" spans="1:13">
      <c r="A596" s="1">
        <f>HYPERLINK("http://www.twitter.com/NathanBLawrence/status/994595878387232768", "994595878387232768")</f>
        <v/>
      </c>
      <c r="B596" s="2" t="n">
        <v>43230.63321759259</v>
      </c>
      <c r="C596" t="n">
        <v>0</v>
      </c>
      <c r="D596" t="n">
        <v>17</v>
      </c>
      <c r="E596" t="s">
        <v>607</v>
      </c>
      <c r="F596" t="s"/>
      <c r="G596" t="s"/>
      <c r="H596" t="s"/>
      <c r="I596" t="s"/>
      <c r="J596" t="n">
        <v>0.2422</v>
      </c>
      <c r="K596" t="n">
        <v>0.119</v>
      </c>
      <c r="L596" t="n">
        <v>0.724</v>
      </c>
      <c r="M596" t="n">
        <v>0.156</v>
      </c>
    </row>
    <row r="597" spans="1:13">
      <c r="A597" s="1">
        <f>HYPERLINK("http://www.twitter.com/NathanBLawrence/status/994594579688062976", "994594579688062976")</f>
        <v/>
      </c>
      <c r="B597" s="2" t="n">
        <v>43230.6296412037</v>
      </c>
      <c r="C597" t="n">
        <v>0</v>
      </c>
      <c r="D597" t="n">
        <v>68775</v>
      </c>
      <c r="E597" t="s">
        <v>608</v>
      </c>
      <c r="F597" t="s"/>
      <c r="G597" t="s"/>
      <c r="H597" t="s"/>
      <c r="I597" t="s"/>
      <c r="J597" t="n">
        <v>0</v>
      </c>
      <c r="K597" t="n">
        <v>0</v>
      </c>
      <c r="L597" t="n">
        <v>1</v>
      </c>
      <c r="M597" t="n">
        <v>0</v>
      </c>
    </row>
    <row r="598" spans="1:13">
      <c r="A598" s="1">
        <f>HYPERLINK("http://www.twitter.com/NathanBLawrence/status/994594556090908677", "994594556090908677")</f>
        <v/>
      </c>
      <c r="B598" s="2" t="n">
        <v>43230.62957175926</v>
      </c>
      <c r="C598" t="n">
        <v>0</v>
      </c>
      <c r="D598" t="n">
        <v>4</v>
      </c>
      <c r="E598" t="s">
        <v>609</v>
      </c>
      <c r="F598">
        <f>HYPERLINK("http://pbs.twimg.com/media/Dc2ARprV4AAOf1f.jpg", "http://pbs.twimg.com/media/Dc2ARprV4AAOf1f.jpg")</f>
        <v/>
      </c>
      <c r="G598" t="s"/>
      <c r="H598" t="s"/>
      <c r="I598" t="s"/>
      <c r="J598" t="n">
        <v>0</v>
      </c>
      <c r="K598" t="n">
        <v>0</v>
      </c>
      <c r="L598" t="n">
        <v>1</v>
      </c>
      <c r="M598" t="n">
        <v>0</v>
      </c>
    </row>
    <row r="599" spans="1:13">
      <c r="A599" s="1">
        <f>HYPERLINK("http://www.twitter.com/NathanBLawrence/status/994594478416715777", "994594478416715777")</f>
        <v/>
      </c>
      <c r="B599" s="2" t="n">
        <v>43230.62935185185</v>
      </c>
      <c r="C599" t="n">
        <v>0</v>
      </c>
      <c r="D599" t="n">
        <v>165</v>
      </c>
      <c r="E599" t="s">
        <v>610</v>
      </c>
      <c r="F599" t="s"/>
      <c r="G599" t="s"/>
      <c r="H599" t="s"/>
      <c r="I599" t="s"/>
      <c r="J599" t="n">
        <v>-0.2411</v>
      </c>
      <c r="K599" t="n">
        <v>0.116</v>
      </c>
      <c r="L599" t="n">
        <v>0.884</v>
      </c>
      <c r="M599" t="n">
        <v>0</v>
      </c>
    </row>
    <row r="600" spans="1:13">
      <c r="A600" s="1">
        <f>HYPERLINK("http://www.twitter.com/NathanBLawrence/status/994593982796697600", "994593982796697600")</f>
        <v/>
      </c>
      <c r="B600" s="2" t="n">
        <v>43230.62798611111</v>
      </c>
      <c r="C600" t="n">
        <v>0</v>
      </c>
      <c r="D600" t="n">
        <v>28</v>
      </c>
      <c r="E600" t="s">
        <v>611</v>
      </c>
      <c r="F600" t="s"/>
      <c r="G600" t="s"/>
      <c r="H600" t="s"/>
      <c r="I600" t="s"/>
      <c r="J600" t="n">
        <v>0</v>
      </c>
      <c r="K600" t="n">
        <v>0</v>
      </c>
      <c r="L600" t="n">
        <v>1</v>
      </c>
      <c r="M600" t="n">
        <v>0</v>
      </c>
    </row>
    <row r="601" spans="1:13">
      <c r="A601" s="1">
        <f>HYPERLINK("http://www.twitter.com/NathanBLawrence/status/994593931160641536", "994593931160641536")</f>
        <v/>
      </c>
      <c r="B601" s="2" t="n">
        <v>43230.62784722223</v>
      </c>
      <c r="C601" t="n">
        <v>0</v>
      </c>
      <c r="D601" t="n">
        <v>35887</v>
      </c>
      <c r="E601" t="s">
        <v>612</v>
      </c>
      <c r="F601" t="s"/>
      <c r="G601" t="s"/>
      <c r="H601" t="s"/>
      <c r="I601" t="s"/>
      <c r="J601" t="n">
        <v>0.4939</v>
      </c>
      <c r="K601" t="n">
        <v>0</v>
      </c>
      <c r="L601" t="n">
        <v>0.758</v>
      </c>
      <c r="M601" t="n">
        <v>0.242</v>
      </c>
    </row>
    <row r="602" spans="1:13">
      <c r="A602" s="1">
        <f>HYPERLINK("http://www.twitter.com/NathanBLawrence/status/994593770770444288", "994593770770444288")</f>
        <v/>
      </c>
      <c r="B602" s="2" t="n">
        <v>43230.62740740741</v>
      </c>
      <c r="C602" t="n">
        <v>0</v>
      </c>
      <c r="D602" t="n">
        <v>132</v>
      </c>
      <c r="E602" t="s">
        <v>613</v>
      </c>
      <c r="F602">
        <f>HYPERLINK("http://pbs.twimg.com/media/Dc1R5-OW4AIK-SW.jpg", "http://pbs.twimg.com/media/Dc1R5-OW4AIK-SW.jpg")</f>
        <v/>
      </c>
      <c r="G602" t="s"/>
      <c r="H602" t="s"/>
      <c r="I602" t="s"/>
      <c r="J602" t="n">
        <v>0</v>
      </c>
      <c r="K602" t="n">
        <v>0</v>
      </c>
      <c r="L602" t="n">
        <v>1</v>
      </c>
      <c r="M602" t="n">
        <v>0</v>
      </c>
    </row>
    <row r="603" spans="1:13">
      <c r="A603" s="1">
        <f>HYPERLINK("http://www.twitter.com/NathanBLawrence/status/994593147039748096", "994593147039748096")</f>
        <v/>
      </c>
      <c r="B603" s="2" t="n">
        <v>43230.62568287037</v>
      </c>
      <c r="C603" t="n">
        <v>0</v>
      </c>
      <c r="D603" t="n">
        <v>1626</v>
      </c>
      <c r="E603" t="s">
        <v>614</v>
      </c>
      <c r="F603" t="s"/>
      <c r="G603" t="s"/>
      <c r="H603" t="s"/>
      <c r="I603" t="s"/>
      <c r="J603" t="n">
        <v>0</v>
      </c>
      <c r="K603" t="n">
        <v>0</v>
      </c>
      <c r="L603" t="n">
        <v>1</v>
      </c>
      <c r="M603" t="n">
        <v>0</v>
      </c>
    </row>
    <row r="604" spans="1:13">
      <c r="A604" s="1">
        <f>HYPERLINK("http://www.twitter.com/NathanBLawrence/status/994592771058126853", "994592771058126853")</f>
        <v/>
      </c>
      <c r="B604" s="2" t="n">
        <v>43230.62464120371</v>
      </c>
      <c r="C604" t="n">
        <v>0</v>
      </c>
      <c r="D604" t="n">
        <v>2</v>
      </c>
      <c r="E604" t="s">
        <v>615</v>
      </c>
      <c r="F604" t="s"/>
      <c r="G604" t="s"/>
      <c r="H604" t="s"/>
      <c r="I604" t="s"/>
      <c r="J604" t="n">
        <v>-0.1877</v>
      </c>
      <c r="K604" t="n">
        <v>0.065</v>
      </c>
      <c r="L604" t="n">
        <v>0.9350000000000001</v>
      </c>
      <c r="M604" t="n">
        <v>0</v>
      </c>
    </row>
    <row r="605" spans="1:13">
      <c r="A605" s="1">
        <f>HYPERLINK("http://www.twitter.com/NathanBLawrence/status/994592681924988934", "994592681924988934")</f>
        <v/>
      </c>
      <c r="B605" s="2" t="n">
        <v>43230.62439814815</v>
      </c>
      <c r="C605" t="n">
        <v>0</v>
      </c>
      <c r="D605" t="n">
        <v>9996</v>
      </c>
      <c r="E605" t="s">
        <v>616</v>
      </c>
      <c r="F605" t="s"/>
      <c r="G605" t="s"/>
      <c r="H605" t="s"/>
      <c r="I605" t="s"/>
      <c r="J605" t="n">
        <v>0</v>
      </c>
      <c r="K605" t="n">
        <v>0</v>
      </c>
      <c r="L605" t="n">
        <v>1</v>
      </c>
      <c r="M605" t="n">
        <v>0</v>
      </c>
    </row>
    <row r="606" spans="1:13">
      <c r="A606" s="1">
        <f>HYPERLINK("http://www.twitter.com/NathanBLawrence/status/994592296812281856", "994592296812281856")</f>
        <v/>
      </c>
      <c r="B606" s="2" t="n">
        <v>43230.62333333334</v>
      </c>
      <c r="C606" t="n">
        <v>0</v>
      </c>
      <c r="D606" t="n">
        <v>1419</v>
      </c>
      <c r="E606" t="s">
        <v>617</v>
      </c>
      <c r="F606">
        <f>HYPERLINK("https://video.twimg.com/amplify_video/994588955600478208/vid/1280x720/eat0zBHe0JwilBCl.mp4?tag=2", "https://video.twimg.com/amplify_video/994588955600478208/vid/1280x720/eat0zBHe0JwilBCl.mp4?tag=2")</f>
        <v/>
      </c>
      <c r="G606" t="s"/>
      <c r="H606" t="s"/>
      <c r="I606" t="s"/>
      <c r="J606" t="n">
        <v>0</v>
      </c>
      <c r="K606" t="n">
        <v>0</v>
      </c>
      <c r="L606" t="n">
        <v>1</v>
      </c>
      <c r="M606" t="n">
        <v>0</v>
      </c>
    </row>
    <row r="607" spans="1:13">
      <c r="A607" s="1">
        <f>HYPERLINK("http://www.twitter.com/NathanBLawrence/status/994591245652692992", "994591245652692992")</f>
        <v/>
      </c>
      <c r="B607" s="2" t="n">
        <v>43230.62043981482</v>
      </c>
      <c r="C607" t="n">
        <v>0</v>
      </c>
      <c r="D607" t="n">
        <v>82</v>
      </c>
      <c r="E607" t="s">
        <v>618</v>
      </c>
      <c r="F607" t="s"/>
      <c r="G607" t="s"/>
      <c r="H607" t="s"/>
      <c r="I607" t="s"/>
      <c r="J607" t="n">
        <v>0.5411</v>
      </c>
      <c r="K607" t="n">
        <v>0</v>
      </c>
      <c r="L607" t="n">
        <v>0.851</v>
      </c>
      <c r="M607" t="n">
        <v>0.149</v>
      </c>
    </row>
    <row r="608" spans="1:13">
      <c r="A608" s="1">
        <f>HYPERLINK("http://www.twitter.com/NathanBLawrence/status/994591195727847431", "994591195727847431")</f>
        <v/>
      </c>
      <c r="B608" s="2" t="n">
        <v>43230.62030092593</v>
      </c>
      <c r="C608" t="n">
        <v>0</v>
      </c>
      <c r="D608" t="n">
        <v>26877</v>
      </c>
      <c r="E608" t="s">
        <v>619</v>
      </c>
      <c r="F608" t="s"/>
      <c r="G608" t="s"/>
      <c r="H608" t="s"/>
      <c r="I608" t="s"/>
      <c r="J608" t="n">
        <v>-0.7351</v>
      </c>
      <c r="K608" t="n">
        <v>0.265</v>
      </c>
      <c r="L608" t="n">
        <v>0.735</v>
      </c>
      <c r="M608" t="n">
        <v>0</v>
      </c>
    </row>
    <row r="609" spans="1:13">
      <c r="A609" s="1">
        <f>HYPERLINK("http://www.twitter.com/NathanBLawrence/status/994591110524801025", "994591110524801025")</f>
        <v/>
      </c>
      <c r="B609" s="2" t="n">
        <v>43230.62006944444</v>
      </c>
      <c r="C609" t="n">
        <v>0</v>
      </c>
      <c r="D609" t="n">
        <v>205</v>
      </c>
      <c r="E609" t="s">
        <v>620</v>
      </c>
      <c r="F609">
        <f>HYPERLINK("http://pbs.twimg.com/media/Dc1-2VrWkAEsmT1.jpg", "http://pbs.twimg.com/media/Dc1-2VrWkAEsmT1.jpg")</f>
        <v/>
      </c>
      <c r="G609">
        <f>HYPERLINK("http://pbs.twimg.com/media/Dc1_GRFX0AAY9cx.jpg", "http://pbs.twimg.com/media/Dc1_GRFX0AAY9cx.jpg")</f>
        <v/>
      </c>
      <c r="H609" t="s"/>
      <c r="I609" t="s"/>
      <c r="J609" t="n">
        <v>0</v>
      </c>
      <c r="K609" t="n">
        <v>0</v>
      </c>
      <c r="L609" t="n">
        <v>1</v>
      </c>
      <c r="M609" t="n">
        <v>0</v>
      </c>
    </row>
    <row r="610" spans="1:13">
      <c r="A610" s="1">
        <f>HYPERLINK("http://www.twitter.com/NathanBLawrence/status/994589531574865921", "994589531574865921")</f>
        <v/>
      </c>
      <c r="B610" s="2" t="n">
        <v>43230.61570601852</v>
      </c>
      <c r="C610" t="n">
        <v>0</v>
      </c>
      <c r="D610" t="n">
        <v>49</v>
      </c>
      <c r="E610" t="s">
        <v>621</v>
      </c>
      <c r="F610">
        <f>HYPERLINK("http://pbs.twimg.com/media/Dc1nLO8X0AE8_yG.jpg", "http://pbs.twimg.com/media/Dc1nLO8X0AE8_yG.jpg")</f>
        <v/>
      </c>
      <c r="G610">
        <f>HYPERLINK("http://pbs.twimg.com/media/Dc1nLO-WkAA0L2b.jpg", "http://pbs.twimg.com/media/Dc1nLO-WkAA0L2b.jpg")</f>
        <v/>
      </c>
      <c r="H610" t="s"/>
      <c r="I610" t="s"/>
      <c r="J610" t="n">
        <v>0.9518</v>
      </c>
      <c r="K610" t="n">
        <v>0</v>
      </c>
      <c r="L610" t="n">
        <v>0.54</v>
      </c>
      <c r="M610" t="n">
        <v>0.46</v>
      </c>
    </row>
    <row r="611" spans="1:13">
      <c r="A611" s="1">
        <f>HYPERLINK("http://www.twitter.com/NathanBLawrence/status/994575395096793088", "994575395096793088")</f>
        <v/>
      </c>
      <c r="B611" s="2" t="n">
        <v>43230.57670138889</v>
      </c>
      <c r="C611" t="n">
        <v>0</v>
      </c>
      <c r="D611" t="n">
        <v>246</v>
      </c>
      <c r="E611" t="s">
        <v>622</v>
      </c>
      <c r="F611" t="s"/>
      <c r="G611" t="s"/>
      <c r="H611" t="s"/>
      <c r="I611" t="s"/>
      <c r="J611" t="n">
        <v>0.6705</v>
      </c>
      <c r="K611" t="n">
        <v>0</v>
      </c>
      <c r="L611" t="n">
        <v>0.776</v>
      </c>
      <c r="M611" t="n">
        <v>0.224</v>
      </c>
    </row>
    <row r="612" spans="1:13">
      <c r="A612" s="1">
        <f>HYPERLINK("http://www.twitter.com/NathanBLawrence/status/994574815016247298", "994574815016247298")</f>
        <v/>
      </c>
      <c r="B612" s="2" t="n">
        <v>43230.57509259259</v>
      </c>
      <c r="C612" t="n">
        <v>0</v>
      </c>
      <c r="D612" t="n">
        <v>5</v>
      </c>
      <c r="E612" t="s">
        <v>623</v>
      </c>
      <c r="F612" t="s"/>
      <c r="G612" t="s"/>
      <c r="H612" t="s"/>
      <c r="I612" t="s"/>
      <c r="J612" t="n">
        <v>-0.658</v>
      </c>
      <c r="K612" t="n">
        <v>0.268</v>
      </c>
      <c r="L612" t="n">
        <v>0.732</v>
      </c>
      <c r="M612" t="n">
        <v>0</v>
      </c>
    </row>
    <row r="613" spans="1:13">
      <c r="A613" s="1">
        <f>HYPERLINK("http://www.twitter.com/NathanBLawrence/status/994572847887634433", "994572847887634433")</f>
        <v/>
      </c>
      <c r="B613" s="2" t="n">
        <v>43230.56966435185</v>
      </c>
      <c r="C613" t="n">
        <v>0</v>
      </c>
      <c r="D613" t="n">
        <v>61</v>
      </c>
      <c r="E613" t="s">
        <v>624</v>
      </c>
      <c r="F613" t="s"/>
      <c r="G613" t="s"/>
      <c r="H613" t="s"/>
      <c r="I613" t="s"/>
      <c r="J613" t="n">
        <v>0.743</v>
      </c>
      <c r="K613" t="n">
        <v>0.074</v>
      </c>
      <c r="L613" t="n">
        <v>0.673</v>
      </c>
      <c r="M613" t="n">
        <v>0.253</v>
      </c>
    </row>
    <row r="614" spans="1:13">
      <c r="A614" s="1">
        <f>HYPERLINK("http://www.twitter.com/NathanBLawrence/status/994572223519354880", "994572223519354880")</f>
        <v/>
      </c>
      <c r="B614" s="2" t="n">
        <v>43230.56795138889</v>
      </c>
      <c r="C614" t="n">
        <v>0</v>
      </c>
      <c r="D614" t="n">
        <v>520</v>
      </c>
      <c r="E614" t="s">
        <v>625</v>
      </c>
      <c r="F614">
        <f>HYPERLINK("http://pbs.twimg.com/media/Dc1tdOcWAAAdzK2.jpg", "http://pbs.twimg.com/media/Dc1tdOcWAAAdzK2.jpg")</f>
        <v/>
      </c>
      <c r="G614" t="s"/>
      <c r="H614" t="s"/>
      <c r="I614" t="s"/>
      <c r="J614" t="n">
        <v>0.4019</v>
      </c>
      <c r="K614" t="n">
        <v>0</v>
      </c>
      <c r="L614" t="n">
        <v>0.891</v>
      </c>
      <c r="M614" t="n">
        <v>0.109</v>
      </c>
    </row>
    <row r="615" spans="1:13">
      <c r="A615" s="1">
        <f>HYPERLINK("http://www.twitter.com/NathanBLawrence/status/994571523871604738", "994571523871604738")</f>
        <v/>
      </c>
      <c r="B615" s="2" t="n">
        <v>43230.56601851852</v>
      </c>
      <c r="C615" t="n">
        <v>0</v>
      </c>
      <c r="D615" t="n">
        <v>81</v>
      </c>
      <c r="E615" t="s">
        <v>626</v>
      </c>
      <c r="F615">
        <f>HYPERLINK("http://pbs.twimg.com/media/Dc1meHbU0AAHyVV.jpg", "http://pbs.twimg.com/media/Dc1meHbU0AAHyVV.jpg")</f>
        <v/>
      </c>
      <c r="G615">
        <f>HYPERLINK("http://pbs.twimg.com/media/Dc1meHbU8AEMWNB.jpg", "http://pbs.twimg.com/media/Dc1meHbU8AEMWNB.jpg")</f>
        <v/>
      </c>
      <c r="H615">
        <f>HYPERLINK("http://pbs.twimg.com/media/Dc1meHbU8AIvc7v.jpg", "http://pbs.twimg.com/media/Dc1meHbU8AIvc7v.jpg")</f>
        <v/>
      </c>
      <c r="I615">
        <f>HYPERLINK("http://pbs.twimg.com/media/Dc1meHcV4AE3LTl.jpg", "http://pbs.twimg.com/media/Dc1meHcV4AE3LTl.jpg")</f>
        <v/>
      </c>
      <c r="J615" t="n">
        <v>0.1531</v>
      </c>
      <c r="K615" t="n">
        <v>0.089</v>
      </c>
      <c r="L615" t="n">
        <v>0.794</v>
      </c>
      <c r="M615" t="n">
        <v>0.117</v>
      </c>
    </row>
    <row r="616" spans="1:13">
      <c r="A616" s="1">
        <f>HYPERLINK("http://www.twitter.com/NathanBLawrence/status/994566925798858752", "994566925798858752")</f>
        <v/>
      </c>
      <c r="B616" s="2" t="n">
        <v>43230.55332175926</v>
      </c>
      <c r="C616" t="n">
        <v>0</v>
      </c>
      <c r="D616" t="n">
        <v>219</v>
      </c>
      <c r="E616" t="s">
        <v>627</v>
      </c>
      <c r="F616">
        <f>HYPERLINK("https://video.twimg.com/ext_tw_video/994553486019788800/pu/vid/654x360/Se0HNYs6zSaVwWJQ.mp4?tag=3", "https://video.twimg.com/ext_tw_video/994553486019788800/pu/vid/654x360/Se0HNYs6zSaVwWJQ.mp4?tag=3")</f>
        <v/>
      </c>
      <c r="G616" t="s"/>
      <c r="H616" t="s"/>
      <c r="I616" t="s"/>
      <c r="J616" t="n">
        <v>0.5574</v>
      </c>
      <c r="K616" t="n">
        <v>0</v>
      </c>
      <c r="L616" t="n">
        <v>0.854</v>
      </c>
      <c r="M616" t="n">
        <v>0.146</v>
      </c>
    </row>
    <row r="617" spans="1:13">
      <c r="A617" s="1">
        <f>HYPERLINK("http://www.twitter.com/NathanBLawrence/status/994566712724017154", "994566712724017154")</f>
        <v/>
      </c>
      <c r="B617" s="2" t="n">
        <v>43230.55274305555</v>
      </c>
      <c r="C617" t="n">
        <v>0</v>
      </c>
      <c r="D617" t="n">
        <v>1878</v>
      </c>
      <c r="E617" t="s">
        <v>628</v>
      </c>
      <c r="F617" t="s"/>
      <c r="G617" t="s"/>
      <c r="H617" t="s"/>
      <c r="I617" t="s"/>
      <c r="J617" t="n">
        <v>0.8748</v>
      </c>
      <c r="K617" t="n">
        <v>0</v>
      </c>
      <c r="L617" t="n">
        <v>0.655</v>
      </c>
      <c r="M617" t="n">
        <v>0.345</v>
      </c>
    </row>
    <row r="618" spans="1:13">
      <c r="A618" s="1">
        <f>HYPERLINK("http://www.twitter.com/NathanBLawrence/status/994566630414921729", "994566630414921729")</f>
        <v/>
      </c>
      <c r="B618" s="2" t="n">
        <v>43230.55251157407</v>
      </c>
      <c r="C618" t="n">
        <v>0</v>
      </c>
      <c r="D618" t="n">
        <v>5</v>
      </c>
      <c r="E618" t="s">
        <v>629</v>
      </c>
      <c r="F618" t="s"/>
      <c r="G618" t="s"/>
      <c r="H618" t="s"/>
      <c r="I618" t="s"/>
      <c r="J618" t="n">
        <v>0.7096</v>
      </c>
      <c r="K618" t="n">
        <v>0</v>
      </c>
      <c r="L618" t="n">
        <v>0.6879999999999999</v>
      </c>
      <c r="M618" t="n">
        <v>0.312</v>
      </c>
    </row>
    <row r="619" spans="1:13">
      <c r="A619" s="1">
        <f>HYPERLINK("http://www.twitter.com/NathanBLawrence/status/994566276092760064", "994566276092760064")</f>
        <v/>
      </c>
      <c r="B619" s="2" t="n">
        <v>43230.55153935185</v>
      </c>
      <c r="C619" t="n">
        <v>0</v>
      </c>
      <c r="D619" t="n">
        <v>363</v>
      </c>
      <c r="E619" t="s">
        <v>630</v>
      </c>
      <c r="F619">
        <f>HYPERLINK("http://pbs.twimg.com/media/Dc0S0HDVwAANKEp.jpg", "http://pbs.twimg.com/media/Dc0S0HDVwAANKEp.jpg")</f>
        <v/>
      </c>
      <c r="G619" t="s"/>
      <c r="H619" t="s"/>
      <c r="I619" t="s"/>
      <c r="J619" t="n">
        <v>0.5719</v>
      </c>
      <c r="K619" t="n">
        <v>0.075</v>
      </c>
      <c r="L619" t="n">
        <v>0.636</v>
      </c>
      <c r="M619" t="n">
        <v>0.289</v>
      </c>
    </row>
    <row r="620" spans="1:13">
      <c r="A620" s="1">
        <f>HYPERLINK("http://www.twitter.com/NathanBLawrence/status/994565961792544768", "994565961792544768")</f>
        <v/>
      </c>
      <c r="B620" s="2" t="n">
        <v>43230.5506712963</v>
      </c>
      <c r="C620" t="n">
        <v>0</v>
      </c>
      <c r="D620" t="n">
        <v>3</v>
      </c>
      <c r="E620" t="s">
        <v>631</v>
      </c>
      <c r="F620">
        <f>HYPERLINK("https://video.twimg.com/amplify_video/994558174706524160/vid/1280x720/VynAfRYOFyt1S4-N.mp4?tag=2", "https://video.twimg.com/amplify_video/994558174706524160/vid/1280x720/VynAfRYOFyt1S4-N.mp4?tag=2")</f>
        <v/>
      </c>
      <c r="G620" t="s"/>
      <c r="H620" t="s"/>
      <c r="I620" t="s"/>
      <c r="J620" t="n">
        <v>0.296</v>
      </c>
      <c r="K620" t="n">
        <v>0</v>
      </c>
      <c r="L620" t="n">
        <v>0.824</v>
      </c>
      <c r="M620" t="n">
        <v>0.176</v>
      </c>
    </row>
    <row r="621" spans="1:13">
      <c r="A621" s="1">
        <f>HYPERLINK("http://www.twitter.com/NathanBLawrence/status/994564807352373248", "994564807352373248")</f>
        <v/>
      </c>
      <c r="B621" s="2" t="n">
        <v>43230.54747685185</v>
      </c>
      <c r="C621" t="n">
        <v>0</v>
      </c>
      <c r="D621" t="n">
        <v>521</v>
      </c>
      <c r="E621" t="s">
        <v>632</v>
      </c>
      <c r="F621">
        <f>HYPERLINK("https://video.twimg.com/amplify_video/994547962226335746/vid/1280x720/JG5G9IXFLoVkXRDt.mp4?tag=2", "https://video.twimg.com/amplify_video/994547962226335746/vid/1280x720/JG5G9IXFLoVkXRDt.mp4?tag=2")</f>
        <v/>
      </c>
      <c r="G621" t="s"/>
      <c r="H621" t="s"/>
      <c r="I621" t="s"/>
      <c r="J621" t="n">
        <v>0.4404</v>
      </c>
      <c r="K621" t="n">
        <v>0</v>
      </c>
      <c r="L621" t="n">
        <v>0.8129999999999999</v>
      </c>
      <c r="M621" t="n">
        <v>0.187</v>
      </c>
    </row>
    <row r="622" spans="1:13">
      <c r="A622" s="1">
        <f>HYPERLINK("http://www.twitter.com/NathanBLawrence/status/994564715836837888", "994564715836837888")</f>
        <v/>
      </c>
      <c r="B622" s="2" t="n">
        <v>43230.54723379629</v>
      </c>
      <c r="C622" t="n">
        <v>0</v>
      </c>
      <c r="D622" t="n">
        <v>3975</v>
      </c>
      <c r="E622" t="s">
        <v>633</v>
      </c>
      <c r="F622" t="s"/>
      <c r="G622" t="s"/>
      <c r="H622" t="s"/>
      <c r="I622" t="s"/>
      <c r="J622" t="n">
        <v>-0.6249</v>
      </c>
      <c r="K622" t="n">
        <v>0.245</v>
      </c>
      <c r="L622" t="n">
        <v>0.672</v>
      </c>
      <c r="M622" t="n">
        <v>0.083</v>
      </c>
    </row>
    <row r="623" spans="1:13">
      <c r="A623" s="1">
        <f>HYPERLINK("http://www.twitter.com/NathanBLawrence/status/994562369194987520", "994562369194987520")</f>
        <v/>
      </c>
      <c r="B623" s="2" t="n">
        <v>43230.54075231482</v>
      </c>
      <c r="C623" t="n">
        <v>0</v>
      </c>
      <c r="D623" t="n">
        <v>4404</v>
      </c>
      <c r="E623" t="s">
        <v>634</v>
      </c>
      <c r="F623" t="s"/>
      <c r="G623" t="s"/>
      <c r="H623" t="s"/>
      <c r="I623" t="s"/>
      <c r="J623" t="n">
        <v>0.802</v>
      </c>
      <c r="K623" t="n">
        <v>0</v>
      </c>
      <c r="L623" t="n">
        <v>0.737</v>
      </c>
      <c r="M623" t="n">
        <v>0.263</v>
      </c>
    </row>
    <row r="624" spans="1:13">
      <c r="A624" s="1">
        <f>HYPERLINK("http://www.twitter.com/NathanBLawrence/status/994561906571661314", "994561906571661314")</f>
        <v/>
      </c>
      <c r="B624" s="2" t="n">
        <v>43230.53947916667</v>
      </c>
      <c r="C624" t="n">
        <v>0</v>
      </c>
      <c r="D624" t="n">
        <v>3188</v>
      </c>
      <c r="E624" t="s">
        <v>635</v>
      </c>
      <c r="F624" t="s"/>
      <c r="G624" t="s"/>
      <c r="H624" t="s"/>
      <c r="I624" t="s"/>
      <c r="J624" t="n">
        <v>-0.25</v>
      </c>
      <c r="K624" t="n">
        <v>0.095</v>
      </c>
      <c r="L624" t="n">
        <v>0.905</v>
      </c>
      <c r="M624" t="n">
        <v>0</v>
      </c>
    </row>
    <row r="625" spans="1:13">
      <c r="A625" s="1">
        <f>HYPERLINK("http://www.twitter.com/NathanBLawrence/status/994561700337774593", "994561700337774593")</f>
        <v/>
      </c>
      <c r="B625" s="2" t="n">
        <v>43230.53891203704</v>
      </c>
      <c r="C625" t="n">
        <v>0</v>
      </c>
      <c r="D625" t="n">
        <v>1</v>
      </c>
      <c r="E625" t="s">
        <v>636</v>
      </c>
      <c r="F625" t="s"/>
      <c r="G625" t="s"/>
      <c r="H625" t="s"/>
      <c r="I625" t="s"/>
      <c r="J625" t="n">
        <v>0</v>
      </c>
      <c r="K625" t="n">
        <v>0</v>
      </c>
      <c r="L625" t="n">
        <v>1</v>
      </c>
      <c r="M625" t="n">
        <v>0</v>
      </c>
    </row>
    <row r="626" spans="1:13">
      <c r="A626" s="1">
        <f>HYPERLINK("http://www.twitter.com/NathanBLawrence/status/994561581051719681", "994561581051719681")</f>
        <v/>
      </c>
      <c r="B626" s="2" t="n">
        <v>43230.53857638889</v>
      </c>
      <c r="C626" t="n">
        <v>0</v>
      </c>
      <c r="D626" t="n">
        <v>7</v>
      </c>
      <c r="E626" t="s">
        <v>637</v>
      </c>
      <c r="F626" t="s"/>
      <c r="G626" t="s"/>
      <c r="H626" t="s"/>
      <c r="I626" t="s"/>
      <c r="J626" t="n">
        <v>0</v>
      </c>
      <c r="K626" t="n">
        <v>0</v>
      </c>
      <c r="L626" t="n">
        <v>1</v>
      </c>
      <c r="M626" t="n">
        <v>0</v>
      </c>
    </row>
    <row r="627" spans="1:13">
      <c r="A627" s="1">
        <f>HYPERLINK("http://www.twitter.com/NathanBLawrence/status/994560899817070592", "994560899817070592")</f>
        <v/>
      </c>
      <c r="B627" s="2" t="n">
        <v>43230.53670138889</v>
      </c>
      <c r="C627" t="n">
        <v>0</v>
      </c>
      <c r="D627" t="n">
        <v>468</v>
      </c>
      <c r="E627" t="s">
        <v>638</v>
      </c>
      <c r="F627">
        <f>HYPERLINK("http://pbs.twimg.com/media/Dc1RzHOUQAAoT3o.jpg", "http://pbs.twimg.com/media/Dc1RzHOUQAAoT3o.jpg")</f>
        <v/>
      </c>
      <c r="G627" t="s"/>
      <c r="H627" t="s"/>
      <c r="I627" t="s"/>
      <c r="J627" t="n">
        <v>0.9153</v>
      </c>
      <c r="K627" t="n">
        <v>0</v>
      </c>
      <c r="L627" t="n">
        <v>0.543</v>
      </c>
      <c r="M627" t="n">
        <v>0.457</v>
      </c>
    </row>
    <row r="628" spans="1:13">
      <c r="A628" s="1">
        <f>HYPERLINK("http://www.twitter.com/NathanBLawrence/status/994560532601626624", "994560532601626624")</f>
        <v/>
      </c>
      <c r="B628" s="2" t="n">
        <v>43230.53568287037</v>
      </c>
      <c r="C628" t="n">
        <v>0</v>
      </c>
      <c r="D628" t="n">
        <v>3</v>
      </c>
      <c r="E628" t="s">
        <v>639</v>
      </c>
      <c r="F628" t="s"/>
      <c r="G628" t="s"/>
      <c r="H628" t="s"/>
      <c r="I628" t="s"/>
      <c r="J628" t="n">
        <v>0</v>
      </c>
      <c r="K628" t="n">
        <v>0</v>
      </c>
      <c r="L628" t="n">
        <v>1</v>
      </c>
      <c r="M628" t="n">
        <v>0</v>
      </c>
    </row>
    <row r="629" spans="1:13">
      <c r="A629" s="1">
        <f>HYPERLINK("http://www.twitter.com/NathanBLawrence/status/994560430122119168", "994560430122119168")</f>
        <v/>
      </c>
      <c r="B629" s="2" t="n">
        <v>43230.5354050926</v>
      </c>
      <c r="C629" t="n">
        <v>0</v>
      </c>
      <c r="D629" t="n">
        <v>29</v>
      </c>
      <c r="E629" t="s">
        <v>640</v>
      </c>
      <c r="F629" t="s"/>
      <c r="G629" t="s"/>
      <c r="H629" t="s"/>
      <c r="I629" t="s"/>
      <c r="J629" t="n">
        <v>0</v>
      </c>
      <c r="K629" t="n">
        <v>0</v>
      </c>
      <c r="L629" t="n">
        <v>1</v>
      </c>
      <c r="M629" t="n">
        <v>0</v>
      </c>
    </row>
    <row r="630" spans="1:13">
      <c r="A630" s="1">
        <f>HYPERLINK("http://www.twitter.com/NathanBLawrence/status/994559695187795973", "994559695187795973")</f>
        <v/>
      </c>
      <c r="B630" s="2" t="n">
        <v>43230.53337962963</v>
      </c>
      <c r="C630" t="n">
        <v>0</v>
      </c>
      <c r="D630" t="n">
        <v>8209</v>
      </c>
      <c r="E630" t="s">
        <v>641</v>
      </c>
      <c r="F630">
        <f>HYPERLINK("http://pbs.twimg.com/media/Dc0iDnbW0AADLkb.jpg", "http://pbs.twimg.com/media/Dc0iDnbW0AADLkb.jpg")</f>
        <v/>
      </c>
      <c r="G630">
        <f>HYPERLINK("http://pbs.twimg.com/media/Dc0iDnZW0AASA05.jpg", "http://pbs.twimg.com/media/Dc0iDnZW0AASA05.jpg")</f>
        <v/>
      </c>
      <c r="H630" t="s"/>
      <c r="I630" t="s"/>
      <c r="J630" t="n">
        <v>0.5719</v>
      </c>
      <c r="K630" t="n">
        <v>0</v>
      </c>
      <c r="L630" t="n">
        <v>0.764</v>
      </c>
      <c r="M630" t="n">
        <v>0.236</v>
      </c>
    </row>
    <row r="631" spans="1:13">
      <c r="A631" s="1">
        <f>HYPERLINK("http://www.twitter.com/NathanBLawrence/status/994559540271120385", "994559540271120385")</f>
        <v/>
      </c>
      <c r="B631" s="2" t="n">
        <v>43230.53295138889</v>
      </c>
      <c r="C631" t="n">
        <v>0</v>
      </c>
      <c r="D631" t="n">
        <v>152</v>
      </c>
      <c r="E631" t="s">
        <v>642</v>
      </c>
      <c r="F631" t="s"/>
      <c r="G631" t="s"/>
      <c r="H631" t="s"/>
      <c r="I631" t="s"/>
      <c r="J631" t="n">
        <v>0.9104</v>
      </c>
      <c r="K631" t="n">
        <v>0</v>
      </c>
      <c r="L631" t="n">
        <v>0.581</v>
      </c>
      <c r="M631" t="n">
        <v>0.419</v>
      </c>
    </row>
    <row r="632" spans="1:13">
      <c r="A632" s="1">
        <f>HYPERLINK("http://www.twitter.com/NathanBLawrence/status/994559130013782017", "994559130013782017")</f>
        <v/>
      </c>
      <c r="B632" s="2" t="n">
        <v>43230.53181712963</v>
      </c>
      <c r="C632" t="n">
        <v>0</v>
      </c>
      <c r="D632" t="n">
        <v>49957</v>
      </c>
      <c r="E632" t="s">
        <v>643</v>
      </c>
      <c r="F632">
        <f>HYPERLINK("https://video.twimg.com/ext_tw_video/994517769415774209/pu/vid/1280x720/sDk6OuUUNEAVPSmH.mp4?tag=3", "https://video.twimg.com/ext_tw_video/994517769415774209/pu/vid/1280x720/sDk6OuUUNEAVPSmH.mp4?tag=3")</f>
        <v/>
      </c>
      <c r="G632" t="s"/>
      <c r="H632" t="s"/>
      <c r="I632" t="s"/>
      <c r="J632" t="n">
        <v>0.6155</v>
      </c>
      <c r="K632" t="n">
        <v>0</v>
      </c>
      <c r="L632" t="n">
        <v>0.713</v>
      </c>
      <c r="M632" t="n">
        <v>0.287</v>
      </c>
    </row>
    <row r="633" spans="1:13">
      <c r="A633" s="1">
        <f>HYPERLINK("http://www.twitter.com/NathanBLawrence/status/994558957686583297", "994558957686583297")</f>
        <v/>
      </c>
      <c r="B633" s="2" t="n">
        <v>43230.53134259259</v>
      </c>
      <c r="C633" t="n">
        <v>0</v>
      </c>
      <c r="D633" t="n">
        <v>131</v>
      </c>
      <c r="E633" t="s">
        <v>644</v>
      </c>
      <c r="F633" t="s"/>
      <c r="G633" t="s"/>
      <c r="H633" t="s"/>
      <c r="I633" t="s"/>
      <c r="J633" t="n">
        <v>0.4995</v>
      </c>
      <c r="K633" t="n">
        <v>0</v>
      </c>
      <c r="L633" t="n">
        <v>0.801</v>
      </c>
      <c r="M633" t="n">
        <v>0.199</v>
      </c>
    </row>
    <row r="634" spans="1:13">
      <c r="A634" s="1">
        <f>HYPERLINK("http://www.twitter.com/NathanBLawrence/status/994558846537527297", "994558846537527297")</f>
        <v/>
      </c>
      <c r="B634" s="2" t="n">
        <v>43230.53103009259</v>
      </c>
      <c r="C634" t="n">
        <v>0</v>
      </c>
      <c r="D634" t="n">
        <v>641</v>
      </c>
      <c r="E634" t="s">
        <v>645</v>
      </c>
      <c r="F634">
        <f>HYPERLINK("http://pbs.twimg.com/media/Dc1avJyWsAAaJDV.jpg", "http://pbs.twimg.com/media/Dc1avJyWsAAaJDV.jpg")</f>
        <v/>
      </c>
      <c r="G634" t="s"/>
      <c r="H634" t="s"/>
      <c r="I634" t="s"/>
      <c r="J634" t="n">
        <v>0.6899999999999999</v>
      </c>
      <c r="K634" t="n">
        <v>0</v>
      </c>
      <c r="L634" t="n">
        <v>0.76</v>
      </c>
      <c r="M634" t="n">
        <v>0.24</v>
      </c>
    </row>
    <row r="635" spans="1:13">
      <c r="A635" s="1">
        <f>HYPERLINK("http://www.twitter.com/NathanBLawrence/status/994558768984846336", "994558768984846336")</f>
        <v/>
      </c>
      <c r="B635" s="2" t="n">
        <v>43230.53082175926</v>
      </c>
      <c r="C635" t="n">
        <v>0</v>
      </c>
      <c r="D635" t="n">
        <v>258</v>
      </c>
      <c r="E635" t="s">
        <v>646</v>
      </c>
      <c r="F635" t="s"/>
      <c r="G635" t="s"/>
      <c r="H635" t="s"/>
      <c r="I635" t="s"/>
      <c r="J635" t="n">
        <v>-0.6808</v>
      </c>
      <c r="K635" t="n">
        <v>0.272</v>
      </c>
      <c r="L635" t="n">
        <v>0.728</v>
      </c>
      <c r="M635" t="n">
        <v>0</v>
      </c>
    </row>
    <row r="636" spans="1:13">
      <c r="A636" s="1">
        <f>HYPERLINK("http://www.twitter.com/NathanBLawrence/status/994558565644931073", "994558565644931073")</f>
        <v/>
      </c>
      <c r="B636" s="2" t="n">
        <v>43230.53025462963</v>
      </c>
      <c r="C636" t="n">
        <v>0</v>
      </c>
      <c r="D636" t="n">
        <v>434</v>
      </c>
      <c r="E636" t="s">
        <v>647</v>
      </c>
      <c r="F636">
        <f>HYPERLINK("https://video.twimg.com/amplify_video/994436726968987649/vid/1280x720/sCWLJkjByP4Kur_v.mp4?tag=2", "https://video.twimg.com/amplify_video/994436726968987649/vid/1280x720/sCWLJkjByP4Kur_v.mp4?tag=2")</f>
        <v/>
      </c>
      <c r="G636" t="s"/>
      <c r="H636" t="s"/>
      <c r="I636" t="s"/>
      <c r="J636" t="n">
        <v>0.4939</v>
      </c>
      <c r="K636" t="n">
        <v>0</v>
      </c>
      <c r="L636" t="n">
        <v>0.856</v>
      </c>
      <c r="M636" t="n">
        <v>0.144</v>
      </c>
    </row>
    <row r="637" spans="1:13">
      <c r="A637" s="1">
        <f>HYPERLINK("http://www.twitter.com/NathanBLawrence/status/994558364641386497", "994558364641386497")</f>
        <v/>
      </c>
      <c r="B637" s="2" t="n">
        <v>43230.52969907408</v>
      </c>
      <c r="C637" t="n">
        <v>0</v>
      </c>
      <c r="D637" t="n">
        <v>291</v>
      </c>
      <c r="E637" t="s">
        <v>648</v>
      </c>
      <c r="F637" t="s"/>
      <c r="G637" t="s"/>
      <c r="H637" t="s"/>
      <c r="I637" t="s"/>
      <c r="J637" t="n">
        <v>0.8979</v>
      </c>
      <c r="K637" t="n">
        <v>0</v>
      </c>
      <c r="L637" t="n">
        <v>0.647</v>
      </c>
      <c r="M637" t="n">
        <v>0.353</v>
      </c>
    </row>
    <row r="638" spans="1:13">
      <c r="A638" s="1">
        <f>HYPERLINK("http://www.twitter.com/NathanBLawrence/status/994558325462315009", "994558325462315009")</f>
        <v/>
      </c>
      <c r="B638" s="2" t="n">
        <v>43230.52959490741</v>
      </c>
      <c r="C638" t="n">
        <v>0</v>
      </c>
      <c r="D638" t="n">
        <v>1267</v>
      </c>
      <c r="E638" t="s">
        <v>649</v>
      </c>
      <c r="F638">
        <f>HYPERLINK("http://pbs.twimg.com/media/Dcxv68tWsAA9VLT.jpg", "http://pbs.twimg.com/media/Dcxv68tWsAA9VLT.jpg")</f>
        <v/>
      </c>
      <c r="G638" t="s"/>
      <c r="H638" t="s"/>
      <c r="I638" t="s"/>
      <c r="J638" t="n">
        <v>0.4995</v>
      </c>
      <c r="K638" t="n">
        <v>0</v>
      </c>
      <c r="L638" t="n">
        <v>0.712</v>
      </c>
      <c r="M638" t="n">
        <v>0.288</v>
      </c>
    </row>
    <row r="639" spans="1:13">
      <c r="A639" s="1">
        <f>HYPERLINK("http://www.twitter.com/NathanBLawrence/status/994558128309112833", "994558128309112833")</f>
        <v/>
      </c>
      <c r="B639" s="2" t="n">
        <v>43230.52905092593</v>
      </c>
      <c r="C639" t="n">
        <v>0</v>
      </c>
      <c r="D639" t="n">
        <v>623</v>
      </c>
      <c r="E639" t="s">
        <v>650</v>
      </c>
      <c r="F639">
        <f>HYPERLINK("http://pbs.twimg.com/media/Dc1XhT-WAAEVNwn.jpg", "http://pbs.twimg.com/media/Dc1XhT-WAAEVNwn.jpg")</f>
        <v/>
      </c>
      <c r="G639" t="s"/>
      <c r="H639" t="s"/>
      <c r="I639" t="s"/>
      <c r="J639" t="n">
        <v>0.8176</v>
      </c>
      <c r="K639" t="n">
        <v>0</v>
      </c>
      <c r="L639" t="n">
        <v>0.679</v>
      </c>
      <c r="M639" t="n">
        <v>0.321</v>
      </c>
    </row>
    <row r="640" spans="1:13">
      <c r="A640" s="1">
        <f>HYPERLINK("http://www.twitter.com/NathanBLawrence/status/994557254824284160", "994557254824284160")</f>
        <v/>
      </c>
      <c r="B640" s="2" t="n">
        <v>43230.52664351852</v>
      </c>
      <c r="C640" t="n">
        <v>0</v>
      </c>
      <c r="D640" t="n">
        <v>1475</v>
      </c>
      <c r="E640" t="s">
        <v>651</v>
      </c>
      <c r="F640" t="s"/>
      <c r="G640" t="s"/>
      <c r="H640" t="s"/>
      <c r="I640" t="s"/>
      <c r="J640" t="n">
        <v>-0.743</v>
      </c>
      <c r="K640" t="n">
        <v>0.259</v>
      </c>
      <c r="L640" t="n">
        <v>0.741</v>
      </c>
      <c r="M640" t="n">
        <v>0</v>
      </c>
    </row>
    <row r="641" spans="1:13">
      <c r="A641" s="1">
        <f>HYPERLINK("http://www.twitter.com/NathanBLawrence/status/994557009650384896", "994557009650384896")</f>
        <v/>
      </c>
      <c r="B641" s="2" t="n">
        <v>43230.52596064815</v>
      </c>
      <c r="C641" t="n">
        <v>0</v>
      </c>
      <c r="D641" t="n">
        <v>96</v>
      </c>
      <c r="E641" t="s">
        <v>652</v>
      </c>
      <c r="F641" t="s"/>
      <c r="G641" t="s"/>
      <c r="H641" t="s"/>
      <c r="I641" t="s"/>
      <c r="J641" t="n">
        <v>0.2023</v>
      </c>
      <c r="K641" t="n">
        <v>0</v>
      </c>
      <c r="L641" t="n">
        <v>0.859</v>
      </c>
      <c r="M641" t="n">
        <v>0.141</v>
      </c>
    </row>
    <row r="642" spans="1:13">
      <c r="A642" s="1">
        <f>HYPERLINK("http://www.twitter.com/NathanBLawrence/status/994556887696801793", "994556887696801793")</f>
        <v/>
      </c>
      <c r="B642" s="2" t="n">
        <v>43230.525625</v>
      </c>
      <c r="C642" t="n">
        <v>0</v>
      </c>
      <c r="D642" t="n">
        <v>3427</v>
      </c>
      <c r="E642" t="s">
        <v>653</v>
      </c>
      <c r="F642" t="s"/>
      <c r="G642" t="s"/>
      <c r="H642" t="s"/>
      <c r="I642" t="s"/>
      <c r="J642" t="n">
        <v>0</v>
      </c>
      <c r="K642" t="n">
        <v>0</v>
      </c>
      <c r="L642" t="n">
        <v>1</v>
      </c>
      <c r="M642" t="n">
        <v>0</v>
      </c>
    </row>
    <row r="643" spans="1:13">
      <c r="A643" s="1">
        <f>HYPERLINK("http://www.twitter.com/NathanBLawrence/status/994556873822162944", "994556873822162944")</f>
        <v/>
      </c>
      <c r="B643" s="2" t="n">
        <v>43230.52559027778</v>
      </c>
      <c r="C643" t="n">
        <v>0</v>
      </c>
      <c r="D643" t="n">
        <v>468</v>
      </c>
      <c r="E643" t="s">
        <v>654</v>
      </c>
      <c r="F643" t="s"/>
      <c r="G643" t="s"/>
      <c r="H643" t="s"/>
      <c r="I643" t="s"/>
      <c r="J643" t="n">
        <v>-0.3182</v>
      </c>
      <c r="K643" t="n">
        <v>0.215</v>
      </c>
      <c r="L643" t="n">
        <v>0.673</v>
      </c>
      <c r="M643" t="n">
        <v>0.112</v>
      </c>
    </row>
    <row r="644" spans="1:13">
      <c r="A644" s="1">
        <f>HYPERLINK("http://www.twitter.com/NathanBLawrence/status/994413199209443329", "994413199209443329")</f>
        <v/>
      </c>
      <c r="B644" s="2" t="n">
        <v>43230.12912037037</v>
      </c>
      <c r="C644" t="n">
        <v>0</v>
      </c>
      <c r="D644" t="n">
        <v>66</v>
      </c>
      <c r="E644" t="s">
        <v>655</v>
      </c>
      <c r="F644" t="s"/>
      <c r="G644" t="s"/>
      <c r="H644" t="s"/>
      <c r="I644" t="s"/>
      <c r="J644" t="n">
        <v>0</v>
      </c>
      <c r="K644" t="n">
        <v>0</v>
      </c>
      <c r="L644" t="n">
        <v>1</v>
      </c>
      <c r="M644" t="n">
        <v>0</v>
      </c>
    </row>
    <row r="645" spans="1:13">
      <c r="A645" s="1">
        <f>HYPERLINK("http://www.twitter.com/NathanBLawrence/status/994412897412550658", "994412897412550658")</f>
        <v/>
      </c>
      <c r="B645" s="2" t="n">
        <v>43230.12828703703</v>
      </c>
      <c r="C645" t="n">
        <v>0</v>
      </c>
      <c r="D645" t="n">
        <v>152</v>
      </c>
      <c r="E645" t="s">
        <v>656</v>
      </c>
      <c r="F645" t="s"/>
      <c r="G645" t="s"/>
      <c r="H645" t="s"/>
      <c r="I645" t="s"/>
      <c r="J645" t="n">
        <v>0.4926</v>
      </c>
      <c r="K645" t="n">
        <v>0</v>
      </c>
      <c r="L645" t="n">
        <v>0.862</v>
      </c>
      <c r="M645" t="n">
        <v>0.138</v>
      </c>
    </row>
    <row r="646" spans="1:13">
      <c r="A646" s="1">
        <f>HYPERLINK("http://www.twitter.com/NathanBLawrence/status/994411262292480002", "994411262292480002")</f>
        <v/>
      </c>
      <c r="B646" s="2" t="n">
        <v>43230.12377314815</v>
      </c>
      <c r="C646" t="n">
        <v>0</v>
      </c>
      <c r="D646" t="n">
        <v>296</v>
      </c>
      <c r="E646" t="s">
        <v>657</v>
      </c>
      <c r="F646" t="s"/>
      <c r="G646" t="s"/>
      <c r="H646" t="s"/>
      <c r="I646" t="s"/>
      <c r="J646" t="n">
        <v>0</v>
      </c>
      <c r="K646" t="n">
        <v>0</v>
      </c>
      <c r="L646" t="n">
        <v>1</v>
      </c>
      <c r="M646" t="n">
        <v>0</v>
      </c>
    </row>
    <row r="647" spans="1:13">
      <c r="A647" s="1">
        <f>HYPERLINK("http://www.twitter.com/NathanBLawrence/status/994411027965054976", "994411027965054976")</f>
        <v/>
      </c>
      <c r="B647" s="2" t="n">
        <v>43230.123125</v>
      </c>
      <c r="C647" t="n">
        <v>0</v>
      </c>
      <c r="D647" t="n">
        <v>19</v>
      </c>
      <c r="E647" t="s">
        <v>658</v>
      </c>
      <c r="F647" t="s"/>
      <c r="G647" t="s"/>
      <c r="H647" t="s"/>
      <c r="I647" t="s"/>
      <c r="J647" t="n">
        <v>-0.6908</v>
      </c>
      <c r="K647" t="n">
        <v>0.231</v>
      </c>
      <c r="L647" t="n">
        <v>0.769</v>
      </c>
      <c r="M647" t="n">
        <v>0</v>
      </c>
    </row>
    <row r="648" spans="1:13">
      <c r="A648" s="1">
        <f>HYPERLINK("http://www.twitter.com/NathanBLawrence/status/994408533268549633", "994408533268549633")</f>
        <v/>
      </c>
      <c r="B648" s="2" t="n">
        <v>43230.11625</v>
      </c>
      <c r="C648" t="n">
        <v>0</v>
      </c>
      <c r="D648" t="n">
        <v>1</v>
      </c>
      <c r="E648" t="s">
        <v>659</v>
      </c>
      <c r="F648" t="s"/>
      <c r="G648" t="s"/>
      <c r="H648" t="s"/>
      <c r="I648" t="s"/>
      <c r="J648" t="n">
        <v>0</v>
      </c>
      <c r="K648" t="n">
        <v>0</v>
      </c>
      <c r="L648" t="n">
        <v>1</v>
      </c>
      <c r="M648" t="n">
        <v>0</v>
      </c>
    </row>
    <row r="649" spans="1:13">
      <c r="A649" s="1">
        <f>HYPERLINK("http://www.twitter.com/NathanBLawrence/status/994408080782905344", "994408080782905344")</f>
        <v/>
      </c>
      <c r="B649" s="2" t="n">
        <v>43230.115</v>
      </c>
      <c r="C649" t="n">
        <v>0</v>
      </c>
      <c r="D649" t="n">
        <v>1109</v>
      </c>
      <c r="E649" t="s">
        <v>660</v>
      </c>
      <c r="F649">
        <f>HYPERLINK("http://pbs.twimg.com/media/DczSholU0AEB18c.jpg", "http://pbs.twimg.com/media/DczSholU0AEB18c.jpg")</f>
        <v/>
      </c>
      <c r="G649" t="s"/>
      <c r="H649" t="s"/>
      <c r="I649" t="s"/>
      <c r="J649" t="n">
        <v>0</v>
      </c>
      <c r="K649" t="n">
        <v>0</v>
      </c>
      <c r="L649" t="n">
        <v>1</v>
      </c>
      <c r="M649" t="n">
        <v>0</v>
      </c>
    </row>
    <row r="650" spans="1:13">
      <c r="A650" s="1">
        <f>HYPERLINK("http://www.twitter.com/NathanBLawrence/status/994407613499674624", "994407613499674624")</f>
        <v/>
      </c>
      <c r="B650" s="2" t="n">
        <v>43230.1137037037</v>
      </c>
      <c r="C650" t="n">
        <v>0</v>
      </c>
      <c r="D650" t="n">
        <v>3</v>
      </c>
      <c r="E650" t="s">
        <v>661</v>
      </c>
      <c r="F650" t="s"/>
      <c r="G650" t="s"/>
      <c r="H650" t="s"/>
      <c r="I650" t="s"/>
      <c r="J650" t="n">
        <v>-0.5106000000000001</v>
      </c>
      <c r="K650" t="n">
        <v>0.171</v>
      </c>
      <c r="L650" t="n">
        <v>0.829</v>
      </c>
      <c r="M650" t="n">
        <v>0</v>
      </c>
    </row>
    <row r="651" spans="1:13">
      <c r="A651" s="1">
        <f>HYPERLINK("http://www.twitter.com/NathanBLawrence/status/994406756116828160", "994406756116828160")</f>
        <v/>
      </c>
      <c r="B651" s="2" t="n">
        <v>43230.11134259259</v>
      </c>
      <c r="C651" t="n">
        <v>0</v>
      </c>
      <c r="D651" t="n">
        <v>2804</v>
      </c>
      <c r="E651" t="s">
        <v>662</v>
      </c>
      <c r="F651" t="s"/>
      <c r="G651" t="s"/>
      <c r="H651" t="s"/>
      <c r="I651" t="s"/>
      <c r="J651" t="n">
        <v>0.2023</v>
      </c>
      <c r="K651" t="n">
        <v>0</v>
      </c>
      <c r="L651" t="n">
        <v>0.625</v>
      </c>
      <c r="M651" t="n">
        <v>0.375</v>
      </c>
    </row>
    <row r="652" spans="1:13">
      <c r="A652" s="1">
        <f>HYPERLINK("http://www.twitter.com/NathanBLawrence/status/994406637145337856", "994406637145337856")</f>
        <v/>
      </c>
      <c r="B652" s="2" t="n">
        <v>43230.11101851852</v>
      </c>
      <c r="C652" t="n">
        <v>0</v>
      </c>
      <c r="D652" t="n">
        <v>222</v>
      </c>
      <c r="E652" t="s">
        <v>663</v>
      </c>
      <c r="F652">
        <f>HYPERLINK("http://pbs.twimg.com/media/DczCJx-W0AAV1T6.jpg", "http://pbs.twimg.com/media/DczCJx-W0AAV1T6.jpg")</f>
        <v/>
      </c>
      <c r="G652" t="s"/>
      <c r="H652" t="s"/>
      <c r="I652" t="s"/>
      <c r="J652" t="n">
        <v>0</v>
      </c>
      <c r="K652" t="n">
        <v>0</v>
      </c>
      <c r="L652" t="n">
        <v>1</v>
      </c>
      <c r="M652" t="n">
        <v>0</v>
      </c>
    </row>
    <row r="653" spans="1:13">
      <c r="A653" s="1">
        <f>HYPERLINK("http://www.twitter.com/NathanBLawrence/status/994405123618230272", "994405123618230272")</f>
        <v/>
      </c>
      <c r="B653" s="2" t="n">
        <v>43230.10684027777</v>
      </c>
      <c r="C653" t="n">
        <v>0</v>
      </c>
      <c r="D653" t="n">
        <v>724</v>
      </c>
      <c r="E653" t="s">
        <v>664</v>
      </c>
      <c r="F653" t="s"/>
      <c r="G653" t="s"/>
      <c r="H653" t="s"/>
      <c r="I653" t="s"/>
      <c r="J653" t="n">
        <v>-0.2263</v>
      </c>
      <c r="K653" t="n">
        <v>0.073</v>
      </c>
      <c r="L653" t="n">
        <v>0.927</v>
      </c>
      <c r="M653" t="n">
        <v>0</v>
      </c>
    </row>
    <row r="654" spans="1:13">
      <c r="A654" s="1">
        <f>HYPERLINK("http://www.twitter.com/NathanBLawrence/status/994404914846724097", "994404914846724097")</f>
        <v/>
      </c>
      <c r="B654" s="2" t="n">
        <v>43230.10626157407</v>
      </c>
      <c r="C654" t="n">
        <v>0</v>
      </c>
      <c r="D654" t="n">
        <v>2</v>
      </c>
      <c r="E654" t="s">
        <v>665</v>
      </c>
      <c r="F654" t="s"/>
      <c r="G654" t="s"/>
      <c r="H654" t="s"/>
      <c r="I654" t="s"/>
      <c r="J654" t="n">
        <v>0.7297</v>
      </c>
      <c r="K654" t="n">
        <v>0</v>
      </c>
      <c r="L654" t="n">
        <v>0.746</v>
      </c>
      <c r="M654" t="n">
        <v>0.254</v>
      </c>
    </row>
    <row r="655" spans="1:13">
      <c r="A655" s="1">
        <f>HYPERLINK("http://www.twitter.com/NathanBLawrence/status/994404762966806529", "994404762966806529")</f>
        <v/>
      </c>
      <c r="B655" s="2" t="n">
        <v>43230.1058449074</v>
      </c>
      <c r="C655" t="n">
        <v>0</v>
      </c>
      <c r="D655" t="n">
        <v>349</v>
      </c>
      <c r="E655" t="s">
        <v>666</v>
      </c>
      <c r="F655">
        <f>HYPERLINK("http://pbs.twimg.com/media/DczKGh_XUAAigHz.jpg", "http://pbs.twimg.com/media/DczKGh_XUAAigHz.jpg")</f>
        <v/>
      </c>
      <c r="G655" t="s"/>
      <c r="H655" t="s"/>
      <c r="I655" t="s"/>
      <c r="J655" t="n">
        <v>-0.4648</v>
      </c>
      <c r="K655" t="n">
        <v>0.171</v>
      </c>
      <c r="L655" t="n">
        <v>0.728</v>
      </c>
      <c r="M655" t="n">
        <v>0.101</v>
      </c>
    </row>
    <row r="656" spans="1:13">
      <c r="A656" s="1">
        <f>HYPERLINK("http://www.twitter.com/NathanBLawrence/status/994404635145330689", "994404635145330689")</f>
        <v/>
      </c>
      <c r="B656" s="2" t="n">
        <v>43230.10548611111</v>
      </c>
      <c r="C656" t="n">
        <v>0</v>
      </c>
      <c r="D656" t="n">
        <v>1743</v>
      </c>
      <c r="E656" t="s">
        <v>667</v>
      </c>
      <c r="F656" t="s"/>
      <c r="G656" t="s"/>
      <c r="H656" t="s"/>
      <c r="I656" t="s"/>
      <c r="J656" t="n">
        <v>0.1779</v>
      </c>
      <c r="K656" t="n">
        <v>0.132</v>
      </c>
      <c r="L656" t="n">
        <v>0.678</v>
      </c>
      <c r="M656" t="n">
        <v>0.19</v>
      </c>
    </row>
    <row r="657" spans="1:13">
      <c r="A657" s="1">
        <f>HYPERLINK("http://www.twitter.com/NathanBLawrence/status/994404149474287616", "994404149474287616")</f>
        <v/>
      </c>
      <c r="B657" s="2" t="n">
        <v>43230.10415509259</v>
      </c>
      <c r="C657" t="n">
        <v>0</v>
      </c>
      <c r="D657" t="n">
        <v>9850</v>
      </c>
      <c r="E657" t="s">
        <v>668</v>
      </c>
      <c r="F657" t="s"/>
      <c r="G657" t="s"/>
      <c r="H657" t="s"/>
      <c r="I657" t="s"/>
      <c r="J657" t="n">
        <v>-0.5574</v>
      </c>
      <c r="K657" t="n">
        <v>0.204</v>
      </c>
      <c r="L657" t="n">
        <v>0.796</v>
      </c>
      <c r="M657" t="n">
        <v>0</v>
      </c>
    </row>
    <row r="658" spans="1:13">
      <c r="A658" s="1">
        <f>HYPERLINK("http://www.twitter.com/NathanBLawrence/status/994404070722015233", "994404070722015233")</f>
        <v/>
      </c>
      <c r="B658" s="2" t="n">
        <v>43230.10393518519</v>
      </c>
      <c r="C658" t="n">
        <v>0</v>
      </c>
      <c r="D658" t="n">
        <v>424</v>
      </c>
      <c r="E658" t="s">
        <v>669</v>
      </c>
      <c r="F658">
        <f>HYPERLINK("http://pbs.twimg.com/media/DczQ7eOX4AEQwXs.jpg", "http://pbs.twimg.com/media/DczQ7eOX4AEQwXs.jpg")</f>
        <v/>
      </c>
      <c r="G658" t="s"/>
      <c r="H658" t="s"/>
      <c r="I658" t="s"/>
      <c r="J658" t="n">
        <v>0</v>
      </c>
      <c r="K658" t="n">
        <v>0</v>
      </c>
      <c r="L658" t="n">
        <v>1</v>
      </c>
      <c r="M658" t="n">
        <v>0</v>
      </c>
    </row>
    <row r="659" spans="1:13">
      <c r="A659" s="1">
        <f>HYPERLINK("http://www.twitter.com/NathanBLawrence/status/994403845693419521", "994403845693419521")</f>
        <v/>
      </c>
      <c r="B659" s="2" t="n">
        <v>43230.10331018519</v>
      </c>
      <c r="C659" t="n">
        <v>0</v>
      </c>
      <c r="D659" t="n">
        <v>2339</v>
      </c>
      <c r="E659" t="s">
        <v>670</v>
      </c>
      <c r="F659">
        <f>HYPERLINK("http://pbs.twimg.com/media/DcycU1OWAAAh2J1.jpg", "http://pbs.twimg.com/media/DcycU1OWAAAh2J1.jpg")</f>
        <v/>
      </c>
      <c r="G659" t="s"/>
      <c r="H659" t="s"/>
      <c r="I659" t="s"/>
      <c r="J659" t="n">
        <v>0.9705</v>
      </c>
      <c r="K659" t="n">
        <v>0</v>
      </c>
      <c r="L659" t="n">
        <v>0.399</v>
      </c>
      <c r="M659" t="n">
        <v>0.601</v>
      </c>
    </row>
    <row r="660" spans="1:13">
      <c r="A660" s="1">
        <f>HYPERLINK("http://www.twitter.com/NathanBLawrence/status/994403627988144128", "994403627988144128")</f>
        <v/>
      </c>
      <c r="B660" s="2" t="n">
        <v>43230.10270833333</v>
      </c>
      <c r="C660" t="n">
        <v>0</v>
      </c>
      <c r="D660" t="n">
        <v>4</v>
      </c>
      <c r="E660" t="s">
        <v>671</v>
      </c>
      <c r="F660" t="s"/>
      <c r="G660" t="s"/>
      <c r="H660" t="s"/>
      <c r="I660" t="s"/>
      <c r="J660" t="n">
        <v>0.6562</v>
      </c>
      <c r="K660" t="n">
        <v>0</v>
      </c>
      <c r="L660" t="n">
        <v>0.821</v>
      </c>
      <c r="M660" t="n">
        <v>0.179</v>
      </c>
    </row>
    <row r="661" spans="1:13">
      <c r="A661" s="1">
        <f>HYPERLINK("http://www.twitter.com/NathanBLawrence/status/994402789676679174", "994402789676679174")</f>
        <v/>
      </c>
      <c r="B661" s="2" t="n">
        <v>43230.10039351852</v>
      </c>
      <c r="C661" t="n">
        <v>0</v>
      </c>
      <c r="D661" t="n">
        <v>7</v>
      </c>
      <c r="E661" t="s">
        <v>672</v>
      </c>
      <c r="F661" t="s"/>
      <c r="G661" t="s"/>
      <c r="H661" t="s"/>
      <c r="I661" t="s"/>
      <c r="J661" t="n">
        <v>0</v>
      </c>
      <c r="K661" t="n">
        <v>0</v>
      </c>
      <c r="L661" t="n">
        <v>1</v>
      </c>
      <c r="M661" t="n">
        <v>0</v>
      </c>
    </row>
    <row r="662" spans="1:13">
      <c r="A662" s="1">
        <f>HYPERLINK("http://www.twitter.com/NathanBLawrence/status/994402644637741057", "994402644637741057")</f>
        <v/>
      </c>
      <c r="B662" s="2" t="n">
        <v>43230.1</v>
      </c>
      <c r="C662" t="n">
        <v>0</v>
      </c>
      <c r="D662" t="n">
        <v>513</v>
      </c>
      <c r="E662" t="s">
        <v>673</v>
      </c>
      <c r="F662">
        <f>HYPERLINK("http://pbs.twimg.com/media/DczEukeVQAAMS0r.jpg", "http://pbs.twimg.com/media/DczEukeVQAAMS0r.jpg")</f>
        <v/>
      </c>
      <c r="G662" t="s"/>
      <c r="H662" t="s"/>
      <c r="I662" t="s"/>
      <c r="J662" t="n">
        <v>0</v>
      </c>
      <c r="K662" t="n">
        <v>0</v>
      </c>
      <c r="L662" t="n">
        <v>1</v>
      </c>
      <c r="M662" t="n">
        <v>0</v>
      </c>
    </row>
    <row r="663" spans="1:13">
      <c r="A663" s="1">
        <f>HYPERLINK("http://www.twitter.com/NathanBLawrence/status/994402489029062660", "994402489029062660")</f>
        <v/>
      </c>
      <c r="B663" s="2" t="n">
        <v>43230.09957175926</v>
      </c>
      <c r="C663" t="n">
        <v>0</v>
      </c>
      <c r="D663" t="n">
        <v>577</v>
      </c>
      <c r="E663" t="s">
        <v>674</v>
      </c>
      <c r="F663" t="s"/>
      <c r="G663" t="s"/>
      <c r="H663" t="s"/>
      <c r="I663" t="s"/>
      <c r="J663" t="n">
        <v>0.8481</v>
      </c>
      <c r="K663" t="n">
        <v>0</v>
      </c>
      <c r="L663" t="n">
        <v>0.594</v>
      </c>
      <c r="M663" t="n">
        <v>0.406</v>
      </c>
    </row>
    <row r="664" spans="1:13">
      <c r="A664" s="1">
        <f>HYPERLINK("http://www.twitter.com/NathanBLawrence/status/994401264543952897", "994401264543952897")</f>
        <v/>
      </c>
      <c r="B664" s="2" t="n">
        <v>43230.09619212963</v>
      </c>
      <c r="C664" t="n">
        <v>0</v>
      </c>
      <c r="D664" t="n">
        <v>843</v>
      </c>
      <c r="E664" t="s">
        <v>675</v>
      </c>
      <c r="F664" t="s"/>
      <c r="G664" t="s"/>
      <c r="H664" t="s"/>
      <c r="I664" t="s"/>
      <c r="J664" t="n">
        <v>0.4199</v>
      </c>
      <c r="K664" t="n">
        <v>0</v>
      </c>
      <c r="L664" t="n">
        <v>0.866</v>
      </c>
      <c r="M664" t="n">
        <v>0.134</v>
      </c>
    </row>
    <row r="665" spans="1:13">
      <c r="A665" s="1">
        <f>HYPERLINK("http://www.twitter.com/NathanBLawrence/status/994400852151595008", "994400852151595008")</f>
        <v/>
      </c>
      <c r="B665" s="2" t="n">
        <v>43230.09504629629</v>
      </c>
      <c r="C665" t="n">
        <v>0</v>
      </c>
      <c r="D665" t="n">
        <v>2688</v>
      </c>
      <c r="E665" t="s">
        <v>676</v>
      </c>
      <c r="F665">
        <f>HYPERLINK("http://pbs.twimg.com/media/DczKYCtUQAAq0Pv.jpg", "http://pbs.twimg.com/media/DczKYCtUQAAq0Pv.jpg")</f>
        <v/>
      </c>
      <c r="G665" t="s"/>
      <c r="H665" t="s"/>
      <c r="I665" t="s"/>
      <c r="J665" t="n">
        <v>0</v>
      </c>
      <c r="K665" t="n">
        <v>0</v>
      </c>
      <c r="L665" t="n">
        <v>1</v>
      </c>
      <c r="M665" t="n">
        <v>0</v>
      </c>
    </row>
    <row r="666" spans="1:13">
      <c r="A666" s="1">
        <f>HYPERLINK("http://www.twitter.com/NathanBLawrence/status/994400303880564737", "994400303880564737")</f>
        <v/>
      </c>
      <c r="B666" s="2" t="n">
        <v>43230.09354166667</v>
      </c>
      <c r="C666" t="n">
        <v>0</v>
      </c>
      <c r="D666" t="n">
        <v>515</v>
      </c>
      <c r="E666" t="s">
        <v>677</v>
      </c>
      <c r="F666">
        <f>HYPERLINK("https://video.twimg.com/amplify_video/994387817492025344/vid/1280x720/uhFaell8eF1-1Ux4.mp4?tag=2", "https://video.twimg.com/amplify_video/994387817492025344/vid/1280x720/uhFaell8eF1-1Ux4.mp4?tag=2")</f>
        <v/>
      </c>
      <c r="G666" t="s"/>
      <c r="H666" t="s"/>
      <c r="I666" t="s"/>
      <c r="J666" t="n">
        <v>0.7506</v>
      </c>
      <c r="K666" t="n">
        <v>0</v>
      </c>
      <c r="L666" t="n">
        <v>0.766</v>
      </c>
      <c r="M666" t="n">
        <v>0.234</v>
      </c>
    </row>
    <row r="667" spans="1:13">
      <c r="A667" s="1">
        <f>HYPERLINK("http://www.twitter.com/NathanBLawrence/status/994400239292485637", "994400239292485637")</f>
        <v/>
      </c>
      <c r="B667" s="2" t="n">
        <v>43230.09335648148</v>
      </c>
      <c r="C667" t="n">
        <v>0</v>
      </c>
      <c r="D667" t="n">
        <v>482</v>
      </c>
      <c r="E667" t="s">
        <v>678</v>
      </c>
      <c r="F667" t="s"/>
      <c r="G667" t="s"/>
      <c r="H667" t="s"/>
      <c r="I667" t="s"/>
      <c r="J667" t="n">
        <v>0</v>
      </c>
      <c r="K667" t="n">
        <v>0</v>
      </c>
      <c r="L667" t="n">
        <v>1</v>
      </c>
      <c r="M667" t="n">
        <v>0</v>
      </c>
    </row>
    <row r="668" spans="1:13">
      <c r="A668" s="1">
        <f>HYPERLINK("http://www.twitter.com/NathanBLawrence/status/994400117917716480", "994400117917716480")</f>
        <v/>
      </c>
      <c r="B668" s="2" t="n">
        <v>43230.09302083333</v>
      </c>
      <c r="C668" t="n">
        <v>0</v>
      </c>
      <c r="D668" t="n">
        <v>4852</v>
      </c>
      <c r="E668" t="s">
        <v>679</v>
      </c>
      <c r="F668">
        <f>HYPERLINK("http://pbs.twimg.com/media/Dcyu7B_XUAImXJ9.jpg", "http://pbs.twimg.com/media/Dcyu7B_XUAImXJ9.jpg")</f>
        <v/>
      </c>
      <c r="G668" t="s"/>
      <c r="H668" t="s"/>
      <c r="I668" t="s"/>
      <c r="J668" t="n">
        <v>0.4019</v>
      </c>
      <c r="K668" t="n">
        <v>0</v>
      </c>
      <c r="L668" t="n">
        <v>0.863</v>
      </c>
      <c r="M668" t="n">
        <v>0.137</v>
      </c>
    </row>
    <row r="669" spans="1:13">
      <c r="A669" s="1">
        <f>HYPERLINK("http://www.twitter.com/NathanBLawrence/status/994392077407604736", "994392077407604736")</f>
        <v/>
      </c>
      <c r="B669" s="2" t="n">
        <v>43230.07083333333</v>
      </c>
      <c r="C669" t="n">
        <v>0</v>
      </c>
      <c r="D669" t="n">
        <v>8300</v>
      </c>
      <c r="E669" t="s">
        <v>680</v>
      </c>
      <c r="F669">
        <f>HYPERLINK("http://pbs.twimg.com/media/DcycWyvXUAAHYI7.jpg", "http://pbs.twimg.com/media/DcycWyvXUAAHYI7.jpg")</f>
        <v/>
      </c>
      <c r="G669">
        <f>HYPERLINK("http://pbs.twimg.com/media/DcycWyxWAAAhhMx.jpg", "http://pbs.twimg.com/media/DcycWyxWAAAhhMx.jpg")</f>
        <v/>
      </c>
      <c r="H669">
        <f>HYPERLINK("http://pbs.twimg.com/media/DcycWywW0AABc0q.jpg", "http://pbs.twimg.com/media/DcycWywW0AABc0q.jpg")</f>
        <v/>
      </c>
      <c r="I669" t="s"/>
      <c r="J669" t="n">
        <v>0.7845</v>
      </c>
      <c r="K669" t="n">
        <v>0</v>
      </c>
      <c r="L669" t="n">
        <v>0.734</v>
      </c>
      <c r="M669" t="n">
        <v>0.266</v>
      </c>
    </row>
    <row r="670" spans="1:13">
      <c r="A670" s="1">
        <f>HYPERLINK("http://www.twitter.com/NathanBLawrence/status/994391766538301440", "994391766538301440")</f>
        <v/>
      </c>
      <c r="B670" s="2" t="n">
        <v>43230.06997685185</v>
      </c>
      <c r="C670" t="n">
        <v>0</v>
      </c>
      <c r="D670" t="n">
        <v>425</v>
      </c>
      <c r="E670" t="s">
        <v>681</v>
      </c>
      <c r="F670">
        <f>HYPERLINK("https://video.twimg.com/ext_tw_video/994358031637925889/pu/vid/1280x720/oG2EaSvwGv34DTEB.mp4?tag=3", "https://video.twimg.com/ext_tw_video/994358031637925889/pu/vid/1280x720/oG2EaSvwGv34DTEB.mp4?tag=3")</f>
        <v/>
      </c>
      <c r="G670" t="s"/>
      <c r="H670" t="s"/>
      <c r="I670" t="s"/>
      <c r="J670" t="n">
        <v>0.8225</v>
      </c>
      <c r="K670" t="n">
        <v>0</v>
      </c>
      <c r="L670" t="n">
        <v>0.677</v>
      </c>
      <c r="M670" t="n">
        <v>0.323</v>
      </c>
    </row>
    <row r="671" spans="1:13">
      <c r="A671" s="1">
        <f>HYPERLINK("http://www.twitter.com/NathanBLawrence/status/994389504546000896", "994389504546000896")</f>
        <v/>
      </c>
      <c r="B671" s="2" t="n">
        <v>43230.06373842592</v>
      </c>
      <c r="C671" t="n">
        <v>0</v>
      </c>
      <c r="D671" t="n">
        <v>164</v>
      </c>
      <c r="E671" t="s">
        <v>682</v>
      </c>
      <c r="F671" t="s"/>
      <c r="G671" t="s"/>
      <c r="H671" t="s"/>
      <c r="I671" t="s"/>
      <c r="J671" t="n">
        <v>-0.4939</v>
      </c>
      <c r="K671" t="n">
        <v>0.118</v>
      </c>
      <c r="L671" t="n">
        <v>0.882</v>
      </c>
      <c r="M671" t="n">
        <v>0</v>
      </c>
    </row>
    <row r="672" spans="1:13">
      <c r="A672" s="1">
        <f>HYPERLINK("http://www.twitter.com/NathanBLawrence/status/994389309946986496", "994389309946986496")</f>
        <v/>
      </c>
      <c r="B672" s="2" t="n">
        <v>43230.06320601852</v>
      </c>
      <c r="C672" t="n">
        <v>0</v>
      </c>
      <c r="D672" t="n">
        <v>450</v>
      </c>
      <c r="E672" t="s">
        <v>683</v>
      </c>
      <c r="F672" t="s"/>
      <c r="G672" t="s"/>
      <c r="H672" t="s"/>
      <c r="I672" t="s"/>
      <c r="J672" t="n">
        <v>-0.6115</v>
      </c>
      <c r="K672" t="n">
        <v>0.174</v>
      </c>
      <c r="L672" t="n">
        <v>0.826</v>
      </c>
      <c r="M672" t="n">
        <v>0</v>
      </c>
    </row>
    <row r="673" spans="1:13">
      <c r="A673" s="1">
        <f>HYPERLINK("http://www.twitter.com/NathanBLawrence/status/994387710113730560", "994387710113730560")</f>
        <v/>
      </c>
      <c r="B673" s="2" t="n">
        <v>43230.05878472222</v>
      </c>
      <c r="C673" t="n">
        <v>0</v>
      </c>
      <c r="D673" t="n">
        <v>169</v>
      </c>
      <c r="E673" t="s">
        <v>684</v>
      </c>
      <c r="F673" t="s"/>
      <c r="G673" t="s"/>
      <c r="H673" t="s"/>
      <c r="I673" t="s"/>
      <c r="J673" t="n">
        <v>0.6114000000000001</v>
      </c>
      <c r="K673" t="n">
        <v>0.112</v>
      </c>
      <c r="L673" t="n">
        <v>0.642</v>
      </c>
      <c r="M673" t="n">
        <v>0.246</v>
      </c>
    </row>
    <row r="674" spans="1:13">
      <c r="A674" s="1">
        <f>HYPERLINK("http://www.twitter.com/NathanBLawrence/status/994387512121585665", "994387512121585665")</f>
        <v/>
      </c>
      <c r="B674" s="2" t="n">
        <v>43230.05824074074</v>
      </c>
      <c r="C674" t="n">
        <v>0</v>
      </c>
      <c r="D674" t="n">
        <v>233</v>
      </c>
      <c r="E674" t="s">
        <v>685</v>
      </c>
      <c r="F674" t="s"/>
      <c r="G674" t="s"/>
      <c r="H674" t="s"/>
      <c r="I674" t="s"/>
      <c r="J674" t="n">
        <v>0</v>
      </c>
      <c r="K674" t="n">
        <v>0</v>
      </c>
      <c r="L674" t="n">
        <v>1</v>
      </c>
      <c r="M674" t="n">
        <v>0</v>
      </c>
    </row>
    <row r="675" spans="1:13">
      <c r="A675" s="1">
        <f>HYPERLINK("http://www.twitter.com/NathanBLawrence/status/994387431133720578", "994387431133720578")</f>
        <v/>
      </c>
      <c r="B675" s="2" t="n">
        <v>43230.05802083333</v>
      </c>
      <c r="C675" t="n">
        <v>0</v>
      </c>
      <c r="D675" t="n">
        <v>26330</v>
      </c>
      <c r="E675" t="s">
        <v>686</v>
      </c>
      <c r="F675" t="s"/>
      <c r="G675" t="s"/>
      <c r="H675" t="s"/>
      <c r="I675" t="s"/>
      <c r="J675" t="n">
        <v>-0.8331</v>
      </c>
      <c r="K675" t="n">
        <v>0.306</v>
      </c>
      <c r="L675" t="n">
        <v>0.694</v>
      </c>
      <c r="M675" t="n">
        <v>0</v>
      </c>
    </row>
    <row r="676" spans="1:13">
      <c r="A676" s="1">
        <f>HYPERLINK("http://www.twitter.com/NathanBLawrence/status/994386969827446784", "994386969827446784")</f>
        <v/>
      </c>
      <c r="B676" s="2" t="n">
        <v>43230.05674768519</v>
      </c>
      <c r="C676" t="n">
        <v>0</v>
      </c>
      <c r="D676" t="n">
        <v>239</v>
      </c>
      <c r="E676" t="s">
        <v>687</v>
      </c>
      <c r="F676" t="s"/>
      <c r="G676" t="s"/>
      <c r="H676" t="s"/>
      <c r="I676" t="s"/>
      <c r="J676" t="n">
        <v>0.4215</v>
      </c>
      <c r="K676" t="n">
        <v>0</v>
      </c>
      <c r="L676" t="n">
        <v>0.517</v>
      </c>
      <c r="M676" t="n">
        <v>0.483</v>
      </c>
    </row>
    <row r="677" spans="1:13">
      <c r="A677" s="1">
        <f>HYPERLINK("http://www.twitter.com/NathanBLawrence/status/994386751694299136", "994386751694299136")</f>
        <v/>
      </c>
      <c r="B677" s="2" t="n">
        <v>43230.05614583333</v>
      </c>
      <c r="C677" t="n">
        <v>0</v>
      </c>
      <c r="D677" t="n">
        <v>61</v>
      </c>
      <c r="E677" t="s">
        <v>688</v>
      </c>
      <c r="F677" t="s"/>
      <c r="G677" t="s"/>
      <c r="H677" t="s"/>
      <c r="I677" t="s"/>
      <c r="J677" t="n">
        <v>0.2023</v>
      </c>
      <c r="K677" t="n">
        <v>0</v>
      </c>
      <c r="L677" t="n">
        <v>0.924</v>
      </c>
      <c r="M677" t="n">
        <v>0.076</v>
      </c>
    </row>
    <row r="678" spans="1:13">
      <c r="A678" s="1">
        <f>HYPERLINK("http://www.twitter.com/NathanBLawrence/status/994385866293432320", "994385866293432320")</f>
        <v/>
      </c>
      <c r="B678" s="2" t="n">
        <v>43230.05369212963</v>
      </c>
      <c r="C678" t="n">
        <v>0</v>
      </c>
      <c r="D678" t="n">
        <v>122</v>
      </c>
      <c r="E678" t="s">
        <v>689</v>
      </c>
      <c r="F678" t="s"/>
      <c r="G678" t="s"/>
      <c r="H678" t="s"/>
      <c r="I678" t="s"/>
      <c r="J678" t="n">
        <v>0</v>
      </c>
      <c r="K678" t="n">
        <v>0.096</v>
      </c>
      <c r="L678" t="n">
        <v>0.8080000000000001</v>
      </c>
      <c r="M678" t="n">
        <v>0.096</v>
      </c>
    </row>
    <row r="679" spans="1:13">
      <c r="A679" s="1">
        <f>HYPERLINK("http://www.twitter.com/NathanBLawrence/status/994385301341696001", "994385301341696001")</f>
        <v/>
      </c>
      <c r="B679" s="2" t="n">
        <v>43230.05214120371</v>
      </c>
      <c r="C679" t="n">
        <v>0</v>
      </c>
      <c r="D679" t="n">
        <v>1048</v>
      </c>
      <c r="E679" t="s">
        <v>690</v>
      </c>
      <c r="F679">
        <f>HYPERLINK("http://pbs.twimg.com/media/Dcy86KTWsAAUCkF.jpg", "http://pbs.twimg.com/media/Dcy86KTWsAAUCkF.jpg")</f>
        <v/>
      </c>
      <c r="G679">
        <f>HYPERLINK("http://pbs.twimg.com/media/Dcy86KSXkAEKXIF.jpg", "http://pbs.twimg.com/media/Dcy86KSXkAEKXIF.jpg")</f>
        <v/>
      </c>
      <c r="H679">
        <f>HYPERLINK("http://pbs.twimg.com/media/Dcy86KSX4AAq6wd.jpg", "http://pbs.twimg.com/media/Dcy86KSX4AAq6wd.jpg")</f>
        <v/>
      </c>
      <c r="I679" t="s"/>
      <c r="J679" t="n">
        <v>0.802</v>
      </c>
      <c r="K679" t="n">
        <v>0</v>
      </c>
      <c r="L679" t="n">
        <v>0.745</v>
      </c>
      <c r="M679" t="n">
        <v>0.255</v>
      </c>
    </row>
    <row r="680" spans="1:13">
      <c r="A680" s="1">
        <f>HYPERLINK("http://www.twitter.com/NathanBLawrence/status/994384891126124544", "994384891126124544")</f>
        <v/>
      </c>
      <c r="B680" s="2" t="n">
        <v>43230.05100694444</v>
      </c>
      <c r="C680" t="n">
        <v>0</v>
      </c>
      <c r="D680" t="n">
        <v>18379</v>
      </c>
      <c r="E680" t="s">
        <v>691</v>
      </c>
      <c r="F680" t="s"/>
      <c r="G680" t="s"/>
      <c r="H680" t="s"/>
      <c r="I680" t="s"/>
      <c r="J680" t="n">
        <v>0.3818</v>
      </c>
      <c r="K680" t="n">
        <v>0</v>
      </c>
      <c r="L680" t="n">
        <v>0.822</v>
      </c>
      <c r="M680" t="n">
        <v>0.178</v>
      </c>
    </row>
    <row r="681" spans="1:13">
      <c r="A681" s="1">
        <f>HYPERLINK("http://www.twitter.com/NathanBLawrence/status/994384237632598024", "994384237632598024")</f>
        <v/>
      </c>
      <c r="B681" s="2" t="n">
        <v>43230.04920138889</v>
      </c>
      <c r="C681" t="n">
        <v>0</v>
      </c>
      <c r="D681" t="n">
        <v>2334</v>
      </c>
      <c r="E681" t="s">
        <v>692</v>
      </c>
      <c r="F681" t="s"/>
      <c r="G681" t="s"/>
      <c r="H681" t="s"/>
      <c r="I681" t="s"/>
      <c r="J681" t="n">
        <v>0.5538</v>
      </c>
      <c r="K681" t="n">
        <v>0</v>
      </c>
      <c r="L681" t="n">
        <v>0.875</v>
      </c>
      <c r="M681" t="n">
        <v>0.125</v>
      </c>
    </row>
    <row r="682" spans="1:13">
      <c r="A682" s="1">
        <f>HYPERLINK("http://www.twitter.com/NathanBLawrence/status/994384178656563200", "994384178656563200")</f>
        <v/>
      </c>
      <c r="B682" s="2" t="n">
        <v>43230.04903935185</v>
      </c>
      <c r="C682" t="n">
        <v>0</v>
      </c>
      <c r="D682" t="n">
        <v>350</v>
      </c>
      <c r="E682" t="s">
        <v>693</v>
      </c>
      <c r="F682">
        <f>HYPERLINK("http://pbs.twimg.com/media/Dcypht6UQAAYXA0.jpg", "http://pbs.twimg.com/media/Dcypht6UQAAYXA0.jpg")</f>
        <v/>
      </c>
      <c r="G682" t="s"/>
      <c r="H682" t="s"/>
      <c r="I682" t="s"/>
      <c r="J682" t="n">
        <v>0.4767</v>
      </c>
      <c r="K682" t="n">
        <v>0</v>
      </c>
      <c r="L682" t="n">
        <v>0.853</v>
      </c>
      <c r="M682" t="n">
        <v>0.147</v>
      </c>
    </row>
    <row r="683" spans="1:13">
      <c r="A683" s="1">
        <f>HYPERLINK("http://www.twitter.com/NathanBLawrence/status/994383991733215232", "994383991733215232")</f>
        <v/>
      </c>
      <c r="B683" s="2" t="n">
        <v>43230.04853009259</v>
      </c>
      <c r="C683" t="n">
        <v>0</v>
      </c>
      <c r="D683" t="n">
        <v>96</v>
      </c>
      <c r="E683" t="s">
        <v>694</v>
      </c>
      <c r="F683" t="s"/>
      <c r="G683" t="s"/>
      <c r="H683" t="s"/>
      <c r="I683" t="s"/>
      <c r="J683" t="n">
        <v>-0.2584</v>
      </c>
      <c r="K683" t="n">
        <v>0.092</v>
      </c>
      <c r="L683" t="n">
        <v>0.908</v>
      </c>
      <c r="M683" t="n">
        <v>0</v>
      </c>
    </row>
    <row r="684" spans="1:13">
      <c r="A684" s="1">
        <f>HYPERLINK("http://www.twitter.com/NathanBLawrence/status/994383857158893568", "994383857158893568")</f>
        <v/>
      </c>
      <c r="B684" s="2" t="n">
        <v>43230.04814814815</v>
      </c>
      <c r="C684" t="n">
        <v>0</v>
      </c>
      <c r="D684" t="n">
        <v>497</v>
      </c>
      <c r="E684" t="s">
        <v>695</v>
      </c>
      <c r="F684">
        <f>HYPERLINK("http://pbs.twimg.com/media/DcyuG2_VAAAvuwu.jpg", "http://pbs.twimg.com/media/DcyuG2_VAAAvuwu.jpg")</f>
        <v/>
      </c>
      <c r="G684" t="s"/>
      <c r="H684" t="s"/>
      <c r="I684" t="s"/>
      <c r="J684" t="n">
        <v>0.5266999999999999</v>
      </c>
      <c r="K684" t="n">
        <v>0</v>
      </c>
      <c r="L684" t="n">
        <v>0.8149999999999999</v>
      </c>
      <c r="M684" t="n">
        <v>0.185</v>
      </c>
    </row>
    <row r="685" spans="1:13">
      <c r="A685" s="1">
        <f>HYPERLINK("http://www.twitter.com/NathanBLawrence/status/994383803337596928", "994383803337596928")</f>
        <v/>
      </c>
      <c r="B685" s="2" t="n">
        <v>43230.04800925926</v>
      </c>
      <c r="C685" t="n">
        <v>0</v>
      </c>
      <c r="D685" t="n">
        <v>937</v>
      </c>
      <c r="E685" t="s">
        <v>696</v>
      </c>
      <c r="F685" t="s"/>
      <c r="G685" t="s"/>
      <c r="H685" t="s"/>
      <c r="I685" t="s"/>
      <c r="J685" t="n">
        <v>0.4559</v>
      </c>
      <c r="K685" t="n">
        <v>0</v>
      </c>
      <c r="L685" t="n">
        <v>0.87</v>
      </c>
      <c r="M685" t="n">
        <v>0.13</v>
      </c>
    </row>
    <row r="686" spans="1:13">
      <c r="A686" s="1">
        <f>HYPERLINK("http://www.twitter.com/NathanBLawrence/status/994383646390931460", "994383646390931460")</f>
        <v/>
      </c>
      <c r="B686" s="2" t="n">
        <v>43230.04756944445</v>
      </c>
      <c r="C686" t="n">
        <v>0</v>
      </c>
      <c r="D686" t="n">
        <v>483</v>
      </c>
      <c r="E686" t="s">
        <v>697</v>
      </c>
      <c r="F686">
        <f>HYPERLINK("http://pbs.twimg.com/media/DcyhuIzVwAAqwKL.jpg", "http://pbs.twimg.com/media/DcyhuIzVwAAqwKL.jpg")</f>
        <v/>
      </c>
      <c r="G686" t="s"/>
      <c r="H686" t="s"/>
      <c r="I686" t="s"/>
      <c r="J686" t="n">
        <v>0.6808</v>
      </c>
      <c r="K686" t="n">
        <v>0.078</v>
      </c>
      <c r="L686" t="n">
        <v>0.656</v>
      </c>
      <c r="M686" t="n">
        <v>0.266</v>
      </c>
    </row>
    <row r="687" spans="1:13">
      <c r="A687" s="1">
        <f>HYPERLINK("http://www.twitter.com/NathanBLawrence/status/994382973951717376", "994382973951717376")</f>
        <v/>
      </c>
      <c r="B687" s="2" t="n">
        <v>43230.04571759259</v>
      </c>
      <c r="C687" t="n">
        <v>0</v>
      </c>
      <c r="D687" t="n">
        <v>394</v>
      </c>
      <c r="E687" t="s">
        <v>698</v>
      </c>
      <c r="F687" t="s"/>
      <c r="G687" t="s"/>
      <c r="H687" t="s"/>
      <c r="I687" t="s"/>
      <c r="J687" t="n">
        <v>0</v>
      </c>
      <c r="K687" t="n">
        <v>0</v>
      </c>
      <c r="L687" t="n">
        <v>1</v>
      </c>
      <c r="M687" t="n">
        <v>0</v>
      </c>
    </row>
    <row r="688" spans="1:13">
      <c r="A688" s="1">
        <f>HYPERLINK("http://www.twitter.com/NathanBLawrence/status/994382931123728384", "994382931123728384")</f>
        <v/>
      </c>
      <c r="B688" s="2" t="n">
        <v>43230.04560185185</v>
      </c>
      <c r="C688" t="n">
        <v>0</v>
      </c>
      <c r="D688" t="n">
        <v>1113</v>
      </c>
      <c r="E688" t="s">
        <v>699</v>
      </c>
      <c r="F688">
        <f>HYPERLINK("http://pbs.twimg.com/media/DcyhwAXVwAEHlOi.jpg", "http://pbs.twimg.com/media/DcyhwAXVwAEHlOi.jpg")</f>
        <v/>
      </c>
      <c r="G688" t="s"/>
      <c r="H688" t="s"/>
      <c r="I688" t="s"/>
      <c r="J688" t="n">
        <v>0.6696</v>
      </c>
      <c r="K688" t="n">
        <v>0</v>
      </c>
      <c r="L688" t="n">
        <v>0.743</v>
      </c>
      <c r="M688" t="n">
        <v>0.257</v>
      </c>
    </row>
    <row r="689" spans="1:13">
      <c r="A689" s="1">
        <f>HYPERLINK("http://www.twitter.com/NathanBLawrence/status/994382255140286464", "994382255140286464")</f>
        <v/>
      </c>
      <c r="B689" s="2" t="n">
        <v>43230.04373842593</v>
      </c>
      <c r="C689" t="n">
        <v>0</v>
      </c>
      <c r="D689" t="n">
        <v>1</v>
      </c>
      <c r="E689" t="s">
        <v>700</v>
      </c>
      <c r="F689" t="s"/>
      <c r="G689" t="s"/>
      <c r="H689" t="s"/>
      <c r="I689" t="s"/>
      <c r="J689" t="n">
        <v>0</v>
      </c>
      <c r="K689" t="n">
        <v>0</v>
      </c>
      <c r="L689" t="n">
        <v>1</v>
      </c>
      <c r="M689" t="n">
        <v>0</v>
      </c>
    </row>
    <row r="690" spans="1:13">
      <c r="A690" s="1">
        <f>HYPERLINK("http://www.twitter.com/NathanBLawrence/status/994335184102350849", "994335184102350849")</f>
        <v/>
      </c>
      <c r="B690" s="2" t="n">
        <v>43229.91384259259</v>
      </c>
      <c r="C690" t="n">
        <v>0</v>
      </c>
      <c r="D690" t="n">
        <v>1741</v>
      </c>
      <c r="E690" t="s">
        <v>701</v>
      </c>
      <c r="F690" t="s"/>
      <c r="G690" t="s"/>
      <c r="H690" t="s"/>
      <c r="I690" t="s"/>
      <c r="J690" t="n">
        <v>0</v>
      </c>
      <c r="K690" t="n">
        <v>0</v>
      </c>
      <c r="L690" t="n">
        <v>1</v>
      </c>
      <c r="M690" t="n">
        <v>0</v>
      </c>
    </row>
    <row r="691" spans="1:13">
      <c r="A691" s="1">
        <f>HYPERLINK("http://www.twitter.com/NathanBLawrence/status/994335079311831041", "994335079311831041")</f>
        <v/>
      </c>
      <c r="B691" s="2" t="n">
        <v>43229.91355324074</v>
      </c>
      <c r="C691" t="n">
        <v>0</v>
      </c>
      <c r="D691" t="n">
        <v>507</v>
      </c>
      <c r="E691" t="s">
        <v>702</v>
      </c>
      <c r="F691" t="s"/>
      <c r="G691" t="s"/>
      <c r="H691" t="s"/>
      <c r="I691" t="s"/>
      <c r="J691" t="n">
        <v>0</v>
      </c>
      <c r="K691" t="n">
        <v>0</v>
      </c>
      <c r="L691" t="n">
        <v>1</v>
      </c>
      <c r="M691" t="n">
        <v>0</v>
      </c>
    </row>
    <row r="692" spans="1:13">
      <c r="A692" s="1">
        <f>HYPERLINK("http://www.twitter.com/NathanBLawrence/status/994334597562413056", "994334597562413056")</f>
        <v/>
      </c>
      <c r="B692" s="2" t="n">
        <v>43229.91222222222</v>
      </c>
      <c r="C692" t="n">
        <v>0</v>
      </c>
      <c r="D692" t="n">
        <v>1307</v>
      </c>
      <c r="E692" t="s">
        <v>703</v>
      </c>
      <c r="F692" t="s"/>
      <c r="G692" t="s"/>
      <c r="H692" t="s"/>
      <c r="I692" t="s"/>
      <c r="J692" t="n">
        <v>0.7184</v>
      </c>
      <c r="K692" t="n">
        <v>0</v>
      </c>
      <c r="L692" t="n">
        <v>0.696</v>
      </c>
      <c r="M692" t="n">
        <v>0.304</v>
      </c>
    </row>
    <row r="693" spans="1:13">
      <c r="A693" s="1">
        <f>HYPERLINK("http://www.twitter.com/NathanBLawrence/status/994334475801825280", "994334475801825280")</f>
        <v/>
      </c>
      <c r="B693" s="2" t="n">
        <v>43229.91188657407</v>
      </c>
      <c r="C693" t="n">
        <v>0</v>
      </c>
      <c r="D693" t="n">
        <v>250</v>
      </c>
      <c r="E693" t="s">
        <v>704</v>
      </c>
      <c r="F693">
        <f>HYPERLINK("http://pbs.twimg.com/media/Dcx_KR5XcAI4OdI.jpg", "http://pbs.twimg.com/media/Dcx_KR5XcAI4OdI.jpg")</f>
        <v/>
      </c>
      <c r="G693" t="s"/>
      <c r="H693" t="s"/>
      <c r="I693" t="s"/>
      <c r="J693" t="n">
        <v>-0.7783</v>
      </c>
      <c r="K693" t="n">
        <v>0.264</v>
      </c>
      <c r="L693" t="n">
        <v>0.736</v>
      </c>
      <c r="M693" t="n">
        <v>0</v>
      </c>
    </row>
    <row r="694" spans="1:13">
      <c r="A694" s="1">
        <f>HYPERLINK("http://www.twitter.com/NathanBLawrence/status/994334131801743360", "994334131801743360")</f>
        <v/>
      </c>
      <c r="B694" s="2" t="n">
        <v>43229.9109375</v>
      </c>
      <c r="C694" t="n">
        <v>0</v>
      </c>
      <c r="D694" t="n">
        <v>25</v>
      </c>
      <c r="E694" t="s">
        <v>705</v>
      </c>
      <c r="F694" t="s"/>
      <c r="G694" t="s"/>
      <c r="H694" t="s"/>
      <c r="I694" t="s"/>
      <c r="J694" t="n">
        <v>0.3612</v>
      </c>
      <c r="K694" t="n">
        <v>0</v>
      </c>
      <c r="L694" t="n">
        <v>0.894</v>
      </c>
      <c r="M694" t="n">
        <v>0.106</v>
      </c>
    </row>
    <row r="695" spans="1:13">
      <c r="A695" s="1">
        <f>HYPERLINK("http://www.twitter.com/NathanBLawrence/status/994333733720293376", "994333733720293376")</f>
        <v/>
      </c>
      <c r="B695" s="2" t="n">
        <v>43229.90983796296</v>
      </c>
      <c r="C695" t="n">
        <v>0</v>
      </c>
      <c r="D695" t="n">
        <v>771</v>
      </c>
      <c r="E695" t="s">
        <v>706</v>
      </c>
      <c r="F695" t="s"/>
      <c r="G695" t="s"/>
      <c r="H695" t="s"/>
      <c r="I695" t="s"/>
      <c r="J695" t="n">
        <v>-0.5255</v>
      </c>
      <c r="K695" t="n">
        <v>0.195</v>
      </c>
      <c r="L695" t="n">
        <v>0.805</v>
      </c>
      <c r="M695" t="n">
        <v>0</v>
      </c>
    </row>
    <row r="696" spans="1:13">
      <c r="A696" s="1">
        <f>HYPERLINK("http://www.twitter.com/NathanBLawrence/status/994332879403601920", "994332879403601920")</f>
        <v/>
      </c>
      <c r="B696" s="2" t="n">
        <v>43229.90747685185</v>
      </c>
      <c r="C696" t="n">
        <v>0</v>
      </c>
      <c r="D696" t="n">
        <v>471</v>
      </c>
      <c r="E696" t="s">
        <v>707</v>
      </c>
      <c r="F696" t="s"/>
      <c r="G696" t="s"/>
      <c r="H696" t="s"/>
      <c r="I696" t="s"/>
      <c r="J696" t="n">
        <v>-0.34</v>
      </c>
      <c r="K696" t="n">
        <v>0.112</v>
      </c>
      <c r="L696" t="n">
        <v>0.888</v>
      </c>
      <c r="M696" t="n">
        <v>0</v>
      </c>
    </row>
    <row r="697" spans="1:13">
      <c r="A697" s="1">
        <f>HYPERLINK("http://www.twitter.com/NathanBLawrence/status/994332502977339397", "994332502977339397")</f>
        <v/>
      </c>
      <c r="B697" s="2" t="n">
        <v>43229.90644675926</v>
      </c>
      <c r="C697" t="n">
        <v>0</v>
      </c>
      <c r="D697" t="n">
        <v>411</v>
      </c>
      <c r="E697" t="s">
        <v>708</v>
      </c>
      <c r="F697" t="s"/>
      <c r="G697" t="s"/>
      <c r="H697" t="s"/>
      <c r="I697" t="s"/>
      <c r="J697" t="n">
        <v>-0.7003</v>
      </c>
      <c r="K697" t="n">
        <v>0.201</v>
      </c>
      <c r="L697" t="n">
        <v>0.799</v>
      </c>
      <c r="M697" t="n">
        <v>0</v>
      </c>
    </row>
    <row r="698" spans="1:13">
      <c r="A698" s="1">
        <f>HYPERLINK("http://www.twitter.com/NathanBLawrence/status/994332264061374469", "994332264061374469")</f>
        <v/>
      </c>
      <c r="B698" s="2" t="n">
        <v>43229.90578703704</v>
      </c>
      <c r="C698" t="n">
        <v>0</v>
      </c>
      <c r="D698" t="n">
        <v>5</v>
      </c>
      <c r="E698" t="s">
        <v>709</v>
      </c>
      <c r="F698">
        <f>HYPERLINK("http://pbs.twimg.com/media/DcxvMIBXcAE8Qem.jpg", "http://pbs.twimg.com/media/DcxvMIBXcAE8Qem.jpg")</f>
        <v/>
      </c>
      <c r="G698" t="s"/>
      <c r="H698" t="s"/>
      <c r="I698" t="s"/>
      <c r="J698" t="n">
        <v>0.4404</v>
      </c>
      <c r="K698" t="n">
        <v>0</v>
      </c>
      <c r="L698" t="n">
        <v>0.873</v>
      </c>
      <c r="M698" t="n">
        <v>0.127</v>
      </c>
    </row>
    <row r="699" spans="1:13">
      <c r="A699" s="1">
        <f>HYPERLINK("http://www.twitter.com/NathanBLawrence/status/994331244522627073", "994331244522627073")</f>
        <v/>
      </c>
      <c r="B699" s="2" t="n">
        <v>43229.90297453704</v>
      </c>
      <c r="C699" t="n">
        <v>0</v>
      </c>
      <c r="D699" t="n">
        <v>1047</v>
      </c>
      <c r="E699" t="s">
        <v>710</v>
      </c>
      <c r="F699">
        <f>HYPERLINK("http://pbs.twimg.com/media/DcyLcoBU0AExgDt.jpg", "http://pbs.twimg.com/media/DcyLcoBU0AExgDt.jpg")</f>
        <v/>
      </c>
      <c r="G699" t="s"/>
      <c r="H699" t="s"/>
      <c r="I699" t="s"/>
      <c r="J699" t="n">
        <v>-0.7845</v>
      </c>
      <c r="K699" t="n">
        <v>0.387</v>
      </c>
      <c r="L699" t="n">
        <v>0.533</v>
      </c>
      <c r="M699" t="n">
        <v>0.08</v>
      </c>
    </row>
    <row r="700" spans="1:13">
      <c r="A700" s="1">
        <f>HYPERLINK("http://www.twitter.com/NathanBLawrence/status/994331159353012224", "994331159353012224")</f>
        <v/>
      </c>
      <c r="B700" s="2" t="n">
        <v>43229.90273148148</v>
      </c>
      <c r="C700" t="n">
        <v>0</v>
      </c>
      <c r="D700" t="n">
        <v>3183</v>
      </c>
      <c r="E700" t="s">
        <v>711</v>
      </c>
      <c r="F700" t="s"/>
      <c r="G700" t="s"/>
      <c r="H700" t="s"/>
      <c r="I700" t="s"/>
      <c r="J700" t="n">
        <v>0.7351</v>
      </c>
      <c r="K700" t="n">
        <v>0</v>
      </c>
      <c r="L700" t="n">
        <v>0.714</v>
      </c>
      <c r="M700" t="n">
        <v>0.286</v>
      </c>
    </row>
    <row r="701" spans="1:13">
      <c r="A701" s="1">
        <f>HYPERLINK("http://www.twitter.com/NathanBLawrence/status/994259174425903104", "994259174425903104")</f>
        <v/>
      </c>
      <c r="B701" s="2" t="n">
        <v>43229.70409722222</v>
      </c>
      <c r="C701" t="n">
        <v>0</v>
      </c>
      <c r="D701" t="n">
        <v>176</v>
      </c>
      <c r="E701" t="s">
        <v>712</v>
      </c>
      <c r="F701">
        <f>HYPERLINK("http://pbs.twimg.com/media/DcwtscSW0AAiAAf.jpg", "http://pbs.twimg.com/media/DcwtscSW0AAiAAf.jpg")</f>
        <v/>
      </c>
      <c r="G701" t="s"/>
      <c r="H701" t="s"/>
      <c r="I701" t="s"/>
      <c r="J701" t="n">
        <v>0.6899999999999999</v>
      </c>
      <c r="K701" t="n">
        <v>0</v>
      </c>
      <c r="L701" t="n">
        <v>0.794</v>
      </c>
      <c r="M701" t="n">
        <v>0.206</v>
      </c>
    </row>
    <row r="702" spans="1:13">
      <c r="A702" s="1">
        <f>HYPERLINK("http://www.twitter.com/NathanBLawrence/status/994259068863758336", "994259068863758336")</f>
        <v/>
      </c>
      <c r="B702" s="2" t="n">
        <v>43229.70380787037</v>
      </c>
      <c r="C702" t="n">
        <v>0</v>
      </c>
      <c r="D702" t="n">
        <v>4</v>
      </c>
      <c r="E702" t="s">
        <v>713</v>
      </c>
      <c r="F702" t="s"/>
      <c r="G702" t="s"/>
      <c r="H702" t="s"/>
      <c r="I702" t="s"/>
      <c r="J702" t="n">
        <v>0.6124000000000001</v>
      </c>
      <c r="K702" t="n">
        <v>0</v>
      </c>
      <c r="L702" t="n">
        <v>0.783</v>
      </c>
      <c r="M702" t="n">
        <v>0.217</v>
      </c>
    </row>
    <row r="703" spans="1:13">
      <c r="A703" s="1">
        <f>HYPERLINK("http://www.twitter.com/NathanBLawrence/status/994235816959295489", "994235816959295489")</f>
        <v/>
      </c>
      <c r="B703" s="2" t="n">
        <v>43229.63964120371</v>
      </c>
      <c r="C703" t="n">
        <v>0</v>
      </c>
      <c r="D703" t="n">
        <v>17</v>
      </c>
      <c r="E703" t="s">
        <v>714</v>
      </c>
      <c r="F703">
        <f>HYPERLINK("http://pbs.twimg.com/media/Dcw5nnZUwAIFpaq.jpg", "http://pbs.twimg.com/media/Dcw5nnZUwAIFpaq.jpg")</f>
        <v/>
      </c>
      <c r="G703" t="s"/>
      <c r="H703" t="s"/>
      <c r="I703" t="s"/>
      <c r="J703" t="n">
        <v>0.5574</v>
      </c>
      <c r="K703" t="n">
        <v>0</v>
      </c>
      <c r="L703" t="n">
        <v>0.735</v>
      </c>
      <c r="M703" t="n">
        <v>0.265</v>
      </c>
    </row>
    <row r="704" spans="1:13">
      <c r="A704" s="1">
        <f>HYPERLINK("http://www.twitter.com/NathanBLawrence/status/994235713037127681", "994235713037127681")</f>
        <v/>
      </c>
      <c r="B704" s="2" t="n">
        <v>43229.63935185185</v>
      </c>
      <c r="C704" t="n">
        <v>0</v>
      </c>
      <c r="D704" t="n">
        <v>188</v>
      </c>
      <c r="E704" t="s">
        <v>715</v>
      </c>
      <c r="F704" t="s"/>
      <c r="G704" t="s"/>
      <c r="H704" t="s"/>
      <c r="I704" t="s"/>
      <c r="J704" t="n">
        <v>0.5255</v>
      </c>
      <c r="K704" t="n">
        <v>0</v>
      </c>
      <c r="L704" t="n">
        <v>0.8159999999999999</v>
      </c>
      <c r="M704" t="n">
        <v>0.184</v>
      </c>
    </row>
    <row r="705" spans="1:13">
      <c r="A705" s="1">
        <f>HYPERLINK("http://www.twitter.com/NathanBLawrence/status/994232735517437952", "994232735517437952")</f>
        <v/>
      </c>
      <c r="B705" s="2" t="n">
        <v>43229.63113425926</v>
      </c>
      <c r="C705" t="n">
        <v>0</v>
      </c>
      <c r="D705" t="n">
        <v>5</v>
      </c>
      <c r="E705" t="s">
        <v>716</v>
      </c>
      <c r="F705" t="s"/>
      <c r="G705" t="s"/>
      <c r="H705" t="s"/>
      <c r="I705" t="s"/>
      <c r="J705" t="n">
        <v>-0.4648</v>
      </c>
      <c r="K705" t="n">
        <v>0.168</v>
      </c>
      <c r="L705" t="n">
        <v>0.832</v>
      </c>
      <c r="M705" t="n">
        <v>0</v>
      </c>
    </row>
    <row r="706" spans="1:13">
      <c r="A706" s="1">
        <f>HYPERLINK("http://www.twitter.com/NathanBLawrence/status/994232522824273920", "994232522824273920")</f>
        <v/>
      </c>
      <c r="B706" s="2" t="n">
        <v>43229.63055555556</v>
      </c>
      <c r="C706" t="n">
        <v>0</v>
      </c>
      <c r="D706" t="n">
        <v>226</v>
      </c>
      <c r="E706" t="s">
        <v>717</v>
      </c>
      <c r="F706">
        <f>HYPERLINK("http://pbs.twimg.com/media/DcvrwOUWsAAZKzy.jpg", "http://pbs.twimg.com/media/DcvrwOUWsAAZKzy.jpg")</f>
        <v/>
      </c>
      <c r="G706" t="s"/>
      <c r="H706" t="s"/>
      <c r="I706" t="s"/>
      <c r="J706" t="n">
        <v>0.0258</v>
      </c>
      <c r="K706" t="n">
        <v>0.139</v>
      </c>
      <c r="L706" t="n">
        <v>0.717</v>
      </c>
      <c r="M706" t="n">
        <v>0.143</v>
      </c>
    </row>
    <row r="707" spans="1:13">
      <c r="A707" s="1">
        <f>HYPERLINK("http://www.twitter.com/NathanBLawrence/status/994225177386012672", "994225177386012672")</f>
        <v/>
      </c>
      <c r="B707" s="2" t="n">
        <v>43229.61027777778</v>
      </c>
      <c r="C707" t="n">
        <v>0</v>
      </c>
      <c r="D707" t="n">
        <v>34</v>
      </c>
      <c r="E707" t="s">
        <v>718</v>
      </c>
      <c r="F707">
        <f>HYPERLINK("https://video.twimg.com/ext_tw_video/994222653291614209/pu/vid/368x360/BtwGj6x3cudrlgy3.mp4?tag=3", "https://video.twimg.com/ext_tw_video/994222653291614209/pu/vid/368x360/BtwGj6x3cudrlgy3.mp4?tag=3")</f>
        <v/>
      </c>
      <c r="G707" t="s"/>
      <c r="H707" t="s"/>
      <c r="I707" t="s"/>
      <c r="J707" t="n">
        <v>-0.296</v>
      </c>
      <c r="K707" t="n">
        <v>0.115</v>
      </c>
      <c r="L707" t="n">
        <v>0.885</v>
      </c>
      <c r="M707" t="n">
        <v>0</v>
      </c>
    </row>
    <row r="708" spans="1:13">
      <c r="A708" s="1">
        <f>HYPERLINK("http://www.twitter.com/NathanBLawrence/status/994224225186705408", "994224225186705408")</f>
        <v/>
      </c>
      <c r="B708" s="2" t="n">
        <v>43229.60765046296</v>
      </c>
      <c r="C708" t="n">
        <v>0</v>
      </c>
      <c r="D708" t="n">
        <v>56</v>
      </c>
      <c r="E708" t="s">
        <v>719</v>
      </c>
      <c r="F708" t="s"/>
      <c r="G708" t="s"/>
      <c r="H708" t="s"/>
      <c r="I708" t="s"/>
      <c r="J708" t="n">
        <v>0.8585</v>
      </c>
      <c r="K708" t="n">
        <v>0</v>
      </c>
      <c r="L708" t="n">
        <v>0.699</v>
      </c>
      <c r="M708" t="n">
        <v>0.301</v>
      </c>
    </row>
    <row r="709" spans="1:13">
      <c r="A709" s="1">
        <f>HYPERLINK("http://www.twitter.com/NathanBLawrence/status/994223423684530177", "994223423684530177")</f>
        <v/>
      </c>
      <c r="B709" s="2" t="n">
        <v>43229.60543981481</v>
      </c>
      <c r="C709" t="n">
        <v>0</v>
      </c>
      <c r="D709" t="n">
        <v>77</v>
      </c>
      <c r="E709" t="s">
        <v>720</v>
      </c>
      <c r="F709">
        <f>HYPERLINK("https://video.twimg.com/ext_tw_video/994217850582773760/pu/vid/640x360/RaG_J8-Nsk06dMS4.mp4?tag=3", "https://video.twimg.com/ext_tw_video/994217850582773760/pu/vid/640x360/RaG_J8-Nsk06dMS4.mp4?tag=3")</f>
        <v/>
      </c>
      <c r="G709" t="s"/>
      <c r="H709" t="s"/>
      <c r="I709" t="s"/>
      <c r="J709" t="n">
        <v>0</v>
      </c>
      <c r="K709" t="n">
        <v>0</v>
      </c>
      <c r="L709" t="n">
        <v>1</v>
      </c>
      <c r="M709" t="n">
        <v>0</v>
      </c>
    </row>
    <row r="710" spans="1:13">
      <c r="A710" s="1">
        <f>HYPERLINK("http://www.twitter.com/NathanBLawrence/status/994222745197129728", "994222745197129728")</f>
        <v/>
      </c>
      <c r="B710" s="2" t="n">
        <v>43229.60356481482</v>
      </c>
      <c r="C710" t="n">
        <v>0</v>
      </c>
      <c r="D710" t="n">
        <v>3199</v>
      </c>
      <c r="E710" t="s">
        <v>721</v>
      </c>
      <c r="F710">
        <f>HYPERLINK("http://pbs.twimg.com/media/DctDo_QX4AAA7_g.jpg", "http://pbs.twimg.com/media/DctDo_QX4AAA7_g.jpg")</f>
        <v/>
      </c>
      <c r="G710">
        <f>HYPERLINK("http://pbs.twimg.com/media/DctDo_RX4AIh9yf.jpg", "http://pbs.twimg.com/media/DctDo_RX4AIh9yf.jpg")</f>
        <v/>
      </c>
      <c r="H710" t="s"/>
      <c r="I710" t="s"/>
      <c r="J710" t="n">
        <v>0.743</v>
      </c>
      <c r="K710" t="n">
        <v>0</v>
      </c>
      <c r="L710" t="n">
        <v>0.769</v>
      </c>
      <c r="M710" t="n">
        <v>0.231</v>
      </c>
    </row>
    <row r="711" spans="1:13">
      <c r="A711" s="1">
        <f>HYPERLINK("http://www.twitter.com/NathanBLawrence/status/994222558529703938", "994222558529703938")</f>
        <v/>
      </c>
      <c r="B711" s="2" t="n">
        <v>43229.60305555556</v>
      </c>
      <c r="C711" t="n">
        <v>0</v>
      </c>
      <c r="D711" t="n">
        <v>108</v>
      </c>
      <c r="E711" t="s">
        <v>722</v>
      </c>
      <c r="F711" t="s"/>
      <c r="G711" t="s"/>
      <c r="H711" t="s"/>
      <c r="I711" t="s"/>
      <c r="J711" t="n">
        <v>-0.4767</v>
      </c>
      <c r="K711" t="n">
        <v>0.14</v>
      </c>
      <c r="L711" t="n">
        <v>0.86</v>
      </c>
      <c r="M711" t="n">
        <v>0</v>
      </c>
    </row>
    <row r="712" spans="1:13">
      <c r="A712" s="1">
        <f>HYPERLINK("http://www.twitter.com/NathanBLawrence/status/994222462832431105", "994222462832431105")</f>
        <v/>
      </c>
      <c r="B712" s="2" t="n">
        <v>43229.60278935185</v>
      </c>
      <c r="C712" t="n">
        <v>0</v>
      </c>
      <c r="D712" t="n">
        <v>1507</v>
      </c>
      <c r="E712" t="s">
        <v>723</v>
      </c>
      <c r="F712" t="s"/>
      <c r="G712" t="s"/>
      <c r="H712" t="s"/>
      <c r="I712" t="s"/>
      <c r="J712" t="n">
        <v>-0.4019</v>
      </c>
      <c r="K712" t="n">
        <v>0.119</v>
      </c>
      <c r="L712" t="n">
        <v>0.881</v>
      </c>
      <c r="M712" t="n">
        <v>0</v>
      </c>
    </row>
    <row r="713" spans="1:13">
      <c r="A713" s="1">
        <f>HYPERLINK("http://www.twitter.com/NathanBLawrence/status/994219603038531586", "994219603038531586")</f>
        <v/>
      </c>
      <c r="B713" s="2" t="n">
        <v>43229.59489583333</v>
      </c>
      <c r="C713" t="n">
        <v>0</v>
      </c>
      <c r="D713" t="n">
        <v>988</v>
      </c>
      <c r="E713" t="s">
        <v>724</v>
      </c>
      <c r="F713" t="s"/>
      <c r="G713" t="s"/>
      <c r="H713" t="s"/>
      <c r="I713" t="s"/>
      <c r="J713" t="n">
        <v>-0.8697</v>
      </c>
      <c r="K713" t="n">
        <v>0.353</v>
      </c>
      <c r="L713" t="n">
        <v>0.647</v>
      </c>
      <c r="M713" t="n">
        <v>0</v>
      </c>
    </row>
    <row r="714" spans="1:13">
      <c r="A714" s="1">
        <f>HYPERLINK("http://www.twitter.com/NathanBLawrence/status/994218679054331904", "994218679054331904")</f>
        <v/>
      </c>
      <c r="B714" s="2" t="n">
        <v>43229.59234953704</v>
      </c>
      <c r="C714" t="n">
        <v>0</v>
      </c>
      <c r="D714" t="n">
        <v>148</v>
      </c>
      <c r="E714" t="s">
        <v>725</v>
      </c>
      <c r="F714" t="s"/>
      <c r="G714" t="s"/>
      <c r="H714" t="s"/>
      <c r="I714" t="s"/>
      <c r="J714" t="n">
        <v>0</v>
      </c>
      <c r="K714" t="n">
        <v>0</v>
      </c>
      <c r="L714" t="n">
        <v>1</v>
      </c>
      <c r="M714" t="n">
        <v>0</v>
      </c>
    </row>
    <row r="715" spans="1:13">
      <c r="A715" s="1">
        <f>HYPERLINK("http://www.twitter.com/NathanBLawrence/status/994217788746141696", "994217788746141696")</f>
        <v/>
      </c>
      <c r="B715" s="2" t="n">
        <v>43229.58989583333</v>
      </c>
      <c r="C715" t="n">
        <v>0</v>
      </c>
      <c r="D715" t="n">
        <v>4</v>
      </c>
      <c r="E715" t="s">
        <v>726</v>
      </c>
      <c r="F715" t="s"/>
      <c r="G715" t="s"/>
      <c r="H715" t="s"/>
      <c r="I715" t="s"/>
      <c r="J715" t="n">
        <v>-0.6249</v>
      </c>
      <c r="K715" t="n">
        <v>0.272</v>
      </c>
      <c r="L715" t="n">
        <v>0.728</v>
      </c>
      <c r="M715" t="n">
        <v>0</v>
      </c>
    </row>
    <row r="716" spans="1:13">
      <c r="A716" s="1">
        <f>HYPERLINK("http://www.twitter.com/NathanBLawrence/status/994217078302347264", "994217078302347264")</f>
        <v/>
      </c>
      <c r="B716" s="2" t="n">
        <v>43229.58792824074</v>
      </c>
      <c r="C716" t="n">
        <v>0</v>
      </c>
      <c r="D716" t="n">
        <v>577</v>
      </c>
      <c r="E716" t="s">
        <v>727</v>
      </c>
      <c r="F716">
        <f>HYPERLINK("https://video.twimg.com/amplify_video/994212622890405888/vid/1280x720/Gcwwj11X6ur88NVD.mp4?tag=2", "https://video.twimg.com/amplify_video/994212622890405888/vid/1280x720/Gcwwj11X6ur88NVD.mp4?tag=2")</f>
        <v/>
      </c>
      <c r="G716" t="s"/>
      <c r="H716" t="s"/>
      <c r="I716" t="s"/>
      <c r="J716" t="n">
        <v>0.3382</v>
      </c>
      <c r="K716" t="n">
        <v>0.102</v>
      </c>
      <c r="L716" t="n">
        <v>0.738</v>
      </c>
      <c r="M716" t="n">
        <v>0.16</v>
      </c>
    </row>
    <row r="717" spans="1:13">
      <c r="A717" s="1">
        <f>HYPERLINK("http://www.twitter.com/NathanBLawrence/status/994216866993328129", "994216866993328129")</f>
        <v/>
      </c>
      <c r="B717" s="2" t="n">
        <v>43229.58734953704</v>
      </c>
      <c r="C717" t="n">
        <v>0</v>
      </c>
      <c r="D717" t="n">
        <v>2166</v>
      </c>
      <c r="E717" t="s">
        <v>728</v>
      </c>
      <c r="F717" t="s"/>
      <c r="G717" t="s"/>
      <c r="H717" t="s"/>
      <c r="I717" t="s"/>
      <c r="J717" t="n">
        <v>0.8172</v>
      </c>
      <c r="K717" t="n">
        <v>0</v>
      </c>
      <c r="L717" t="n">
        <v>0.737</v>
      </c>
      <c r="M717" t="n">
        <v>0.263</v>
      </c>
    </row>
    <row r="718" spans="1:13">
      <c r="A718" s="1">
        <f>HYPERLINK("http://www.twitter.com/NathanBLawrence/status/994215519451598848", "994215519451598848")</f>
        <v/>
      </c>
      <c r="B718" s="2" t="n">
        <v>43229.58363425926</v>
      </c>
      <c r="C718" t="n">
        <v>0</v>
      </c>
      <c r="D718" t="n">
        <v>180</v>
      </c>
      <c r="E718" t="s">
        <v>729</v>
      </c>
      <c r="F718">
        <f>HYPERLINK("http://pbs.twimg.com/media/Dcwin49XkAAIybY.jpg", "http://pbs.twimg.com/media/Dcwin49XkAAIybY.jpg")</f>
        <v/>
      </c>
      <c r="G718" t="s"/>
      <c r="H718" t="s"/>
      <c r="I718" t="s"/>
      <c r="J718" t="n">
        <v>0</v>
      </c>
      <c r="K718" t="n">
        <v>0</v>
      </c>
      <c r="L718" t="n">
        <v>1</v>
      </c>
      <c r="M718" t="n">
        <v>0</v>
      </c>
    </row>
    <row r="719" spans="1:13">
      <c r="A719" s="1">
        <f>HYPERLINK("http://www.twitter.com/NathanBLawrence/status/994215106463653888", "994215106463653888")</f>
        <v/>
      </c>
      <c r="B719" s="2" t="n">
        <v>43229.58248842593</v>
      </c>
      <c r="C719" t="n">
        <v>0</v>
      </c>
      <c r="D719" t="n">
        <v>66</v>
      </c>
      <c r="E719" t="s">
        <v>730</v>
      </c>
      <c r="F719" t="s"/>
      <c r="G719" t="s"/>
      <c r="H719" t="s"/>
      <c r="I719" t="s"/>
      <c r="J719" t="n">
        <v>0</v>
      </c>
      <c r="K719" t="n">
        <v>0</v>
      </c>
      <c r="L719" t="n">
        <v>1</v>
      </c>
      <c r="M719" t="n">
        <v>0</v>
      </c>
    </row>
    <row r="720" spans="1:13">
      <c r="A720" s="1">
        <f>HYPERLINK("http://www.twitter.com/NathanBLawrence/status/994215058707304448", "994215058707304448")</f>
        <v/>
      </c>
      <c r="B720" s="2" t="n">
        <v>43229.58236111111</v>
      </c>
      <c r="C720" t="n">
        <v>0</v>
      </c>
      <c r="D720" t="n">
        <v>373</v>
      </c>
      <c r="E720" t="s">
        <v>731</v>
      </c>
      <c r="F720">
        <f>HYPERLINK("http://pbs.twimg.com/media/DctZBUcVAAAixbk.jpg", "http://pbs.twimg.com/media/DctZBUcVAAAixbk.jpg")</f>
        <v/>
      </c>
      <c r="G720" t="s"/>
      <c r="H720" t="s"/>
      <c r="I720" t="s"/>
      <c r="J720" t="n">
        <v>-0.4574</v>
      </c>
      <c r="K720" t="n">
        <v>0.176</v>
      </c>
      <c r="L720" t="n">
        <v>0.824</v>
      </c>
      <c r="M720" t="n">
        <v>0</v>
      </c>
    </row>
    <row r="721" spans="1:13">
      <c r="A721" s="1">
        <f>HYPERLINK("http://www.twitter.com/NathanBLawrence/status/994214464181456896", "994214464181456896")</f>
        <v/>
      </c>
      <c r="B721" s="2" t="n">
        <v>43229.58071759259</v>
      </c>
      <c r="C721" t="n">
        <v>0</v>
      </c>
      <c r="D721" t="n">
        <v>46</v>
      </c>
      <c r="E721" t="s">
        <v>732</v>
      </c>
      <c r="F721">
        <f>HYPERLINK("http://pbs.twimg.com/media/Dcwjh6tWsAAmh1W.jpg", "http://pbs.twimg.com/media/Dcwjh6tWsAAmh1W.jpg")</f>
        <v/>
      </c>
      <c r="G721" t="s"/>
      <c r="H721" t="s"/>
      <c r="I721" t="s"/>
      <c r="J721" t="n">
        <v>0.5106000000000001</v>
      </c>
      <c r="K721" t="n">
        <v>0</v>
      </c>
      <c r="L721" t="n">
        <v>0.864</v>
      </c>
      <c r="M721" t="n">
        <v>0.136</v>
      </c>
    </row>
    <row r="722" spans="1:13">
      <c r="A722" s="1">
        <f>HYPERLINK("http://www.twitter.com/NathanBLawrence/status/994208340015239168", "994208340015239168")</f>
        <v/>
      </c>
      <c r="B722" s="2" t="n">
        <v>43229.56381944445</v>
      </c>
      <c r="C722" t="n">
        <v>0</v>
      </c>
      <c r="D722" t="n">
        <v>2</v>
      </c>
      <c r="E722" t="s">
        <v>733</v>
      </c>
      <c r="F722" t="s"/>
      <c r="G722" t="s"/>
      <c r="H722" t="s"/>
      <c r="I722" t="s"/>
      <c r="J722" t="n">
        <v>0</v>
      </c>
      <c r="K722" t="n">
        <v>0</v>
      </c>
      <c r="L722" t="n">
        <v>1</v>
      </c>
      <c r="M722" t="n">
        <v>0</v>
      </c>
    </row>
    <row r="723" spans="1:13">
      <c r="A723" s="1">
        <f>HYPERLINK("http://www.twitter.com/NathanBLawrence/status/994208224789266432", "994208224789266432")</f>
        <v/>
      </c>
      <c r="B723" s="2" t="n">
        <v>43229.56349537037</v>
      </c>
      <c r="C723" t="n">
        <v>0</v>
      </c>
      <c r="D723" t="n">
        <v>227</v>
      </c>
      <c r="E723" t="s">
        <v>734</v>
      </c>
      <c r="F723">
        <f>HYPERLINK("https://video.twimg.com/ext_tw_video/994144002059526145/pu/vid/1280x720/Q6XGCbyAU_yHFDaH.mp4?tag=3", "https://video.twimg.com/ext_tw_video/994144002059526145/pu/vid/1280x720/Q6XGCbyAU_yHFDaH.mp4?tag=3")</f>
        <v/>
      </c>
      <c r="G723" t="s"/>
      <c r="H723" t="s"/>
      <c r="I723" t="s"/>
      <c r="J723" t="n">
        <v>0</v>
      </c>
      <c r="K723" t="n">
        <v>0</v>
      </c>
      <c r="L723" t="n">
        <v>1</v>
      </c>
      <c r="M723" t="n">
        <v>0</v>
      </c>
    </row>
    <row r="724" spans="1:13">
      <c r="A724" s="1">
        <f>HYPERLINK("http://www.twitter.com/NathanBLawrence/status/994207852322574341", "994207852322574341")</f>
        <v/>
      </c>
      <c r="B724" s="2" t="n">
        <v>43229.56247685185</v>
      </c>
      <c r="C724" t="n">
        <v>0</v>
      </c>
      <c r="D724" t="n">
        <v>188</v>
      </c>
      <c r="E724" t="s">
        <v>735</v>
      </c>
      <c r="F724">
        <f>HYPERLINK("http://pbs.twimg.com/media/DcwgvjVVwAA8bbi.jpg", "http://pbs.twimg.com/media/DcwgvjVVwAA8bbi.jpg")</f>
        <v/>
      </c>
      <c r="G724" t="s"/>
      <c r="H724" t="s"/>
      <c r="I724" t="s"/>
      <c r="J724" t="n">
        <v>0.4215</v>
      </c>
      <c r="K724" t="n">
        <v>0</v>
      </c>
      <c r="L724" t="n">
        <v>0.858</v>
      </c>
      <c r="M724" t="n">
        <v>0.142</v>
      </c>
    </row>
    <row r="725" spans="1:13">
      <c r="A725" s="1">
        <f>HYPERLINK("http://www.twitter.com/NathanBLawrence/status/994207129203552256", "994207129203552256")</f>
        <v/>
      </c>
      <c r="B725" s="2" t="n">
        <v>43229.56047453704</v>
      </c>
      <c r="C725" t="n">
        <v>0</v>
      </c>
      <c r="D725" t="n">
        <v>47</v>
      </c>
      <c r="E725" t="s">
        <v>736</v>
      </c>
      <c r="F725">
        <f>HYPERLINK("https://video.twimg.com/ext_tw_video/993967630141870080/pu/vid/1280x720/xMDXypX6wfupu9Mn.mp4?tag=3", "https://video.twimg.com/ext_tw_video/993967630141870080/pu/vid/1280x720/xMDXypX6wfupu9Mn.mp4?tag=3")</f>
        <v/>
      </c>
      <c r="G725" t="s"/>
      <c r="H725" t="s"/>
      <c r="I725" t="s"/>
      <c r="J725" t="n">
        <v>0</v>
      </c>
      <c r="K725" t="n">
        <v>0</v>
      </c>
      <c r="L725" t="n">
        <v>1</v>
      </c>
      <c r="M725" t="n">
        <v>0</v>
      </c>
    </row>
    <row r="726" spans="1:13">
      <c r="A726" s="1">
        <f>HYPERLINK("http://www.twitter.com/NathanBLawrence/status/994206872323358721", "994206872323358721")</f>
        <v/>
      </c>
      <c r="B726" s="2" t="n">
        <v>43229.55976851852</v>
      </c>
      <c r="C726" t="n">
        <v>0</v>
      </c>
      <c r="D726" t="n">
        <v>374</v>
      </c>
      <c r="E726" t="s">
        <v>737</v>
      </c>
      <c r="F726" t="s"/>
      <c r="G726" t="s"/>
      <c r="H726" t="s"/>
      <c r="I726" t="s"/>
      <c r="J726" t="n">
        <v>-0.0258</v>
      </c>
      <c r="K726" t="n">
        <v>0.159</v>
      </c>
      <c r="L726" t="n">
        <v>0.6899999999999999</v>
      </c>
      <c r="M726" t="n">
        <v>0.152</v>
      </c>
    </row>
    <row r="727" spans="1:13">
      <c r="A727" s="1">
        <f>HYPERLINK("http://www.twitter.com/NathanBLawrence/status/994206584531283969", "994206584531283969")</f>
        <v/>
      </c>
      <c r="B727" s="2" t="n">
        <v>43229.5589699074</v>
      </c>
      <c r="C727" t="n">
        <v>0</v>
      </c>
      <c r="D727" t="n">
        <v>5</v>
      </c>
      <c r="E727" t="s">
        <v>738</v>
      </c>
      <c r="F727" t="s"/>
      <c r="G727" t="s"/>
      <c r="H727" t="s"/>
      <c r="I727" t="s"/>
      <c r="J727" t="n">
        <v>-0.5754</v>
      </c>
      <c r="K727" t="n">
        <v>0.223</v>
      </c>
      <c r="L727" t="n">
        <v>0.777</v>
      </c>
      <c r="M727" t="n">
        <v>0</v>
      </c>
    </row>
    <row r="728" spans="1:13">
      <c r="A728" s="1">
        <f>HYPERLINK("http://www.twitter.com/NathanBLawrence/status/994205890407477248", "994205890407477248")</f>
        <v/>
      </c>
      <c r="B728" s="2" t="n">
        <v>43229.55706018519</v>
      </c>
      <c r="C728" t="n">
        <v>0</v>
      </c>
      <c r="D728" t="n">
        <v>3</v>
      </c>
      <c r="E728" t="s">
        <v>739</v>
      </c>
      <c r="F728" t="s"/>
      <c r="G728" t="s"/>
      <c r="H728" t="s"/>
      <c r="I728" t="s"/>
      <c r="J728" t="n">
        <v>0</v>
      </c>
      <c r="K728" t="n">
        <v>0</v>
      </c>
      <c r="L728" t="n">
        <v>1</v>
      </c>
      <c r="M728" t="n">
        <v>0</v>
      </c>
    </row>
    <row r="729" spans="1:13">
      <c r="A729" s="1">
        <f>HYPERLINK("http://www.twitter.com/NathanBLawrence/status/994204940850655233", "994204940850655233")</f>
        <v/>
      </c>
      <c r="B729" s="2" t="n">
        <v>43229.55443287037</v>
      </c>
      <c r="C729" t="n">
        <v>0</v>
      </c>
      <c r="D729" t="n">
        <v>1</v>
      </c>
      <c r="E729" t="s">
        <v>740</v>
      </c>
      <c r="F729" t="s"/>
      <c r="G729" t="s"/>
      <c r="H729" t="s"/>
      <c r="I729" t="s"/>
      <c r="J729" t="n">
        <v>0</v>
      </c>
      <c r="K729" t="n">
        <v>0</v>
      </c>
      <c r="L729" t="n">
        <v>1</v>
      </c>
      <c r="M729" t="n">
        <v>0</v>
      </c>
    </row>
    <row r="730" spans="1:13">
      <c r="A730" s="1">
        <f>HYPERLINK("http://www.twitter.com/NathanBLawrence/status/994204820138594306", "994204820138594306")</f>
        <v/>
      </c>
      <c r="B730" s="2" t="n">
        <v>43229.5541087963</v>
      </c>
      <c r="C730" t="n">
        <v>0</v>
      </c>
      <c r="D730" t="n">
        <v>312</v>
      </c>
      <c r="E730" t="s">
        <v>741</v>
      </c>
      <c r="F730" t="s"/>
      <c r="G730" t="s"/>
      <c r="H730" t="s"/>
      <c r="I730" t="s"/>
      <c r="J730" t="n">
        <v>-0.478</v>
      </c>
      <c r="K730" t="n">
        <v>0.286</v>
      </c>
      <c r="L730" t="n">
        <v>0.54</v>
      </c>
      <c r="M730" t="n">
        <v>0.174</v>
      </c>
    </row>
    <row r="731" spans="1:13">
      <c r="A731" s="1">
        <f>HYPERLINK("http://www.twitter.com/NathanBLawrence/status/994203404217077760", "994203404217077760")</f>
        <v/>
      </c>
      <c r="B731" s="2" t="n">
        <v>43229.55019675926</v>
      </c>
      <c r="C731" t="n">
        <v>0</v>
      </c>
      <c r="D731" t="n">
        <v>4</v>
      </c>
      <c r="E731" t="s">
        <v>742</v>
      </c>
      <c r="F731" t="s"/>
      <c r="G731" t="s"/>
      <c r="H731" t="s"/>
      <c r="I731" t="s"/>
      <c r="J731" t="n">
        <v>0.5023</v>
      </c>
      <c r="K731" t="n">
        <v>0</v>
      </c>
      <c r="L731" t="n">
        <v>0.735</v>
      </c>
      <c r="M731" t="n">
        <v>0.265</v>
      </c>
    </row>
    <row r="732" spans="1:13">
      <c r="A732" s="1">
        <f>HYPERLINK("http://www.twitter.com/NathanBLawrence/status/994202142729756677", "994202142729756677")</f>
        <v/>
      </c>
      <c r="B732" s="2" t="n">
        <v>43229.54671296296</v>
      </c>
      <c r="C732" t="n">
        <v>0</v>
      </c>
      <c r="D732" t="n">
        <v>45054</v>
      </c>
      <c r="E732" t="s">
        <v>743</v>
      </c>
      <c r="F732" t="s"/>
      <c r="G732" t="s"/>
      <c r="H732" t="s"/>
      <c r="I732" t="s"/>
      <c r="J732" t="n">
        <v>0.4404</v>
      </c>
      <c r="K732" t="n">
        <v>0</v>
      </c>
      <c r="L732" t="n">
        <v>0.896</v>
      </c>
      <c r="M732" t="n">
        <v>0.104</v>
      </c>
    </row>
    <row r="733" spans="1:13">
      <c r="A733" s="1">
        <f>HYPERLINK("http://www.twitter.com/NathanBLawrence/status/994201328418283520", "994201328418283520")</f>
        <v/>
      </c>
      <c r="B733" s="2" t="n">
        <v>43229.54446759259</v>
      </c>
      <c r="C733" t="n">
        <v>0</v>
      </c>
      <c r="D733" t="n">
        <v>127</v>
      </c>
      <c r="E733" t="s">
        <v>744</v>
      </c>
      <c r="F733" t="s"/>
      <c r="G733" t="s"/>
      <c r="H733" t="s"/>
      <c r="I733" t="s"/>
      <c r="J733" t="n">
        <v>0.1779</v>
      </c>
      <c r="K733" t="n">
        <v>0.081</v>
      </c>
      <c r="L733" t="n">
        <v>0.8120000000000001</v>
      </c>
      <c r="M733" t="n">
        <v>0.107</v>
      </c>
    </row>
    <row r="734" spans="1:13">
      <c r="A734" s="1">
        <f>HYPERLINK("http://www.twitter.com/NathanBLawrence/status/994200974234411008", "994200974234411008")</f>
        <v/>
      </c>
      <c r="B734" s="2" t="n">
        <v>43229.54349537037</v>
      </c>
      <c r="C734" t="n">
        <v>0</v>
      </c>
      <c r="D734" t="n">
        <v>19198</v>
      </c>
      <c r="E734" t="s">
        <v>745</v>
      </c>
      <c r="F734" t="s"/>
      <c r="G734" t="s"/>
      <c r="H734" t="s"/>
      <c r="I734" t="s"/>
      <c r="J734" t="n">
        <v>0.9022</v>
      </c>
      <c r="K734" t="n">
        <v>0</v>
      </c>
      <c r="L734" t="n">
        <v>0.569</v>
      </c>
      <c r="M734" t="n">
        <v>0.431</v>
      </c>
    </row>
    <row r="735" spans="1:13">
      <c r="A735" s="1">
        <f>HYPERLINK("http://www.twitter.com/NathanBLawrence/status/994200925878222848", "994200925878222848")</f>
        <v/>
      </c>
      <c r="B735" s="2" t="n">
        <v>43229.54335648148</v>
      </c>
      <c r="C735" t="n">
        <v>0</v>
      </c>
      <c r="D735" t="n">
        <v>2648</v>
      </c>
      <c r="E735" t="s">
        <v>746</v>
      </c>
      <c r="F735" t="s"/>
      <c r="G735" t="s"/>
      <c r="H735" t="s"/>
      <c r="I735" t="s"/>
      <c r="J735" t="n">
        <v>0</v>
      </c>
      <c r="K735" t="n">
        <v>0</v>
      </c>
      <c r="L735" t="n">
        <v>1</v>
      </c>
      <c r="M735" t="n">
        <v>0</v>
      </c>
    </row>
    <row r="736" spans="1:13">
      <c r="A736" s="1">
        <f>HYPERLINK("http://www.twitter.com/NathanBLawrence/status/994200231762853888", "994200231762853888")</f>
        <v/>
      </c>
      <c r="B736" s="2" t="n">
        <v>43229.54144675926</v>
      </c>
      <c r="C736" t="n">
        <v>0</v>
      </c>
      <c r="D736" t="n">
        <v>2665</v>
      </c>
      <c r="E736" t="s">
        <v>747</v>
      </c>
      <c r="F736">
        <f>HYPERLINK("https://video.twimg.com/amplify_video/965318727448322048/vid/1280x720/dnG0pNp8j5RzgeA3.mp4", "https://video.twimg.com/amplify_video/965318727448322048/vid/1280x720/dnG0pNp8j5RzgeA3.mp4")</f>
        <v/>
      </c>
      <c r="G736" t="s"/>
      <c r="H736" t="s"/>
      <c r="I736" t="s"/>
      <c r="J736" t="n">
        <v>0.3595</v>
      </c>
      <c r="K736" t="n">
        <v>0</v>
      </c>
      <c r="L736" t="n">
        <v>0.898</v>
      </c>
      <c r="M736" t="n">
        <v>0.102</v>
      </c>
    </row>
    <row r="737" spans="1:13">
      <c r="A737" s="1">
        <f>HYPERLINK("http://www.twitter.com/NathanBLawrence/status/994176454480027648", "994176454480027648")</f>
        <v/>
      </c>
      <c r="B737" s="2" t="n">
        <v>43229.47583333333</v>
      </c>
      <c r="C737" t="n">
        <v>0</v>
      </c>
      <c r="D737" t="n">
        <v>197</v>
      </c>
      <c r="E737" t="s">
        <v>748</v>
      </c>
      <c r="F737" t="s"/>
      <c r="G737" t="s"/>
      <c r="H737" t="s"/>
      <c r="I737" t="s"/>
      <c r="J737" t="n">
        <v>0.4019</v>
      </c>
      <c r="K737" t="n">
        <v>0</v>
      </c>
      <c r="L737" t="n">
        <v>0.895</v>
      </c>
      <c r="M737" t="n">
        <v>0.105</v>
      </c>
    </row>
    <row r="738" spans="1:13">
      <c r="A738" s="1">
        <f>HYPERLINK("http://www.twitter.com/NathanBLawrence/status/994171788958621698", "994171788958621698")</f>
        <v/>
      </c>
      <c r="B738" s="2" t="n">
        <v>43229.46295138889</v>
      </c>
      <c r="C738" t="n">
        <v>0</v>
      </c>
      <c r="D738" t="n">
        <v>1</v>
      </c>
      <c r="E738" t="s">
        <v>749</v>
      </c>
      <c r="F738" t="s"/>
      <c r="G738" t="s"/>
      <c r="H738" t="s"/>
      <c r="I738" t="s"/>
      <c r="J738" t="n">
        <v>0.6696</v>
      </c>
      <c r="K738" t="n">
        <v>0</v>
      </c>
      <c r="L738" t="n">
        <v>0.6860000000000001</v>
      </c>
      <c r="M738" t="n">
        <v>0.314</v>
      </c>
    </row>
    <row r="739" spans="1:13">
      <c r="A739" s="1">
        <f>HYPERLINK("http://www.twitter.com/NathanBLawrence/status/994170831528972288", "994170831528972288")</f>
        <v/>
      </c>
      <c r="B739" s="2" t="n">
        <v>43229.4603125</v>
      </c>
      <c r="C739" t="n">
        <v>0</v>
      </c>
      <c r="D739" t="n">
        <v>666</v>
      </c>
      <c r="E739" t="s">
        <v>750</v>
      </c>
      <c r="F739">
        <f>HYPERLINK("https://video.twimg.com/ext_tw_video/993996474815049730/pu/vid/1280x720/LfheeVcho6fLQQyG.mp4?tag=3", "https://video.twimg.com/ext_tw_video/993996474815049730/pu/vid/1280x720/LfheeVcho6fLQQyG.mp4?tag=3")</f>
        <v/>
      </c>
      <c r="G739" t="s"/>
      <c r="H739" t="s"/>
      <c r="I739" t="s"/>
      <c r="J739" t="n">
        <v>0.128</v>
      </c>
      <c r="K739" t="n">
        <v>0</v>
      </c>
      <c r="L739" t="n">
        <v>0.9330000000000001</v>
      </c>
      <c r="M739" t="n">
        <v>0.067</v>
      </c>
    </row>
    <row r="740" spans="1:13">
      <c r="A740" s="1">
        <f>HYPERLINK("http://www.twitter.com/NathanBLawrence/status/994046154336858115", "994046154336858115")</f>
        <v/>
      </c>
      <c r="B740" s="2" t="n">
        <v>43229.11627314815</v>
      </c>
      <c r="C740" t="n">
        <v>0</v>
      </c>
      <c r="D740" t="n">
        <v>56</v>
      </c>
      <c r="E740" t="s">
        <v>751</v>
      </c>
      <c r="F740" t="s"/>
      <c r="G740" t="s"/>
      <c r="H740" t="s"/>
      <c r="I740" t="s"/>
      <c r="J740" t="n">
        <v>0</v>
      </c>
      <c r="K740" t="n">
        <v>0</v>
      </c>
      <c r="L740" t="n">
        <v>1</v>
      </c>
      <c r="M740" t="n">
        <v>0</v>
      </c>
    </row>
    <row r="741" spans="1:13">
      <c r="A741" s="1">
        <f>HYPERLINK("http://www.twitter.com/NathanBLawrence/status/994045938548297728", "994045938548297728")</f>
        <v/>
      </c>
      <c r="B741" s="2" t="n">
        <v>43229.1156712963</v>
      </c>
      <c r="C741" t="n">
        <v>0</v>
      </c>
      <c r="D741" t="n">
        <v>1451</v>
      </c>
      <c r="E741" t="s">
        <v>752</v>
      </c>
      <c r="F741" t="s"/>
      <c r="G741" t="s"/>
      <c r="H741" t="s"/>
      <c r="I741" t="s"/>
      <c r="J741" t="n">
        <v>0</v>
      </c>
      <c r="K741" t="n">
        <v>0</v>
      </c>
      <c r="L741" t="n">
        <v>1</v>
      </c>
      <c r="M741" t="n">
        <v>0</v>
      </c>
    </row>
    <row r="742" spans="1:13">
      <c r="A742" s="1">
        <f>HYPERLINK("http://www.twitter.com/NathanBLawrence/status/994045520225226754", "994045520225226754")</f>
        <v/>
      </c>
      <c r="B742" s="2" t="n">
        <v>43229.11452546297</v>
      </c>
      <c r="C742" t="n">
        <v>0</v>
      </c>
      <c r="D742" t="n">
        <v>2862</v>
      </c>
      <c r="E742" t="s">
        <v>753</v>
      </c>
      <c r="F742" t="s"/>
      <c r="G742" t="s"/>
      <c r="H742" t="s"/>
      <c r="I742" t="s"/>
      <c r="J742" t="n">
        <v>0.9432</v>
      </c>
      <c r="K742" t="n">
        <v>0</v>
      </c>
      <c r="L742" t="n">
        <v>0.531</v>
      </c>
      <c r="M742" t="n">
        <v>0.469</v>
      </c>
    </row>
    <row r="743" spans="1:13">
      <c r="A743" s="1">
        <f>HYPERLINK("http://www.twitter.com/NathanBLawrence/status/994045274631876608", "994045274631876608")</f>
        <v/>
      </c>
      <c r="B743" s="2" t="n">
        <v>43229.11384259259</v>
      </c>
      <c r="C743" t="n">
        <v>0</v>
      </c>
      <c r="D743" t="n">
        <v>1</v>
      </c>
      <c r="E743" t="s">
        <v>754</v>
      </c>
      <c r="F743" t="s"/>
      <c r="G743" t="s"/>
      <c r="H743" t="s"/>
      <c r="I743" t="s"/>
      <c r="J743" t="n">
        <v>0.5719</v>
      </c>
      <c r="K743" t="n">
        <v>0</v>
      </c>
      <c r="L743" t="n">
        <v>0.748</v>
      </c>
      <c r="M743" t="n">
        <v>0.252</v>
      </c>
    </row>
    <row r="744" spans="1:13">
      <c r="A744" s="1">
        <f>HYPERLINK("http://www.twitter.com/NathanBLawrence/status/994045231124418560", "994045231124418560")</f>
        <v/>
      </c>
      <c r="B744" s="2" t="n">
        <v>43229.11372685185</v>
      </c>
      <c r="C744" t="n">
        <v>0</v>
      </c>
      <c r="D744" t="n">
        <v>289</v>
      </c>
      <c r="E744" t="s">
        <v>755</v>
      </c>
      <c r="F744">
        <f>HYPERLINK("https://video.twimg.com/amplify_video/994033989588586496/vid/1280x720/CxgAXySlyF5IVYYZ.mp4?tag=2", "https://video.twimg.com/amplify_video/994033989588586496/vid/1280x720/CxgAXySlyF5IVYYZ.mp4?tag=2")</f>
        <v/>
      </c>
      <c r="G744" t="s"/>
      <c r="H744" t="s"/>
      <c r="I744" t="s"/>
      <c r="J744" t="n">
        <v>0.5859</v>
      </c>
      <c r="K744" t="n">
        <v>0</v>
      </c>
      <c r="L744" t="n">
        <v>0.853</v>
      </c>
      <c r="M744" t="n">
        <v>0.147</v>
      </c>
    </row>
    <row r="745" spans="1:13">
      <c r="A745" s="1">
        <f>HYPERLINK("http://www.twitter.com/NathanBLawrence/status/994045142171611137", "994045142171611137")</f>
        <v/>
      </c>
      <c r="B745" s="2" t="n">
        <v>43229.1134837963</v>
      </c>
      <c r="C745" t="n">
        <v>0</v>
      </c>
      <c r="D745" t="n">
        <v>8</v>
      </c>
      <c r="E745" t="s">
        <v>756</v>
      </c>
      <c r="F745" t="s"/>
      <c r="G745" t="s"/>
      <c r="H745" t="s"/>
      <c r="I745" t="s"/>
      <c r="J745" t="n">
        <v>0.0258</v>
      </c>
      <c r="K745" t="n">
        <v>0</v>
      </c>
      <c r="L745" t="n">
        <v>0.954</v>
      </c>
      <c r="M745" t="n">
        <v>0.046</v>
      </c>
    </row>
    <row r="746" spans="1:13">
      <c r="A746" s="1">
        <f>HYPERLINK("http://www.twitter.com/NathanBLawrence/status/994044912516595713", "994044912516595713")</f>
        <v/>
      </c>
      <c r="B746" s="2" t="n">
        <v>43229.11284722222</v>
      </c>
      <c r="C746" t="n">
        <v>0</v>
      </c>
      <c r="D746" t="n">
        <v>12988</v>
      </c>
      <c r="E746" t="s">
        <v>757</v>
      </c>
      <c r="F746" t="s"/>
      <c r="G746" t="s"/>
      <c r="H746" t="s"/>
      <c r="I746" t="s"/>
      <c r="J746" t="n">
        <v>0.4201</v>
      </c>
      <c r="K746" t="n">
        <v>0</v>
      </c>
      <c r="L746" t="n">
        <v>0.887</v>
      </c>
      <c r="M746" t="n">
        <v>0.113</v>
      </c>
    </row>
    <row r="747" spans="1:13">
      <c r="A747" s="1">
        <f>HYPERLINK("http://www.twitter.com/NathanBLawrence/status/994043902339502081", "994043902339502081")</f>
        <v/>
      </c>
      <c r="B747" s="2" t="n">
        <v>43229.11005787037</v>
      </c>
      <c r="C747" t="n">
        <v>0</v>
      </c>
      <c r="D747" t="n">
        <v>28</v>
      </c>
      <c r="E747" t="s">
        <v>758</v>
      </c>
      <c r="F747">
        <f>HYPERLINK("http://pbs.twimg.com/media/DcuL9XbX4AA-NIi.jpg", "http://pbs.twimg.com/media/DcuL9XbX4AA-NIi.jpg")</f>
        <v/>
      </c>
      <c r="G747" t="s"/>
      <c r="H747" t="s"/>
      <c r="I747" t="s"/>
      <c r="J747" t="n">
        <v>0.5719</v>
      </c>
      <c r="K747" t="n">
        <v>0</v>
      </c>
      <c r="L747" t="n">
        <v>0.821</v>
      </c>
      <c r="M747" t="n">
        <v>0.179</v>
      </c>
    </row>
    <row r="748" spans="1:13">
      <c r="A748" s="1">
        <f>HYPERLINK("http://www.twitter.com/NathanBLawrence/status/994043811310555136", "994043811310555136")</f>
        <v/>
      </c>
      <c r="B748" s="2" t="n">
        <v>43229.10980324074</v>
      </c>
      <c r="C748" t="n">
        <v>0</v>
      </c>
      <c r="D748" t="n">
        <v>248</v>
      </c>
      <c r="E748" t="s">
        <v>759</v>
      </c>
      <c r="F748" t="s"/>
      <c r="G748" t="s"/>
      <c r="H748" t="s"/>
      <c r="I748" t="s"/>
      <c r="J748" t="n">
        <v>-0.5266999999999999</v>
      </c>
      <c r="K748" t="n">
        <v>0.23</v>
      </c>
      <c r="L748" t="n">
        <v>0.667</v>
      </c>
      <c r="M748" t="n">
        <v>0.104</v>
      </c>
    </row>
    <row r="749" spans="1:13">
      <c r="A749" s="1">
        <f>HYPERLINK("http://www.twitter.com/NathanBLawrence/status/994043359898619906", "994043359898619906")</f>
        <v/>
      </c>
      <c r="B749" s="2" t="n">
        <v>43229.10856481481</v>
      </c>
      <c r="C749" t="n">
        <v>0</v>
      </c>
      <c r="D749" t="n">
        <v>161</v>
      </c>
      <c r="E749" t="s">
        <v>760</v>
      </c>
      <c r="F749" t="s"/>
      <c r="G749" t="s"/>
      <c r="H749" t="s"/>
      <c r="I749" t="s"/>
      <c r="J749" t="n">
        <v>0</v>
      </c>
      <c r="K749" t="n">
        <v>0</v>
      </c>
      <c r="L749" t="n">
        <v>1</v>
      </c>
      <c r="M749" t="n">
        <v>0</v>
      </c>
    </row>
    <row r="750" spans="1:13">
      <c r="A750" s="1">
        <f>HYPERLINK("http://www.twitter.com/NathanBLawrence/status/994043251173789697", "994043251173789697")</f>
        <v/>
      </c>
      <c r="B750" s="2" t="n">
        <v>43229.10826388889</v>
      </c>
      <c r="C750" t="n">
        <v>0</v>
      </c>
      <c r="D750" t="n">
        <v>1187</v>
      </c>
      <c r="E750" t="s">
        <v>761</v>
      </c>
      <c r="F750" t="s"/>
      <c r="G750" t="s"/>
      <c r="H750" t="s"/>
      <c r="I750" t="s"/>
      <c r="J750" t="n">
        <v>0.481</v>
      </c>
      <c r="K750" t="n">
        <v>0</v>
      </c>
      <c r="L750" t="n">
        <v>0.885</v>
      </c>
      <c r="M750" t="n">
        <v>0.115</v>
      </c>
    </row>
    <row r="751" spans="1:13">
      <c r="A751" s="1">
        <f>HYPERLINK("http://www.twitter.com/NathanBLawrence/status/994042438783250433", "994042438783250433")</f>
        <v/>
      </c>
      <c r="B751" s="2" t="n">
        <v>43229.10601851852</v>
      </c>
      <c r="C751" t="n">
        <v>0</v>
      </c>
      <c r="D751" t="n">
        <v>236</v>
      </c>
      <c r="E751" t="s">
        <v>762</v>
      </c>
      <c r="F751" t="s"/>
      <c r="G751" t="s"/>
      <c r="H751" t="s"/>
      <c r="I751" t="s"/>
      <c r="J751" t="n">
        <v>-0.8468</v>
      </c>
      <c r="K751" t="n">
        <v>0.418</v>
      </c>
      <c r="L751" t="n">
        <v>0.477</v>
      </c>
      <c r="M751" t="n">
        <v>0.106</v>
      </c>
    </row>
    <row r="752" spans="1:13">
      <c r="A752" s="1">
        <f>HYPERLINK("http://www.twitter.com/NathanBLawrence/status/994042122679607296", "994042122679607296")</f>
        <v/>
      </c>
      <c r="B752" s="2" t="n">
        <v>43229.10515046296</v>
      </c>
      <c r="C752" t="n">
        <v>0</v>
      </c>
      <c r="D752" t="n">
        <v>1636</v>
      </c>
      <c r="E752" t="s">
        <v>763</v>
      </c>
      <c r="F752" t="s"/>
      <c r="G752" t="s"/>
      <c r="H752" t="s"/>
      <c r="I752" t="s"/>
      <c r="J752" t="n">
        <v>0.7184</v>
      </c>
      <c r="K752" t="n">
        <v>0</v>
      </c>
      <c r="L752" t="n">
        <v>0.778</v>
      </c>
      <c r="M752" t="n">
        <v>0.222</v>
      </c>
    </row>
    <row r="753" spans="1:13">
      <c r="A753" s="1">
        <f>HYPERLINK("http://www.twitter.com/NathanBLawrence/status/994042034129391616", "994042034129391616")</f>
        <v/>
      </c>
      <c r="B753" s="2" t="n">
        <v>43229.10490740741</v>
      </c>
      <c r="C753" t="n">
        <v>0</v>
      </c>
      <c r="D753" t="n">
        <v>443</v>
      </c>
      <c r="E753" t="s">
        <v>764</v>
      </c>
      <c r="F753" t="s"/>
      <c r="G753" t="s"/>
      <c r="H753" t="s"/>
      <c r="I753" t="s"/>
      <c r="J753" t="n">
        <v>-0.5362</v>
      </c>
      <c r="K753" t="n">
        <v>0.187</v>
      </c>
      <c r="L753" t="n">
        <v>0.8129999999999999</v>
      </c>
      <c r="M753" t="n">
        <v>0</v>
      </c>
    </row>
    <row r="754" spans="1:13">
      <c r="A754" s="1">
        <f>HYPERLINK("http://www.twitter.com/NathanBLawrence/status/994041863920332805", "994041863920332805")</f>
        <v/>
      </c>
      <c r="B754" s="2" t="n">
        <v>43229.10443287037</v>
      </c>
      <c r="C754" t="n">
        <v>0</v>
      </c>
      <c r="D754" t="n">
        <v>27</v>
      </c>
      <c r="E754" t="s">
        <v>765</v>
      </c>
      <c r="F754" t="s"/>
      <c r="G754" t="s"/>
      <c r="H754" t="s"/>
      <c r="I754" t="s"/>
      <c r="J754" t="n">
        <v>0.4215</v>
      </c>
      <c r="K754" t="n">
        <v>0</v>
      </c>
      <c r="L754" t="n">
        <v>0.833</v>
      </c>
      <c r="M754" t="n">
        <v>0.167</v>
      </c>
    </row>
    <row r="755" spans="1:13">
      <c r="A755" s="1">
        <f>HYPERLINK("http://www.twitter.com/NathanBLawrence/status/994041626308816897", "994041626308816897")</f>
        <v/>
      </c>
      <c r="B755" s="2" t="n">
        <v>43229.10377314815</v>
      </c>
      <c r="C755" t="n">
        <v>0</v>
      </c>
      <c r="D755" t="n">
        <v>770</v>
      </c>
      <c r="E755" t="s">
        <v>766</v>
      </c>
      <c r="F755" t="s"/>
      <c r="G755" t="s"/>
      <c r="H755" t="s"/>
      <c r="I755" t="s"/>
      <c r="J755" t="n">
        <v>0.5707</v>
      </c>
      <c r="K755" t="n">
        <v>0</v>
      </c>
      <c r="L755" t="n">
        <v>0.837</v>
      </c>
      <c r="M755" t="n">
        <v>0.163</v>
      </c>
    </row>
    <row r="756" spans="1:13">
      <c r="A756" s="1">
        <f>HYPERLINK("http://www.twitter.com/NathanBLawrence/status/994040781106184193", "994040781106184193")</f>
        <v/>
      </c>
      <c r="B756" s="2" t="n">
        <v>43229.10144675926</v>
      </c>
      <c r="C756" t="n">
        <v>0</v>
      </c>
      <c r="D756" t="n">
        <v>1642</v>
      </c>
      <c r="E756" t="s">
        <v>767</v>
      </c>
      <c r="F756" t="s"/>
      <c r="G756" t="s"/>
      <c r="H756" t="s"/>
      <c r="I756" t="s"/>
      <c r="J756" t="n">
        <v>0</v>
      </c>
      <c r="K756" t="n">
        <v>0</v>
      </c>
      <c r="L756" t="n">
        <v>1</v>
      </c>
      <c r="M756" t="n">
        <v>0</v>
      </c>
    </row>
    <row r="757" spans="1:13">
      <c r="A757" s="1">
        <f>HYPERLINK("http://www.twitter.com/NathanBLawrence/status/994029577369513984", "994029577369513984")</f>
        <v/>
      </c>
      <c r="B757" s="2" t="n">
        <v>43229.07053240741</v>
      </c>
      <c r="C757" t="n">
        <v>0</v>
      </c>
      <c r="D757" t="n">
        <v>5431</v>
      </c>
      <c r="E757" t="s">
        <v>768</v>
      </c>
      <c r="F757" t="s"/>
      <c r="G757" t="s"/>
      <c r="H757" t="s"/>
      <c r="I757" t="s"/>
      <c r="J757" t="n">
        <v>0</v>
      </c>
      <c r="K757" t="n">
        <v>0</v>
      </c>
      <c r="L757" t="n">
        <v>1</v>
      </c>
      <c r="M757" t="n">
        <v>0</v>
      </c>
    </row>
    <row r="758" spans="1:13">
      <c r="A758" s="1">
        <f>HYPERLINK("http://www.twitter.com/NathanBLawrence/status/994024217342595078", "994024217342595078")</f>
        <v/>
      </c>
      <c r="B758" s="2" t="n">
        <v>43229.05574074074</v>
      </c>
      <c r="C758" t="n">
        <v>0</v>
      </c>
      <c r="D758" t="n">
        <v>14081</v>
      </c>
      <c r="E758" t="s">
        <v>769</v>
      </c>
      <c r="F758">
        <f>HYPERLINK("https://video.twimg.com/amplify_video/993928565832876033/vid/1280x720/BoaHiydQj1tcBUon.mp4?tag=2", "https://video.twimg.com/amplify_video/993928565832876033/vid/1280x720/BoaHiydQj1tcBUon.mp4?tag=2")</f>
        <v/>
      </c>
      <c r="G758" t="s"/>
      <c r="H758" t="s"/>
      <c r="I758" t="s"/>
      <c r="J758" t="n">
        <v>0.296</v>
      </c>
      <c r="K758" t="n">
        <v>0.147</v>
      </c>
      <c r="L758" t="n">
        <v>0.594</v>
      </c>
      <c r="M758" t="n">
        <v>0.259</v>
      </c>
    </row>
    <row r="759" spans="1:13">
      <c r="A759" s="1">
        <f>HYPERLINK("http://www.twitter.com/NathanBLawrence/status/994023587936907264", "994023587936907264")</f>
        <v/>
      </c>
      <c r="B759" s="2" t="n">
        <v>43229.05400462963</v>
      </c>
      <c r="C759" t="n">
        <v>0</v>
      </c>
      <c r="D759" t="n">
        <v>2400</v>
      </c>
      <c r="E759" t="s">
        <v>770</v>
      </c>
      <c r="F759" t="s"/>
      <c r="G759" t="s"/>
      <c r="H759" t="s"/>
      <c r="I759" t="s"/>
      <c r="J759" t="n">
        <v>0.3182</v>
      </c>
      <c r="K759" t="n">
        <v>0</v>
      </c>
      <c r="L759" t="n">
        <v>0.909</v>
      </c>
      <c r="M759" t="n">
        <v>0.091</v>
      </c>
    </row>
    <row r="760" spans="1:13">
      <c r="A760" s="1">
        <f>HYPERLINK("http://www.twitter.com/NathanBLawrence/status/994022584206413824", "994022584206413824")</f>
        <v/>
      </c>
      <c r="B760" s="2" t="n">
        <v>43229.05122685185</v>
      </c>
      <c r="C760" t="n">
        <v>0</v>
      </c>
      <c r="D760" t="n">
        <v>70</v>
      </c>
      <c r="E760" t="s">
        <v>771</v>
      </c>
      <c r="F760">
        <f>HYPERLINK("http://pbs.twimg.com/media/DctfAEzVQAEPrIt.jpg", "http://pbs.twimg.com/media/DctfAEzVQAEPrIt.jpg")</f>
        <v/>
      </c>
      <c r="G760" t="s"/>
      <c r="H760" t="s"/>
      <c r="I760" t="s"/>
      <c r="J760" t="n">
        <v>0.4019</v>
      </c>
      <c r="K760" t="n">
        <v>0</v>
      </c>
      <c r="L760" t="n">
        <v>0.828</v>
      </c>
      <c r="M760" t="n">
        <v>0.172</v>
      </c>
    </row>
    <row r="761" spans="1:13">
      <c r="A761" s="1">
        <f>HYPERLINK("http://www.twitter.com/NathanBLawrence/status/994018395015262209", "994018395015262209")</f>
        <v/>
      </c>
      <c r="B761" s="2" t="n">
        <v>43229.03966435185</v>
      </c>
      <c r="C761" t="n">
        <v>0</v>
      </c>
      <c r="D761" t="n">
        <v>133</v>
      </c>
      <c r="E761" t="s">
        <v>772</v>
      </c>
      <c r="F761">
        <f>HYPERLINK("http://pbs.twimg.com/media/DctbdE4V0AARp7Q.jpg", "http://pbs.twimg.com/media/DctbdE4V0AARp7Q.jpg")</f>
        <v/>
      </c>
      <c r="G761" t="s"/>
      <c r="H761" t="s"/>
      <c r="I761" t="s"/>
      <c r="J761" t="n">
        <v>0.6588000000000001</v>
      </c>
      <c r="K761" t="n">
        <v>0</v>
      </c>
      <c r="L761" t="n">
        <v>0.672</v>
      </c>
      <c r="M761" t="n">
        <v>0.328</v>
      </c>
    </row>
    <row r="762" spans="1:13">
      <c r="A762" s="1">
        <f>HYPERLINK("http://www.twitter.com/NathanBLawrence/status/994018057323466752", "994018057323466752")</f>
        <v/>
      </c>
      <c r="B762" s="2" t="n">
        <v>43229.03873842592</v>
      </c>
      <c r="C762" t="n">
        <v>0</v>
      </c>
      <c r="D762" t="n">
        <v>299</v>
      </c>
      <c r="E762" t="s">
        <v>773</v>
      </c>
      <c r="F762">
        <f>HYPERLINK("http://pbs.twimg.com/media/DctEs8oWAAA4cpD.jpg", "http://pbs.twimg.com/media/DctEs8oWAAA4cpD.jpg")</f>
        <v/>
      </c>
      <c r="G762" t="s"/>
      <c r="H762" t="s"/>
      <c r="I762" t="s"/>
      <c r="J762" t="n">
        <v>0.34</v>
      </c>
      <c r="K762" t="n">
        <v>0</v>
      </c>
      <c r="L762" t="n">
        <v>0.893</v>
      </c>
      <c r="M762" t="n">
        <v>0.107</v>
      </c>
    </row>
    <row r="763" spans="1:13">
      <c r="A763" s="1">
        <f>HYPERLINK("http://www.twitter.com/NathanBLawrence/status/994018027313262592", "994018027313262592")</f>
        <v/>
      </c>
      <c r="B763" s="2" t="n">
        <v>43229.03865740741</v>
      </c>
      <c r="C763" t="n">
        <v>0</v>
      </c>
      <c r="D763" t="n">
        <v>2538</v>
      </c>
      <c r="E763" t="s">
        <v>774</v>
      </c>
      <c r="F763">
        <f>HYPERLINK("http://pbs.twimg.com/media/DctwydVXkAA_NLD.jpg", "http://pbs.twimg.com/media/DctwydVXkAA_NLD.jpg")</f>
        <v/>
      </c>
      <c r="G763" t="s"/>
      <c r="H763" t="s"/>
      <c r="I763" t="s"/>
      <c r="J763" t="n">
        <v>-0.4939</v>
      </c>
      <c r="K763" t="n">
        <v>0.122</v>
      </c>
      <c r="L763" t="n">
        <v>0.878</v>
      </c>
      <c r="M763" t="n">
        <v>0</v>
      </c>
    </row>
    <row r="764" spans="1:13">
      <c r="A764" s="1">
        <f>HYPERLINK("http://www.twitter.com/NathanBLawrence/status/994017883553501185", "994017883553501185")</f>
        <v/>
      </c>
      <c r="B764" s="2" t="n">
        <v>43229.03826388889</v>
      </c>
      <c r="C764" t="n">
        <v>0</v>
      </c>
      <c r="D764" t="n">
        <v>223</v>
      </c>
      <c r="E764" t="s">
        <v>775</v>
      </c>
      <c r="F764" t="s"/>
      <c r="G764" t="s"/>
      <c r="H764" t="s"/>
      <c r="I764" t="s"/>
      <c r="J764" t="n">
        <v>-0.0772</v>
      </c>
      <c r="K764" t="n">
        <v>0.127</v>
      </c>
      <c r="L764" t="n">
        <v>0.761</v>
      </c>
      <c r="M764" t="n">
        <v>0.112</v>
      </c>
    </row>
    <row r="765" spans="1:13">
      <c r="A765" s="1">
        <f>HYPERLINK("http://www.twitter.com/NathanBLawrence/status/993988845187289089", "993988845187289089")</f>
        <v/>
      </c>
      <c r="B765" s="2" t="n">
        <v>43228.958125</v>
      </c>
      <c r="C765" t="n">
        <v>0</v>
      </c>
      <c r="D765" t="n">
        <v>859</v>
      </c>
      <c r="E765" t="s">
        <v>776</v>
      </c>
      <c r="F765" t="s"/>
      <c r="G765" t="s"/>
      <c r="H765" t="s"/>
      <c r="I765" t="s"/>
      <c r="J765" t="n">
        <v>-0.5106000000000001</v>
      </c>
      <c r="K765" t="n">
        <v>0.171</v>
      </c>
      <c r="L765" t="n">
        <v>0.829</v>
      </c>
      <c r="M765" t="n">
        <v>0</v>
      </c>
    </row>
    <row r="766" spans="1:13">
      <c r="A766" s="1">
        <f>HYPERLINK("http://www.twitter.com/NathanBLawrence/status/993988649900441605", "993988649900441605")</f>
        <v/>
      </c>
      <c r="B766" s="2" t="n">
        <v>43228.95759259259</v>
      </c>
      <c r="C766" t="n">
        <v>0</v>
      </c>
      <c r="D766" t="n">
        <v>338</v>
      </c>
      <c r="E766" t="s">
        <v>777</v>
      </c>
      <c r="F766" t="s"/>
      <c r="G766" t="s"/>
      <c r="H766" t="s"/>
      <c r="I766" t="s"/>
      <c r="J766" t="n">
        <v>0.5766</v>
      </c>
      <c r="K766" t="n">
        <v>0</v>
      </c>
      <c r="L766" t="n">
        <v>0.6820000000000001</v>
      </c>
      <c r="M766" t="n">
        <v>0.318</v>
      </c>
    </row>
    <row r="767" spans="1:13">
      <c r="A767" s="1">
        <f>HYPERLINK("http://www.twitter.com/NathanBLawrence/status/993988189613326342", "993988189613326342")</f>
        <v/>
      </c>
      <c r="B767" s="2" t="n">
        <v>43228.95631944444</v>
      </c>
      <c r="C767" t="n">
        <v>0</v>
      </c>
      <c r="D767" t="n">
        <v>178</v>
      </c>
      <c r="E767" t="s">
        <v>778</v>
      </c>
      <c r="F767" t="s"/>
      <c r="G767" t="s"/>
      <c r="H767" t="s"/>
      <c r="I767" t="s"/>
      <c r="J767" t="n">
        <v>0.6369</v>
      </c>
      <c r="K767" t="n">
        <v>0</v>
      </c>
      <c r="L767" t="n">
        <v>0.84</v>
      </c>
      <c r="M767" t="n">
        <v>0.16</v>
      </c>
    </row>
    <row r="768" spans="1:13">
      <c r="A768" s="1">
        <f>HYPERLINK("http://www.twitter.com/NathanBLawrence/status/993987120619573248", "993987120619573248")</f>
        <v/>
      </c>
      <c r="B768" s="2" t="n">
        <v>43228.95336805555</v>
      </c>
      <c r="C768" t="n">
        <v>0</v>
      </c>
      <c r="D768" t="n">
        <v>226</v>
      </c>
      <c r="E768" t="s">
        <v>779</v>
      </c>
      <c r="F768">
        <f>HYPERLINK("https://video.twimg.com/amplify_video/993985266196123648/vid/1280x720/0M6peJZ_IbcSn7J0.mp4?tag=2", "https://video.twimg.com/amplify_video/993985266196123648/vid/1280x720/0M6peJZ_IbcSn7J0.mp4?tag=2")</f>
        <v/>
      </c>
      <c r="G768" t="s"/>
      <c r="H768" t="s"/>
      <c r="I768" t="s"/>
      <c r="J768" t="n">
        <v>0.6124000000000001</v>
      </c>
      <c r="K768" t="n">
        <v>0</v>
      </c>
      <c r="L768" t="n">
        <v>0.792</v>
      </c>
      <c r="M768" t="n">
        <v>0.208</v>
      </c>
    </row>
    <row r="769" spans="1:13">
      <c r="A769" s="1">
        <f>HYPERLINK("http://www.twitter.com/NathanBLawrence/status/993984502123913222", "993984502123913222")</f>
        <v/>
      </c>
      <c r="B769" s="2" t="n">
        <v>43228.94614583333</v>
      </c>
      <c r="C769" t="n">
        <v>0</v>
      </c>
      <c r="D769" t="n">
        <v>739</v>
      </c>
      <c r="E769" t="s">
        <v>780</v>
      </c>
      <c r="F769">
        <f>HYPERLINK("http://pbs.twimg.com/media/DcsbcKAWAAAs7V5.jpg", "http://pbs.twimg.com/media/DcsbcKAWAAAs7V5.jpg")</f>
        <v/>
      </c>
      <c r="G769" t="s"/>
      <c r="H769" t="s"/>
      <c r="I769" t="s"/>
      <c r="J769" t="n">
        <v>-0.8676</v>
      </c>
      <c r="K769" t="n">
        <v>0.369</v>
      </c>
      <c r="L769" t="n">
        <v>0.631</v>
      </c>
      <c r="M769" t="n">
        <v>0</v>
      </c>
    </row>
    <row r="770" spans="1:13">
      <c r="A770" s="1">
        <f>HYPERLINK("http://www.twitter.com/NathanBLawrence/status/993984248779542528", "993984248779542528")</f>
        <v/>
      </c>
      <c r="B770" s="2" t="n">
        <v>43228.94543981482</v>
      </c>
      <c r="C770" t="n">
        <v>0</v>
      </c>
      <c r="D770" t="n">
        <v>564</v>
      </c>
      <c r="E770" t="s">
        <v>781</v>
      </c>
      <c r="F770">
        <f>HYPERLINK("https://video.twimg.com/ext_tw_video/993938604882833410/pu/vid/480x480/tU2de7Yx4GAX0Er-.mp4?tag=3", "https://video.twimg.com/ext_tw_video/993938604882833410/pu/vid/480x480/tU2de7Yx4GAX0Er-.mp4?tag=3")</f>
        <v/>
      </c>
      <c r="G770" t="s"/>
      <c r="H770" t="s"/>
      <c r="I770" t="s"/>
      <c r="J770" t="n">
        <v>0.0516</v>
      </c>
      <c r="K770" t="n">
        <v>0.096</v>
      </c>
      <c r="L770" t="n">
        <v>0.8</v>
      </c>
      <c r="M770" t="n">
        <v>0.104</v>
      </c>
    </row>
    <row r="771" spans="1:13">
      <c r="A771" s="1">
        <f>HYPERLINK("http://www.twitter.com/NathanBLawrence/status/993983958726643713", "993983958726643713")</f>
        <v/>
      </c>
      <c r="B771" s="2" t="n">
        <v>43228.94464120371</v>
      </c>
      <c r="C771" t="n">
        <v>0</v>
      </c>
      <c r="D771" t="n">
        <v>304</v>
      </c>
      <c r="E771" t="s">
        <v>782</v>
      </c>
      <c r="F771">
        <f>HYPERLINK("http://pbs.twimg.com/media/DctTU16XUAAoqIe.jpg", "http://pbs.twimg.com/media/DctTU16XUAAoqIe.jpg")</f>
        <v/>
      </c>
      <c r="G771" t="s"/>
      <c r="H771" t="s"/>
      <c r="I771" t="s"/>
      <c r="J771" t="n">
        <v>0.3818</v>
      </c>
      <c r="K771" t="n">
        <v>0</v>
      </c>
      <c r="L771" t="n">
        <v>0.88</v>
      </c>
      <c r="M771" t="n">
        <v>0.12</v>
      </c>
    </row>
    <row r="772" spans="1:13">
      <c r="A772" s="1">
        <f>HYPERLINK("http://www.twitter.com/NathanBLawrence/status/993983694833635333", "993983694833635333")</f>
        <v/>
      </c>
      <c r="B772" s="2" t="n">
        <v>43228.94391203704</v>
      </c>
      <c r="C772" t="n">
        <v>0</v>
      </c>
      <c r="D772" t="n">
        <v>14</v>
      </c>
      <c r="E772" t="s">
        <v>783</v>
      </c>
      <c r="F772" t="s"/>
      <c r="G772" t="s"/>
      <c r="H772" t="s"/>
      <c r="I772" t="s"/>
      <c r="J772" t="n">
        <v>0</v>
      </c>
      <c r="K772" t="n">
        <v>0</v>
      </c>
      <c r="L772" t="n">
        <v>1</v>
      </c>
      <c r="M772" t="n">
        <v>0</v>
      </c>
    </row>
    <row r="773" spans="1:13">
      <c r="A773" s="1">
        <f>HYPERLINK("http://www.twitter.com/NathanBLawrence/status/993982913686507527", "993982913686507527")</f>
        <v/>
      </c>
      <c r="B773" s="2" t="n">
        <v>43228.94175925926</v>
      </c>
      <c r="C773" t="n">
        <v>0</v>
      </c>
      <c r="D773" t="n">
        <v>34</v>
      </c>
      <c r="E773" t="s">
        <v>784</v>
      </c>
      <c r="F773" t="s"/>
      <c r="G773" t="s"/>
      <c r="H773" t="s"/>
      <c r="I773" t="s"/>
      <c r="J773" t="n">
        <v>-0.1027</v>
      </c>
      <c r="K773" t="n">
        <v>0.183</v>
      </c>
      <c r="L773" t="n">
        <v>0.6870000000000001</v>
      </c>
      <c r="M773" t="n">
        <v>0.13</v>
      </c>
    </row>
    <row r="774" spans="1:13">
      <c r="A774" s="1">
        <f>HYPERLINK("http://www.twitter.com/NathanBLawrence/status/993972879577493504", "993972879577493504")</f>
        <v/>
      </c>
      <c r="B774" s="2" t="n">
        <v>43228.91407407408</v>
      </c>
      <c r="C774" t="n">
        <v>0</v>
      </c>
      <c r="D774" t="n">
        <v>2875</v>
      </c>
      <c r="E774" t="s">
        <v>785</v>
      </c>
      <c r="F774" t="s"/>
      <c r="G774" t="s"/>
      <c r="H774" t="s"/>
      <c r="I774" t="s"/>
      <c r="J774" t="n">
        <v>0.0772</v>
      </c>
      <c r="K774" t="n">
        <v>0</v>
      </c>
      <c r="L774" t="n">
        <v>0.951</v>
      </c>
      <c r="M774" t="n">
        <v>0.049</v>
      </c>
    </row>
    <row r="775" spans="1:13">
      <c r="A775" s="1">
        <f>HYPERLINK("http://www.twitter.com/NathanBLawrence/status/993971434522398721", "993971434522398721")</f>
        <v/>
      </c>
      <c r="B775" s="2" t="n">
        <v>43228.91008101852</v>
      </c>
      <c r="C775" t="n">
        <v>0</v>
      </c>
      <c r="D775" t="n">
        <v>538</v>
      </c>
      <c r="E775" t="s">
        <v>786</v>
      </c>
      <c r="F775">
        <f>HYPERLINK("https://video.twimg.com/amplify_video/993961849560420356/vid/1280x720/wfIgMB3UujgWOoGk.mp4?tag=2", "https://video.twimg.com/amplify_video/993961849560420356/vid/1280x720/wfIgMB3UujgWOoGk.mp4?tag=2")</f>
        <v/>
      </c>
      <c r="G775" t="s"/>
      <c r="H775" t="s"/>
      <c r="I775" t="s"/>
      <c r="J775" t="n">
        <v>-0.296</v>
      </c>
      <c r="K775" t="n">
        <v>0.091</v>
      </c>
      <c r="L775" t="n">
        <v>0.909</v>
      </c>
      <c r="M775" t="n">
        <v>0</v>
      </c>
    </row>
    <row r="776" spans="1:13">
      <c r="A776" s="1">
        <f>HYPERLINK("http://www.twitter.com/NathanBLawrence/status/993971235779424256", "993971235779424256")</f>
        <v/>
      </c>
      <c r="B776" s="2" t="n">
        <v>43228.90953703703</v>
      </c>
      <c r="C776" t="n">
        <v>0</v>
      </c>
      <c r="D776" t="n">
        <v>821</v>
      </c>
      <c r="E776" t="s">
        <v>787</v>
      </c>
      <c r="F776" t="s"/>
      <c r="G776" t="s"/>
      <c r="H776" t="s"/>
      <c r="I776" t="s"/>
      <c r="J776" t="n">
        <v>0</v>
      </c>
      <c r="K776" t="n">
        <v>0</v>
      </c>
      <c r="L776" t="n">
        <v>1</v>
      </c>
      <c r="M776" t="n">
        <v>0</v>
      </c>
    </row>
    <row r="777" spans="1:13">
      <c r="A777" s="1">
        <f>HYPERLINK("http://www.twitter.com/NathanBLawrence/status/993970623121645569", "993970623121645569")</f>
        <v/>
      </c>
      <c r="B777" s="2" t="n">
        <v>43228.90784722222</v>
      </c>
      <c r="C777" t="n">
        <v>0</v>
      </c>
      <c r="D777" t="n">
        <v>393</v>
      </c>
      <c r="E777" t="s">
        <v>788</v>
      </c>
      <c r="F777">
        <f>HYPERLINK("http://pbs.twimg.com/media/Dcs0vHiVAAAT6OR.jpg", "http://pbs.twimg.com/media/Dcs0vHiVAAAT6OR.jpg")</f>
        <v/>
      </c>
      <c r="G777" t="s"/>
      <c r="H777" t="s"/>
      <c r="I777" t="s"/>
      <c r="J777" t="n">
        <v>-0.2244</v>
      </c>
      <c r="K777" t="n">
        <v>0.1</v>
      </c>
      <c r="L777" t="n">
        <v>0.9</v>
      </c>
      <c r="M777" t="n">
        <v>0</v>
      </c>
    </row>
    <row r="778" spans="1:13">
      <c r="A778" s="1">
        <f>HYPERLINK("http://www.twitter.com/NathanBLawrence/status/993895826706448384", "993895826706448384")</f>
        <v/>
      </c>
      <c r="B778" s="2" t="n">
        <v>43228.70144675926</v>
      </c>
      <c r="C778" t="n">
        <v>0</v>
      </c>
      <c r="D778" t="n">
        <v>236</v>
      </c>
      <c r="E778" t="s">
        <v>789</v>
      </c>
      <c r="F778" t="s"/>
      <c r="G778" t="s"/>
      <c r="H778" t="s"/>
      <c r="I778" t="s"/>
      <c r="J778" t="n">
        <v>-0.628</v>
      </c>
      <c r="K778" t="n">
        <v>0.224</v>
      </c>
      <c r="L778" t="n">
        <v>0.677</v>
      </c>
      <c r="M778" t="n">
        <v>0.1</v>
      </c>
    </row>
    <row r="779" spans="1:13">
      <c r="A779" s="1">
        <f>HYPERLINK("http://www.twitter.com/NathanBLawrence/status/993895557755219969", "993895557755219969")</f>
        <v/>
      </c>
      <c r="B779" s="2" t="n">
        <v>43228.70070601852</v>
      </c>
      <c r="C779" t="n">
        <v>0</v>
      </c>
      <c r="D779" t="n">
        <v>83</v>
      </c>
      <c r="E779" t="s">
        <v>790</v>
      </c>
      <c r="F779" t="s"/>
      <c r="G779" t="s"/>
      <c r="H779" t="s"/>
      <c r="I779" t="s"/>
      <c r="J779" t="n">
        <v>0.4939</v>
      </c>
      <c r="K779" t="n">
        <v>0</v>
      </c>
      <c r="L779" t="n">
        <v>0.775</v>
      </c>
      <c r="M779" t="n">
        <v>0.225</v>
      </c>
    </row>
    <row r="780" spans="1:13">
      <c r="A780" s="1">
        <f>HYPERLINK("http://www.twitter.com/NathanBLawrence/status/993894768257257472", "993894768257257472")</f>
        <v/>
      </c>
      <c r="B780" s="2" t="n">
        <v>43228.6985300926</v>
      </c>
      <c r="C780" t="n">
        <v>0</v>
      </c>
      <c r="D780" t="n">
        <v>4</v>
      </c>
      <c r="E780" t="s">
        <v>791</v>
      </c>
      <c r="F780">
        <f>HYPERLINK("http://pbs.twimg.com/media/DcsE4AGVAAALWOc.jpg", "http://pbs.twimg.com/media/DcsE4AGVAAALWOc.jpg")</f>
        <v/>
      </c>
      <c r="G780" t="s"/>
      <c r="H780" t="s"/>
      <c r="I780" t="s"/>
      <c r="J780" t="n">
        <v>0</v>
      </c>
      <c r="K780" t="n">
        <v>0</v>
      </c>
      <c r="L780" t="n">
        <v>1</v>
      </c>
      <c r="M780" t="n">
        <v>0</v>
      </c>
    </row>
    <row r="781" spans="1:13">
      <c r="A781" s="1">
        <f>HYPERLINK("http://www.twitter.com/NathanBLawrence/status/993893883686813696", "993893883686813696")</f>
        <v/>
      </c>
      <c r="B781" s="2" t="n">
        <v>43228.69608796296</v>
      </c>
      <c r="C781" t="n">
        <v>0</v>
      </c>
      <c r="D781" t="n">
        <v>2359</v>
      </c>
      <c r="E781" t="s">
        <v>792</v>
      </c>
      <c r="F781" t="s"/>
      <c r="G781" t="s"/>
      <c r="H781" t="s"/>
      <c r="I781" t="s"/>
      <c r="J781" t="n">
        <v>-0.0516</v>
      </c>
      <c r="K781" t="n">
        <v>0.146</v>
      </c>
      <c r="L781" t="n">
        <v>0.75</v>
      </c>
      <c r="M781" t="n">
        <v>0.104</v>
      </c>
    </row>
    <row r="782" spans="1:13">
      <c r="A782" s="1">
        <f>HYPERLINK("http://www.twitter.com/NathanBLawrence/status/993843434904543232", "993843434904543232")</f>
        <v/>
      </c>
      <c r="B782" s="2" t="n">
        <v>43228.556875</v>
      </c>
      <c r="C782" t="n">
        <v>0</v>
      </c>
      <c r="D782" t="n">
        <v>931</v>
      </c>
      <c r="E782" t="s">
        <v>793</v>
      </c>
      <c r="F782" t="s"/>
      <c r="G782" t="s"/>
      <c r="H782" t="s"/>
      <c r="I782" t="s"/>
      <c r="J782" t="n">
        <v>-0.5423</v>
      </c>
      <c r="K782" t="n">
        <v>0.17</v>
      </c>
      <c r="L782" t="n">
        <v>0.83</v>
      </c>
      <c r="M782" t="n">
        <v>0</v>
      </c>
    </row>
    <row r="783" spans="1:13">
      <c r="A783" s="1">
        <f>HYPERLINK("http://www.twitter.com/NathanBLawrence/status/993843379623682048", "993843379623682048")</f>
        <v/>
      </c>
      <c r="B783" s="2" t="n">
        <v>43228.55672453704</v>
      </c>
      <c r="C783" t="n">
        <v>0</v>
      </c>
      <c r="D783" t="n">
        <v>30</v>
      </c>
      <c r="E783" t="s">
        <v>794</v>
      </c>
      <c r="F783" t="s"/>
      <c r="G783" t="s"/>
      <c r="H783" t="s"/>
      <c r="I783" t="s"/>
      <c r="J783" t="n">
        <v>0.4404</v>
      </c>
      <c r="K783" t="n">
        <v>0</v>
      </c>
      <c r="L783" t="n">
        <v>0.854</v>
      </c>
      <c r="M783" t="n">
        <v>0.146</v>
      </c>
    </row>
    <row r="784" spans="1:13">
      <c r="A784" s="1">
        <f>HYPERLINK("http://www.twitter.com/NathanBLawrence/status/993843201835495424", "993843201835495424")</f>
        <v/>
      </c>
      <c r="B784" s="2" t="n">
        <v>43228.55622685186</v>
      </c>
      <c r="C784" t="n">
        <v>0</v>
      </c>
      <c r="D784" t="n">
        <v>441</v>
      </c>
      <c r="E784" t="s">
        <v>795</v>
      </c>
      <c r="F784" t="s"/>
      <c r="G784" t="s"/>
      <c r="H784" t="s"/>
      <c r="I784" t="s"/>
      <c r="J784" t="n">
        <v>-0.3818</v>
      </c>
      <c r="K784" t="n">
        <v>0.115</v>
      </c>
      <c r="L784" t="n">
        <v>0.885</v>
      </c>
      <c r="M784" t="n">
        <v>0</v>
      </c>
    </row>
    <row r="785" spans="1:13">
      <c r="A785" s="1">
        <f>HYPERLINK("http://www.twitter.com/NathanBLawrence/status/993709922851356672", "993709922851356672")</f>
        <v/>
      </c>
      <c r="B785" s="2" t="n">
        <v>43228.18844907408</v>
      </c>
      <c r="C785" t="n">
        <v>0</v>
      </c>
      <c r="D785" t="n">
        <v>162</v>
      </c>
      <c r="E785" t="s">
        <v>796</v>
      </c>
      <c r="F785" t="s"/>
      <c r="G785" t="s"/>
      <c r="H785" t="s"/>
      <c r="I785" t="s"/>
      <c r="J785" t="n">
        <v>0.6369</v>
      </c>
      <c r="K785" t="n">
        <v>0</v>
      </c>
      <c r="L785" t="n">
        <v>0.8110000000000001</v>
      </c>
      <c r="M785" t="n">
        <v>0.189</v>
      </c>
    </row>
    <row r="786" spans="1:13">
      <c r="A786" s="1">
        <f>HYPERLINK("http://www.twitter.com/NathanBLawrence/status/993708326511894528", "993708326511894528")</f>
        <v/>
      </c>
      <c r="B786" s="2" t="n">
        <v>43228.18403935185</v>
      </c>
      <c r="C786" t="n">
        <v>0</v>
      </c>
      <c r="D786" t="n">
        <v>2</v>
      </c>
      <c r="E786" t="s">
        <v>797</v>
      </c>
      <c r="F786" t="s"/>
      <c r="G786" t="s"/>
      <c r="H786" t="s"/>
      <c r="I786" t="s"/>
      <c r="J786" t="n">
        <v>0.4215</v>
      </c>
      <c r="K786" t="n">
        <v>0</v>
      </c>
      <c r="L786" t="n">
        <v>0.588</v>
      </c>
      <c r="M786" t="n">
        <v>0.412</v>
      </c>
    </row>
    <row r="787" spans="1:13">
      <c r="A787" s="1">
        <f>HYPERLINK("http://www.twitter.com/NathanBLawrence/status/993707732292251648", "993707732292251648")</f>
        <v/>
      </c>
      <c r="B787" s="2" t="n">
        <v>43228.18240740741</v>
      </c>
      <c r="C787" t="n">
        <v>0</v>
      </c>
      <c r="D787" t="n">
        <v>16</v>
      </c>
      <c r="E787" t="s">
        <v>798</v>
      </c>
      <c r="F787">
        <f>HYPERLINK("http://pbs.twimg.com/media/DcpaaBIW4AAZVzS.jpg", "http://pbs.twimg.com/media/DcpaaBIW4AAZVzS.jpg")</f>
        <v/>
      </c>
      <c r="G787" t="s"/>
      <c r="H787" t="s"/>
      <c r="I787" t="s"/>
      <c r="J787" t="n">
        <v>0</v>
      </c>
      <c r="K787" t="n">
        <v>0</v>
      </c>
      <c r="L787" t="n">
        <v>1</v>
      </c>
      <c r="M787" t="n">
        <v>0</v>
      </c>
    </row>
    <row r="788" spans="1:13">
      <c r="A788" s="1">
        <f>HYPERLINK("http://www.twitter.com/NathanBLawrence/status/993707594555551744", "993707594555551744")</f>
        <v/>
      </c>
      <c r="B788" s="2" t="n">
        <v>43228.18202546296</v>
      </c>
      <c r="C788" t="n">
        <v>0</v>
      </c>
      <c r="D788" t="n">
        <v>39</v>
      </c>
      <c r="E788" t="s">
        <v>799</v>
      </c>
      <c r="F788" t="s"/>
      <c r="G788" t="s"/>
      <c r="H788" t="s"/>
      <c r="I788" t="s"/>
      <c r="J788" t="n">
        <v>0</v>
      </c>
      <c r="K788" t="n">
        <v>0</v>
      </c>
      <c r="L788" t="n">
        <v>1</v>
      </c>
      <c r="M788" t="n">
        <v>0</v>
      </c>
    </row>
    <row r="789" spans="1:13">
      <c r="A789" s="1">
        <f>HYPERLINK("http://www.twitter.com/NathanBLawrence/status/993707137103785984", "993707137103785984")</f>
        <v/>
      </c>
      <c r="B789" s="2" t="n">
        <v>43228.18076388889</v>
      </c>
      <c r="C789" t="n">
        <v>0</v>
      </c>
      <c r="D789" t="n">
        <v>197</v>
      </c>
      <c r="E789" t="s">
        <v>800</v>
      </c>
      <c r="F789" t="s"/>
      <c r="G789" t="s"/>
      <c r="H789" t="s"/>
      <c r="I789" t="s"/>
      <c r="J789" t="n">
        <v>0.6329</v>
      </c>
      <c r="K789" t="n">
        <v>0.105</v>
      </c>
      <c r="L789" t="n">
        <v>0.598</v>
      </c>
      <c r="M789" t="n">
        <v>0.298</v>
      </c>
    </row>
    <row r="790" spans="1:13">
      <c r="A790" s="1">
        <f>HYPERLINK("http://www.twitter.com/NathanBLawrence/status/993706520293539840", "993706520293539840")</f>
        <v/>
      </c>
      <c r="B790" s="2" t="n">
        <v>43228.1790625</v>
      </c>
      <c r="C790" t="n">
        <v>0</v>
      </c>
      <c r="D790" t="n">
        <v>1258</v>
      </c>
      <c r="E790" t="s">
        <v>801</v>
      </c>
      <c r="F790" t="s"/>
      <c r="G790" t="s"/>
      <c r="H790" t="s"/>
      <c r="I790" t="s"/>
      <c r="J790" t="n">
        <v>-0.6808</v>
      </c>
      <c r="K790" t="n">
        <v>0.269</v>
      </c>
      <c r="L790" t="n">
        <v>0.621</v>
      </c>
      <c r="M790" t="n">
        <v>0.11</v>
      </c>
    </row>
    <row r="791" spans="1:13">
      <c r="A791" s="1">
        <f>HYPERLINK("http://www.twitter.com/NathanBLawrence/status/993705564826988544", "993705564826988544")</f>
        <v/>
      </c>
      <c r="B791" s="2" t="n">
        <v>43228.17642361111</v>
      </c>
      <c r="C791" t="n">
        <v>0</v>
      </c>
      <c r="D791" t="n">
        <v>3132</v>
      </c>
      <c r="E791" t="s">
        <v>802</v>
      </c>
      <c r="F791" t="s"/>
      <c r="G791" t="s"/>
      <c r="H791" t="s"/>
      <c r="I791" t="s"/>
      <c r="J791" t="n">
        <v>0</v>
      </c>
      <c r="K791" t="n">
        <v>0</v>
      </c>
      <c r="L791" t="n">
        <v>1</v>
      </c>
      <c r="M791" t="n">
        <v>0</v>
      </c>
    </row>
    <row r="792" spans="1:13">
      <c r="A792" s="1">
        <f>HYPERLINK("http://www.twitter.com/NathanBLawrence/status/993705300766199808", "993705300766199808")</f>
        <v/>
      </c>
      <c r="B792" s="2" t="n">
        <v>43228.17569444444</v>
      </c>
      <c r="C792" t="n">
        <v>0</v>
      </c>
      <c r="D792" t="n">
        <v>519</v>
      </c>
      <c r="E792" t="s">
        <v>803</v>
      </c>
      <c r="F792" t="s"/>
      <c r="G792" t="s"/>
      <c r="H792" t="s"/>
      <c r="I792" t="s"/>
      <c r="J792" t="n">
        <v>-0.5266999999999999</v>
      </c>
      <c r="K792" t="n">
        <v>0.167</v>
      </c>
      <c r="L792" t="n">
        <v>0.833</v>
      </c>
      <c r="M792" t="n">
        <v>0</v>
      </c>
    </row>
    <row r="793" spans="1:13">
      <c r="A793" s="1">
        <f>HYPERLINK("http://www.twitter.com/NathanBLawrence/status/993704965607772160", "993704965607772160")</f>
        <v/>
      </c>
      <c r="B793" s="2" t="n">
        <v>43228.17476851852</v>
      </c>
      <c r="C793" t="n">
        <v>0</v>
      </c>
      <c r="D793" t="n">
        <v>363</v>
      </c>
      <c r="E793" t="s">
        <v>804</v>
      </c>
      <c r="F793" t="s"/>
      <c r="G793" t="s"/>
      <c r="H793" t="s"/>
      <c r="I793" t="s"/>
      <c r="J793" t="n">
        <v>0</v>
      </c>
      <c r="K793" t="n">
        <v>0</v>
      </c>
      <c r="L793" t="n">
        <v>1</v>
      </c>
      <c r="M793" t="n">
        <v>0</v>
      </c>
    </row>
    <row r="794" spans="1:13">
      <c r="A794" s="1">
        <f>HYPERLINK("http://www.twitter.com/NathanBLawrence/status/993699311207833600", "993699311207833600")</f>
        <v/>
      </c>
      <c r="B794" s="2" t="n">
        <v>43228.15916666666</v>
      </c>
      <c r="C794" t="n">
        <v>0</v>
      </c>
      <c r="D794" t="n">
        <v>346</v>
      </c>
      <c r="E794" t="s">
        <v>805</v>
      </c>
      <c r="F794">
        <f>HYPERLINK("https://video.twimg.com/ext_tw_video/993697958662213633/pu/vid/640x360/RsLX6AMiv9h_A6_R.mp4?tag=3", "https://video.twimg.com/ext_tw_video/993697958662213633/pu/vid/640x360/RsLX6AMiv9h_A6_R.mp4?tag=3")</f>
        <v/>
      </c>
      <c r="G794" t="s"/>
      <c r="H794" t="s"/>
      <c r="I794" t="s"/>
      <c r="J794" t="n">
        <v>0</v>
      </c>
      <c r="K794" t="n">
        <v>0</v>
      </c>
      <c r="L794" t="n">
        <v>1</v>
      </c>
      <c r="M794" t="n">
        <v>0</v>
      </c>
    </row>
    <row r="795" spans="1:13">
      <c r="A795" s="1">
        <f>HYPERLINK("http://www.twitter.com/NathanBLawrence/status/993699171596201984", "993699171596201984")</f>
        <v/>
      </c>
      <c r="B795" s="2" t="n">
        <v>43228.15878472223</v>
      </c>
      <c r="C795" t="n">
        <v>0</v>
      </c>
      <c r="D795" t="n">
        <v>3251</v>
      </c>
      <c r="E795" t="s">
        <v>806</v>
      </c>
      <c r="F795" t="s"/>
      <c r="G795" t="s"/>
      <c r="H795" t="s"/>
      <c r="I795" t="s"/>
      <c r="J795" t="n">
        <v>0.1531</v>
      </c>
      <c r="K795" t="n">
        <v>0</v>
      </c>
      <c r="L795" t="n">
        <v>0.897</v>
      </c>
      <c r="M795" t="n">
        <v>0.103</v>
      </c>
    </row>
    <row r="796" spans="1:13">
      <c r="A796" s="1">
        <f>HYPERLINK("http://www.twitter.com/NathanBLawrence/status/993698890170892288", "993698890170892288")</f>
        <v/>
      </c>
      <c r="B796" s="2" t="n">
        <v>43228.15800925926</v>
      </c>
      <c r="C796" t="n">
        <v>0</v>
      </c>
      <c r="D796" t="n">
        <v>269</v>
      </c>
      <c r="E796" t="s">
        <v>807</v>
      </c>
      <c r="F796" t="s"/>
      <c r="G796" t="s"/>
      <c r="H796" t="s"/>
      <c r="I796" t="s"/>
      <c r="J796" t="n">
        <v>0.4588</v>
      </c>
      <c r="K796" t="n">
        <v>0</v>
      </c>
      <c r="L796" t="n">
        <v>0.5</v>
      </c>
      <c r="M796" t="n">
        <v>0.5</v>
      </c>
    </row>
    <row r="797" spans="1:13">
      <c r="A797" s="1">
        <f>HYPERLINK("http://www.twitter.com/NathanBLawrence/status/993693511320064000", "993693511320064000")</f>
        <v/>
      </c>
      <c r="B797" s="2" t="n">
        <v>43228.14315972223</v>
      </c>
      <c r="C797" t="n">
        <v>0</v>
      </c>
      <c r="D797" t="n">
        <v>316</v>
      </c>
      <c r="E797" t="s">
        <v>808</v>
      </c>
      <c r="F797">
        <f>HYPERLINK("http://pbs.twimg.com/media/DcpOroVVQAEq6qh.jpg", "http://pbs.twimg.com/media/DcpOroVVQAEq6qh.jpg")</f>
        <v/>
      </c>
      <c r="G797" t="s"/>
      <c r="H797" t="s"/>
      <c r="I797" t="s"/>
      <c r="J797" t="n">
        <v>0.3182</v>
      </c>
      <c r="K797" t="n">
        <v>0</v>
      </c>
      <c r="L797" t="n">
        <v>0.881</v>
      </c>
      <c r="M797" t="n">
        <v>0.119</v>
      </c>
    </row>
    <row r="798" spans="1:13">
      <c r="A798" s="1">
        <f>HYPERLINK("http://www.twitter.com/NathanBLawrence/status/993693159535398912", "993693159535398912")</f>
        <v/>
      </c>
      <c r="B798" s="2" t="n">
        <v>43228.1421875</v>
      </c>
      <c r="C798" t="n">
        <v>0</v>
      </c>
      <c r="D798" t="n">
        <v>1169</v>
      </c>
      <c r="E798" t="s">
        <v>809</v>
      </c>
      <c r="F798">
        <f>HYPERLINK("http://pbs.twimg.com/media/DVffg1rUMAAAplu.jpg", "http://pbs.twimg.com/media/DVffg1rUMAAAplu.jpg")</f>
        <v/>
      </c>
      <c r="G798" t="s"/>
      <c r="H798" t="s"/>
      <c r="I798" t="s"/>
      <c r="J798" t="n">
        <v>0.8176</v>
      </c>
      <c r="K798" t="n">
        <v>0</v>
      </c>
      <c r="L798" t="n">
        <v>0.746</v>
      </c>
      <c r="M798" t="n">
        <v>0.254</v>
      </c>
    </row>
    <row r="799" spans="1:13">
      <c r="A799" s="1">
        <f>HYPERLINK("http://www.twitter.com/NathanBLawrence/status/993692794878390272", "993692794878390272")</f>
        <v/>
      </c>
      <c r="B799" s="2" t="n">
        <v>43228.14118055555</v>
      </c>
      <c r="C799" t="n">
        <v>0</v>
      </c>
      <c r="D799" t="n">
        <v>1087</v>
      </c>
      <c r="E799" t="s">
        <v>810</v>
      </c>
      <c r="F799">
        <f>HYPERLINK("http://pbs.twimg.com/media/DconZtzW4AAusDF.jpg", "http://pbs.twimg.com/media/DconZtzW4AAusDF.jpg")</f>
        <v/>
      </c>
      <c r="G799" t="s"/>
      <c r="H799" t="s"/>
      <c r="I799" t="s"/>
      <c r="J799" t="n">
        <v>-0.2263</v>
      </c>
      <c r="K799" t="n">
        <v>0.08699999999999999</v>
      </c>
      <c r="L799" t="n">
        <v>0.913</v>
      </c>
      <c r="M799" t="n">
        <v>0</v>
      </c>
    </row>
    <row r="800" spans="1:13">
      <c r="A800" s="1">
        <f>HYPERLINK("http://www.twitter.com/NathanBLawrence/status/993692682772975618", "993692682772975618")</f>
        <v/>
      </c>
      <c r="B800" s="2" t="n">
        <v>43228.14087962963</v>
      </c>
      <c r="C800" t="n">
        <v>0</v>
      </c>
      <c r="D800" t="n">
        <v>13856</v>
      </c>
      <c r="E800" t="s">
        <v>811</v>
      </c>
      <c r="F800" t="s"/>
      <c r="G800" t="s"/>
      <c r="H800" t="s"/>
      <c r="I800" t="s"/>
      <c r="J800" t="n">
        <v>-0.5255</v>
      </c>
      <c r="K800" t="n">
        <v>0.159</v>
      </c>
      <c r="L800" t="n">
        <v>0.841</v>
      </c>
      <c r="M800" t="n">
        <v>0</v>
      </c>
    </row>
    <row r="801" spans="1:13">
      <c r="A801" s="1">
        <f>HYPERLINK("http://www.twitter.com/NathanBLawrence/status/993692366602227713", "993692366602227713")</f>
        <v/>
      </c>
      <c r="B801" s="2" t="n">
        <v>43228.14</v>
      </c>
      <c r="C801" t="n">
        <v>0</v>
      </c>
      <c r="D801" t="n">
        <v>481</v>
      </c>
      <c r="E801" t="s">
        <v>812</v>
      </c>
      <c r="F801" t="s"/>
      <c r="G801" t="s"/>
      <c r="H801" t="s"/>
      <c r="I801" t="s"/>
      <c r="J801" t="n">
        <v>-0.0516</v>
      </c>
      <c r="K801" t="n">
        <v>0.13</v>
      </c>
      <c r="L801" t="n">
        <v>0.75</v>
      </c>
      <c r="M801" t="n">
        <v>0.12</v>
      </c>
    </row>
    <row r="802" spans="1:13">
      <c r="A802" s="1">
        <f>HYPERLINK("http://www.twitter.com/NathanBLawrence/status/993692309693849600", "993692309693849600")</f>
        <v/>
      </c>
      <c r="B802" s="2" t="n">
        <v>43228.13984953704</v>
      </c>
      <c r="C802" t="n">
        <v>0</v>
      </c>
      <c r="D802" t="n">
        <v>252</v>
      </c>
      <c r="E802" t="s">
        <v>813</v>
      </c>
      <c r="F802">
        <f>HYPERLINK("https://video.twimg.com/amplify_video/993689282253676545/vid/1280x720/65KqWJc8mRAaly0Y.mp4?tag=2", "https://video.twimg.com/amplify_video/993689282253676545/vid/1280x720/65KqWJc8mRAaly0Y.mp4?tag=2")</f>
        <v/>
      </c>
      <c r="G802" t="s"/>
      <c r="H802" t="s"/>
      <c r="I802" t="s"/>
      <c r="J802" t="n">
        <v>0.6249</v>
      </c>
      <c r="K802" t="n">
        <v>0</v>
      </c>
      <c r="L802" t="n">
        <v>0.788</v>
      </c>
      <c r="M802" t="n">
        <v>0.212</v>
      </c>
    </row>
    <row r="803" spans="1:13">
      <c r="A803" s="1">
        <f>HYPERLINK("http://www.twitter.com/NathanBLawrence/status/993692231990210561", "993692231990210561")</f>
        <v/>
      </c>
      <c r="B803" s="2" t="n">
        <v>43228.13962962963</v>
      </c>
      <c r="C803" t="n">
        <v>0</v>
      </c>
      <c r="D803" t="n">
        <v>339</v>
      </c>
      <c r="E803" t="s">
        <v>814</v>
      </c>
      <c r="F803" t="s"/>
      <c r="G803" t="s"/>
      <c r="H803" t="s"/>
      <c r="I803" t="s"/>
      <c r="J803" t="n">
        <v>0.7249</v>
      </c>
      <c r="K803" t="n">
        <v>0</v>
      </c>
      <c r="L803" t="n">
        <v>0.612</v>
      </c>
      <c r="M803" t="n">
        <v>0.388</v>
      </c>
    </row>
    <row r="804" spans="1:13">
      <c r="A804" s="1">
        <f>HYPERLINK("http://www.twitter.com/NathanBLawrence/status/993691497395613696", "993691497395613696")</f>
        <v/>
      </c>
      <c r="B804" s="2" t="n">
        <v>43228.13760416667</v>
      </c>
      <c r="C804" t="n">
        <v>0</v>
      </c>
      <c r="D804" t="n">
        <v>1104</v>
      </c>
      <c r="E804" t="s">
        <v>815</v>
      </c>
      <c r="F804">
        <f>HYPERLINK("http://pbs.twimg.com/media/DcpDs4UV0AAgDLS.jpg", "http://pbs.twimg.com/media/DcpDs4UV0AAgDLS.jpg")</f>
        <v/>
      </c>
      <c r="G804" t="s"/>
      <c r="H804" t="s"/>
      <c r="I804" t="s"/>
      <c r="J804" t="n">
        <v>-0.4019</v>
      </c>
      <c r="K804" t="n">
        <v>0.232</v>
      </c>
      <c r="L804" t="n">
        <v>0.659</v>
      </c>
      <c r="M804" t="n">
        <v>0.11</v>
      </c>
    </row>
    <row r="805" spans="1:13">
      <c r="A805" s="1">
        <f>HYPERLINK("http://www.twitter.com/NathanBLawrence/status/993687894345777152", "993687894345777152")</f>
        <v/>
      </c>
      <c r="B805" s="2" t="n">
        <v>43228.12766203703</v>
      </c>
      <c r="C805" t="n">
        <v>0</v>
      </c>
      <c r="D805" t="n">
        <v>10</v>
      </c>
      <c r="E805" t="s">
        <v>816</v>
      </c>
      <c r="F805">
        <f>HYPERLINK("http://pbs.twimg.com/media/Dco9zCTW0AAVvHD.jpg", "http://pbs.twimg.com/media/Dco9zCTW0AAVvHD.jpg")</f>
        <v/>
      </c>
      <c r="G805" t="s"/>
      <c r="H805" t="s"/>
      <c r="I805" t="s"/>
      <c r="J805" t="n">
        <v>-0.7579</v>
      </c>
      <c r="K805" t="n">
        <v>0.333</v>
      </c>
      <c r="L805" t="n">
        <v>0.667</v>
      </c>
      <c r="M805" t="n">
        <v>0</v>
      </c>
    </row>
    <row r="806" spans="1:13">
      <c r="A806" s="1">
        <f>HYPERLINK("http://www.twitter.com/NathanBLawrence/status/993673681120395266", "993673681120395266")</f>
        <v/>
      </c>
      <c r="B806" s="2" t="n">
        <v>43228.0884375</v>
      </c>
      <c r="C806" t="n">
        <v>0</v>
      </c>
      <c r="D806" t="n">
        <v>3544</v>
      </c>
      <c r="E806" t="s">
        <v>817</v>
      </c>
      <c r="F806" t="s"/>
      <c r="G806" t="s"/>
      <c r="H806" t="s"/>
      <c r="I806" t="s"/>
      <c r="J806" t="n">
        <v>0</v>
      </c>
      <c r="K806" t="n">
        <v>0</v>
      </c>
      <c r="L806" t="n">
        <v>1</v>
      </c>
      <c r="M806" t="n">
        <v>0</v>
      </c>
    </row>
    <row r="807" spans="1:13">
      <c r="A807" s="1">
        <f>HYPERLINK("http://www.twitter.com/NathanBLawrence/status/993673395538710529", "993673395538710529")</f>
        <v/>
      </c>
      <c r="B807" s="2" t="n">
        <v>43228.08765046296</v>
      </c>
      <c r="C807" t="n">
        <v>0</v>
      </c>
      <c r="D807" t="n">
        <v>5026</v>
      </c>
      <c r="E807" t="s">
        <v>818</v>
      </c>
      <c r="F807" t="s"/>
      <c r="G807" t="s"/>
      <c r="H807" t="s"/>
      <c r="I807" t="s"/>
      <c r="J807" t="n">
        <v>0</v>
      </c>
      <c r="K807" t="n">
        <v>0</v>
      </c>
      <c r="L807" t="n">
        <v>1</v>
      </c>
      <c r="M807" t="n">
        <v>0</v>
      </c>
    </row>
    <row r="808" spans="1:13">
      <c r="A808" s="1">
        <f>HYPERLINK("http://www.twitter.com/NathanBLawrence/status/993673178684805120", "993673178684805120")</f>
        <v/>
      </c>
      <c r="B808" s="2" t="n">
        <v>43228.08706018519</v>
      </c>
      <c r="C808" t="n">
        <v>0</v>
      </c>
      <c r="D808" t="n">
        <v>256</v>
      </c>
      <c r="E808" t="s">
        <v>819</v>
      </c>
      <c r="F808">
        <f>HYPERLINK("https://video.twimg.com/amplify_video/993637935445561345/vid/1280x720/qtPKday9U_E0BWEY.mp4?tag=2", "https://video.twimg.com/amplify_video/993637935445561345/vid/1280x720/qtPKday9U_E0BWEY.mp4?tag=2")</f>
        <v/>
      </c>
      <c r="G808" t="s"/>
      <c r="H808" t="s"/>
      <c r="I808" t="s"/>
      <c r="J808" t="n">
        <v>-0.296</v>
      </c>
      <c r="K808" t="n">
        <v>0.081</v>
      </c>
      <c r="L808" t="n">
        <v>0.919</v>
      </c>
      <c r="M808" t="n">
        <v>0</v>
      </c>
    </row>
    <row r="809" spans="1:13">
      <c r="A809" s="1">
        <f>HYPERLINK("http://www.twitter.com/NathanBLawrence/status/993652671784587264", "993652671784587264")</f>
        <v/>
      </c>
      <c r="B809" s="2" t="n">
        <v>43228.03046296296</v>
      </c>
      <c r="C809" t="n">
        <v>0</v>
      </c>
      <c r="D809" t="n">
        <v>55</v>
      </c>
      <c r="E809" t="s">
        <v>820</v>
      </c>
      <c r="F809">
        <f>HYPERLINK("http://pbs.twimg.com/media/DcopWcXX0AEWwFP.jpg", "http://pbs.twimg.com/media/DcopWcXX0AEWwFP.jpg")</f>
        <v/>
      </c>
      <c r="G809" t="s"/>
      <c r="H809" t="s"/>
      <c r="I809" t="s"/>
      <c r="J809" t="n">
        <v>0</v>
      </c>
      <c r="K809" t="n">
        <v>0</v>
      </c>
      <c r="L809" t="n">
        <v>1</v>
      </c>
      <c r="M809" t="n">
        <v>0</v>
      </c>
    </row>
    <row r="810" spans="1:13">
      <c r="A810" s="1">
        <f>HYPERLINK("http://www.twitter.com/NathanBLawrence/status/993651002288066565", "993651002288066565")</f>
        <v/>
      </c>
      <c r="B810" s="2" t="n">
        <v>43228.02585648148</v>
      </c>
      <c r="C810" t="n">
        <v>0</v>
      </c>
      <c r="D810" t="n">
        <v>1</v>
      </c>
      <c r="E810" t="s">
        <v>821</v>
      </c>
      <c r="F810" t="s"/>
      <c r="G810" t="s"/>
      <c r="H810" t="s"/>
      <c r="I810" t="s"/>
      <c r="J810" t="n">
        <v>0</v>
      </c>
      <c r="K810" t="n">
        <v>0</v>
      </c>
      <c r="L810" t="n">
        <v>1</v>
      </c>
      <c r="M810" t="n">
        <v>0</v>
      </c>
    </row>
    <row r="811" spans="1:13">
      <c r="A811" s="1">
        <f>HYPERLINK("http://www.twitter.com/NathanBLawrence/status/993649304140238849", "993649304140238849")</f>
        <v/>
      </c>
      <c r="B811" s="2" t="n">
        <v>43228.02116898148</v>
      </c>
      <c r="C811" t="n">
        <v>0</v>
      </c>
      <c r="D811" t="n">
        <v>158</v>
      </c>
      <c r="E811" t="s">
        <v>822</v>
      </c>
      <c r="F811">
        <f>HYPERLINK("http://pbs.twimg.com/media/DcoiQA6W4AEkbk-.jpg", "http://pbs.twimg.com/media/DcoiQA6W4AEkbk-.jpg")</f>
        <v/>
      </c>
      <c r="G811" t="s"/>
      <c r="H811" t="s"/>
      <c r="I811" t="s"/>
      <c r="J811" t="n">
        <v>-0.3182</v>
      </c>
      <c r="K811" t="n">
        <v>0.108</v>
      </c>
      <c r="L811" t="n">
        <v>0.892</v>
      </c>
      <c r="M811" t="n">
        <v>0</v>
      </c>
    </row>
    <row r="812" spans="1:13">
      <c r="A812" s="1">
        <f>HYPERLINK("http://www.twitter.com/NathanBLawrence/status/993649125731291136", "993649125731291136")</f>
        <v/>
      </c>
      <c r="B812" s="2" t="n">
        <v>43228.02068287037</v>
      </c>
      <c r="C812" t="n">
        <v>0</v>
      </c>
      <c r="D812" t="n">
        <v>43</v>
      </c>
      <c r="E812" t="s">
        <v>823</v>
      </c>
      <c r="F812">
        <f>HYPERLINK("http://pbs.twimg.com/media/DcojLTEX0AAvzRU.jpg", "http://pbs.twimg.com/media/DcojLTEX0AAvzRU.jpg")</f>
        <v/>
      </c>
      <c r="G812" t="s"/>
      <c r="H812" t="s"/>
      <c r="I812" t="s"/>
      <c r="J812" t="n">
        <v>0.4588</v>
      </c>
      <c r="K812" t="n">
        <v>0</v>
      </c>
      <c r="L812" t="n">
        <v>0.857</v>
      </c>
      <c r="M812" t="n">
        <v>0.143</v>
      </c>
    </row>
    <row r="813" spans="1:13">
      <c r="A813" s="1">
        <f>HYPERLINK("http://www.twitter.com/NathanBLawrence/status/993647756651696128", "993647756651696128")</f>
        <v/>
      </c>
      <c r="B813" s="2" t="n">
        <v>43228.01689814815</v>
      </c>
      <c r="C813" t="n">
        <v>0</v>
      </c>
      <c r="D813" t="n">
        <v>11</v>
      </c>
      <c r="E813" t="s">
        <v>824</v>
      </c>
      <c r="F813" t="s"/>
      <c r="G813" t="s"/>
      <c r="H813" t="s"/>
      <c r="I813" t="s"/>
      <c r="J813" t="n">
        <v>-0.4939</v>
      </c>
      <c r="K813" t="n">
        <v>0.337</v>
      </c>
      <c r="L813" t="n">
        <v>0.452</v>
      </c>
      <c r="M813" t="n">
        <v>0.211</v>
      </c>
    </row>
    <row r="814" spans="1:13">
      <c r="A814" s="1">
        <f>HYPERLINK("http://www.twitter.com/NathanBLawrence/status/993647424798326785", "993647424798326785")</f>
        <v/>
      </c>
      <c r="B814" s="2" t="n">
        <v>43228.01598379629</v>
      </c>
      <c r="C814" t="n">
        <v>0</v>
      </c>
      <c r="D814" t="n">
        <v>18</v>
      </c>
      <c r="E814" t="s">
        <v>825</v>
      </c>
      <c r="F814" t="s"/>
      <c r="G814" t="s"/>
      <c r="H814" t="s"/>
      <c r="I814" t="s"/>
      <c r="J814" t="n">
        <v>0</v>
      </c>
      <c r="K814" t="n">
        <v>0</v>
      </c>
      <c r="L814" t="n">
        <v>1</v>
      </c>
      <c r="M814" t="n">
        <v>0</v>
      </c>
    </row>
    <row r="815" spans="1:13">
      <c r="A815" s="1">
        <f>HYPERLINK("http://www.twitter.com/NathanBLawrence/status/993645323724709889", "993645323724709889")</f>
        <v/>
      </c>
      <c r="B815" s="2" t="n">
        <v>43228.01018518519</v>
      </c>
      <c r="C815" t="n">
        <v>0</v>
      </c>
      <c r="D815" t="n">
        <v>3725</v>
      </c>
      <c r="E815" t="s">
        <v>826</v>
      </c>
      <c r="F815">
        <f>HYPERLINK("https://video.twimg.com/amplify_video/993577130511486976/vid/1280x720/hIimcmT06_-VmvtD.mp4?tag=2", "https://video.twimg.com/amplify_video/993577130511486976/vid/1280x720/hIimcmT06_-VmvtD.mp4?tag=2")</f>
        <v/>
      </c>
      <c r="G815" t="s"/>
      <c r="H815" t="s"/>
      <c r="I815" t="s"/>
      <c r="J815" t="n">
        <v>0</v>
      </c>
      <c r="K815" t="n">
        <v>0</v>
      </c>
      <c r="L815" t="n">
        <v>1</v>
      </c>
      <c r="M815" t="n">
        <v>0</v>
      </c>
    </row>
    <row r="816" spans="1:13">
      <c r="A816" s="1">
        <f>HYPERLINK("http://www.twitter.com/NathanBLawrence/status/993644997873426434", "993644997873426434")</f>
        <v/>
      </c>
      <c r="B816" s="2" t="n">
        <v>43228.00929398148</v>
      </c>
      <c r="C816" t="n">
        <v>0</v>
      </c>
      <c r="D816" t="n">
        <v>1241</v>
      </c>
      <c r="E816" t="s">
        <v>827</v>
      </c>
      <c r="F816">
        <f>HYPERLINK("https://video.twimg.com/ext_tw_video/993572115839406080/pu/vid/1280x720/mLuU9qlRL_MQO6bW.mp4?tag=3", "https://video.twimg.com/ext_tw_video/993572115839406080/pu/vid/1280x720/mLuU9qlRL_MQO6bW.mp4?tag=3")</f>
        <v/>
      </c>
      <c r="G816" t="s"/>
      <c r="H816" t="s"/>
      <c r="I816" t="s"/>
      <c r="J816" t="n">
        <v>0.8516</v>
      </c>
      <c r="K816" t="n">
        <v>0</v>
      </c>
      <c r="L816" t="n">
        <v>0.617</v>
      </c>
      <c r="M816" t="n">
        <v>0.383</v>
      </c>
    </row>
    <row r="817" spans="1:13">
      <c r="A817" s="1">
        <f>HYPERLINK("http://www.twitter.com/NathanBLawrence/status/993644693450870784", "993644693450870784")</f>
        <v/>
      </c>
      <c r="B817" s="2" t="n">
        <v>43228.00844907408</v>
      </c>
      <c r="C817" t="n">
        <v>0</v>
      </c>
      <c r="D817" t="n">
        <v>94</v>
      </c>
      <c r="E817" t="s">
        <v>828</v>
      </c>
      <c r="F817" t="s"/>
      <c r="G817" t="s"/>
      <c r="H817" t="s"/>
      <c r="I817" t="s"/>
      <c r="J817" t="n">
        <v>-0.9153</v>
      </c>
      <c r="K817" t="n">
        <v>0.43</v>
      </c>
      <c r="L817" t="n">
        <v>0.57</v>
      </c>
      <c r="M817" t="n">
        <v>0</v>
      </c>
    </row>
    <row r="818" spans="1:13">
      <c r="A818" s="1">
        <f>HYPERLINK("http://www.twitter.com/NathanBLawrence/status/993642307755888642", "993642307755888642")</f>
        <v/>
      </c>
      <c r="B818" s="2" t="n">
        <v>43228.00186342592</v>
      </c>
      <c r="C818" t="n">
        <v>0</v>
      </c>
      <c r="D818" t="n">
        <v>244</v>
      </c>
      <c r="E818" t="s">
        <v>829</v>
      </c>
      <c r="F818" t="s"/>
      <c r="G818" t="s"/>
      <c r="H818" t="s"/>
      <c r="I818" t="s"/>
      <c r="J818" t="n">
        <v>-0.4019</v>
      </c>
      <c r="K818" t="n">
        <v>0.138</v>
      </c>
      <c r="L818" t="n">
        <v>0.791</v>
      </c>
      <c r="M818" t="n">
        <v>0.07099999999999999</v>
      </c>
    </row>
    <row r="819" spans="1:13">
      <c r="A819" s="1">
        <f>HYPERLINK("http://www.twitter.com/NathanBLawrence/status/993614853192511488", "993614853192511488")</f>
        <v/>
      </c>
      <c r="B819" s="2" t="n">
        <v>43227.92611111111</v>
      </c>
      <c r="C819" t="n">
        <v>0</v>
      </c>
      <c r="D819" t="n">
        <v>11209</v>
      </c>
      <c r="E819" t="s">
        <v>830</v>
      </c>
      <c r="F819" t="s"/>
      <c r="G819" t="s"/>
      <c r="H819" t="s"/>
      <c r="I819" t="s"/>
      <c r="J819" t="n">
        <v>0.7841</v>
      </c>
      <c r="K819" t="n">
        <v>0</v>
      </c>
      <c r="L819" t="n">
        <v>0.695</v>
      </c>
      <c r="M819" t="n">
        <v>0.305</v>
      </c>
    </row>
    <row r="820" spans="1:13">
      <c r="A820" s="1">
        <f>HYPERLINK("http://www.twitter.com/NathanBLawrence/status/993614340183003136", "993614340183003136")</f>
        <v/>
      </c>
      <c r="B820" s="2" t="n">
        <v>43227.9246875</v>
      </c>
      <c r="C820" t="n">
        <v>0</v>
      </c>
      <c r="D820" t="n">
        <v>1005</v>
      </c>
      <c r="E820" t="s">
        <v>831</v>
      </c>
      <c r="F820">
        <f>HYPERLINK("http://pbs.twimg.com/media/Dcn01VSVwAEbmO-.jpg", "http://pbs.twimg.com/media/Dcn01VSVwAEbmO-.jpg")</f>
        <v/>
      </c>
      <c r="G820" t="s"/>
      <c r="H820" t="s"/>
      <c r="I820" t="s"/>
      <c r="J820" t="n">
        <v>0.836</v>
      </c>
      <c r="K820" t="n">
        <v>0</v>
      </c>
      <c r="L820" t="n">
        <v>0.602</v>
      </c>
      <c r="M820" t="n">
        <v>0.398</v>
      </c>
    </row>
    <row r="821" spans="1:13">
      <c r="A821" s="1">
        <f>HYPERLINK("http://www.twitter.com/NathanBLawrence/status/993614314136367110", "993614314136367110")</f>
        <v/>
      </c>
      <c r="B821" s="2" t="n">
        <v>43227.92461805556</v>
      </c>
      <c r="C821" t="n">
        <v>0</v>
      </c>
      <c r="D821" t="n">
        <v>655</v>
      </c>
      <c r="E821" t="s">
        <v>832</v>
      </c>
      <c r="F821" t="s"/>
      <c r="G821" t="s"/>
      <c r="H821" t="s"/>
      <c r="I821" t="s"/>
      <c r="J821" t="n">
        <v>-0.3612</v>
      </c>
      <c r="K821" t="n">
        <v>0.149</v>
      </c>
      <c r="L821" t="n">
        <v>0.769</v>
      </c>
      <c r="M821" t="n">
        <v>0.081</v>
      </c>
    </row>
    <row r="822" spans="1:13">
      <c r="A822" s="1">
        <f>HYPERLINK("http://www.twitter.com/NathanBLawrence/status/993613821569830917", "993613821569830917")</f>
        <v/>
      </c>
      <c r="B822" s="2" t="n">
        <v>43227.92326388889</v>
      </c>
      <c r="C822" t="n">
        <v>0</v>
      </c>
      <c r="D822" t="n">
        <v>340</v>
      </c>
      <c r="E822" t="s">
        <v>833</v>
      </c>
      <c r="F822">
        <f>HYPERLINK("http://pbs.twimg.com/media/DcoFpuwXcAAYDC2.jpg", "http://pbs.twimg.com/media/DcoFpuwXcAAYDC2.jpg")</f>
        <v/>
      </c>
      <c r="G822" t="s"/>
      <c r="H822" t="s"/>
      <c r="I822" t="s"/>
      <c r="J822" t="n">
        <v>0.4019</v>
      </c>
      <c r="K822" t="n">
        <v>0</v>
      </c>
      <c r="L822" t="n">
        <v>0.787</v>
      </c>
      <c r="M822" t="n">
        <v>0.213</v>
      </c>
    </row>
    <row r="823" spans="1:13">
      <c r="A823" s="1">
        <f>HYPERLINK("http://www.twitter.com/NathanBLawrence/status/993612155718160384", "993612155718160384")</f>
        <v/>
      </c>
      <c r="B823" s="2" t="n">
        <v>43227.91866898148</v>
      </c>
      <c r="C823" t="n">
        <v>0</v>
      </c>
      <c r="D823" t="n">
        <v>360</v>
      </c>
      <c r="E823" t="s">
        <v>834</v>
      </c>
      <c r="F823">
        <f>HYPERLINK("https://video.twimg.com/ext_tw_video/993568467864432642/pu/vid/1280x720/mA5ZxlRXgKg3EA08.mp4?tag=3", "https://video.twimg.com/ext_tw_video/993568467864432642/pu/vid/1280x720/mA5ZxlRXgKg3EA08.mp4?tag=3")</f>
        <v/>
      </c>
      <c r="G823" t="s"/>
      <c r="H823" t="s"/>
      <c r="I823" t="s"/>
      <c r="J823" t="n">
        <v>0.8437</v>
      </c>
      <c r="K823" t="n">
        <v>0</v>
      </c>
      <c r="L823" t="n">
        <v>0.676</v>
      </c>
      <c r="M823" t="n">
        <v>0.324</v>
      </c>
    </row>
    <row r="824" spans="1:13">
      <c r="A824" s="1">
        <f>HYPERLINK("http://www.twitter.com/NathanBLawrence/status/993612075342671873", "993612075342671873")</f>
        <v/>
      </c>
      <c r="B824" s="2" t="n">
        <v>43227.9184375</v>
      </c>
      <c r="C824" t="n">
        <v>0</v>
      </c>
      <c r="D824" t="n">
        <v>343</v>
      </c>
      <c r="E824" t="s">
        <v>835</v>
      </c>
      <c r="F824" t="s"/>
      <c r="G824" t="s"/>
      <c r="H824" t="s"/>
      <c r="I824" t="s"/>
      <c r="J824" t="n">
        <v>0.9272</v>
      </c>
      <c r="K824" t="n">
        <v>0</v>
      </c>
      <c r="L824" t="n">
        <v>0.5600000000000001</v>
      </c>
      <c r="M824" t="n">
        <v>0.44</v>
      </c>
    </row>
    <row r="825" spans="1:13">
      <c r="A825" s="1">
        <f>HYPERLINK("http://www.twitter.com/NathanBLawrence/status/993611957558276101", "993611957558276101")</f>
        <v/>
      </c>
      <c r="B825" s="2" t="n">
        <v>43227.91811342593</v>
      </c>
      <c r="C825" t="n">
        <v>0</v>
      </c>
      <c r="D825" t="n">
        <v>545</v>
      </c>
      <c r="E825" t="s">
        <v>836</v>
      </c>
      <c r="F825">
        <f>HYPERLINK("https://video.twimg.com/ext_tw_video/993573792478846976/pu/vid/1280x720/a1R70t9VfchjW4Us.mp4?tag=3", "https://video.twimg.com/ext_tw_video/993573792478846976/pu/vid/1280x720/a1R70t9VfchjW4Us.mp4?tag=3")</f>
        <v/>
      </c>
      <c r="G825" t="s"/>
      <c r="H825" t="s"/>
      <c r="I825" t="s"/>
      <c r="J825" t="n">
        <v>0.8555</v>
      </c>
      <c r="K825" t="n">
        <v>0</v>
      </c>
      <c r="L825" t="n">
        <v>0.588</v>
      </c>
      <c r="M825" t="n">
        <v>0.412</v>
      </c>
    </row>
    <row r="826" spans="1:13">
      <c r="A826" s="1">
        <f>HYPERLINK("http://www.twitter.com/NathanBLawrence/status/993611843280220167", "993611843280220167")</f>
        <v/>
      </c>
      <c r="B826" s="2" t="n">
        <v>43227.91780092593</v>
      </c>
      <c r="C826" t="n">
        <v>0</v>
      </c>
      <c r="D826" t="n">
        <v>1166</v>
      </c>
      <c r="E826" t="s">
        <v>837</v>
      </c>
      <c r="F826">
        <f>HYPERLINK("https://video.twimg.com/ext_tw_video/993564416561090560/pu/vid/1280x720/nifeEGqxzVmnAMGo.mp4?tag=3", "https://video.twimg.com/ext_tw_video/993564416561090560/pu/vid/1280x720/nifeEGqxzVmnAMGo.mp4?tag=3")</f>
        <v/>
      </c>
      <c r="G826" t="s"/>
      <c r="H826" t="s"/>
      <c r="I826" t="s"/>
      <c r="J826" t="n">
        <v>-0.296</v>
      </c>
      <c r="K826" t="n">
        <v>0.095</v>
      </c>
      <c r="L826" t="n">
        <v>0.905</v>
      </c>
      <c r="M826" t="n">
        <v>0</v>
      </c>
    </row>
    <row r="827" spans="1:13">
      <c r="A827" s="1">
        <f>HYPERLINK("http://www.twitter.com/NathanBLawrence/status/993611177476452353", "993611177476452353")</f>
        <v/>
      </c>
      <c r="B827" s="2" t="n">
        <v>43227.91596064815</v>
      </c>
      <c r="C827" t="n">
        <v>0</v>
      </c>
      <c r="D827" t="n">
        <v>63</v>
      </c>
      <c r="E827" t="s">
        <v>838</v>
      </c>
      <c r="F827">
        <f>HYPERLINK("http://pbs.twimg.com/media/DcnmrjoVQAEvgEE.jpg", "http://pbs.twimg.com/media/DcnmrjoVQAEvgEE.jpg")</f>
        <v/>
      </c>
      <c r="G827">
        <f>HYPERLINK("http://pbs.twimg.com/media/DcnmrjzV0AEomtG.jpg", "http://pbs.twimg.com/media/DcnmrjzV0AEomtG.jpg")</f>
        <v/>
      </c>
      <c r="H827">
        <f>HYPERLINK("http://pbs.twimg.com/media/DcnmrjzU8AAGK8G.jpg", "http://pbs.twimg.com/media/DcnmrjzU8AAGK8G.jpg")</f>
        <v/>
      </c>
      <c r="I827" t="s"/>
      <c r="J827" t="n">
        <v>0.9167999999999999</v>
      </c>
      <c r="K827" t="n">
        <v>0</v>
      </c>
      <c r="L827" t="n">
        <v>0.596</v>
      </c>
      <c r="M827" t="n">
        <v>0.404</v>
      </c>
    </row>
    <row r="828" spans="1:13">
      <c r="A828" s="1">
        <f>HYPERLINK("http://www.twitter.com/NathanBLawrence/status/993610919195365377", "993610919195365377")</f>
        <v/>
      </c>
      <c r="B828" s="2" t="n">
        <v>43227.91525462963</v>
      </c>
      <c r="C828" t="n">
        <v>0</v>
      </c>
      <c r="D828" t="n">
        <v>1990</v>
      </c>
      <c r="E828" t="s">
        <v>839</v>
      </c>
      <c r="F828">
        <f>HYPERLINK("https://video.twimg.com/amplify_video/993587892508413953/vid/1280x720/JW-_ady--NOVQ6LE.mp4?tag=2", "https://video.twimg.com/amplify_video/993587892508413953/vid/1280x720/JW-_ady--NOVQ6LE.mp4?tag=2")</f>
        <v/>
      </c>
      <c r="G828" t="s"/>
      <c r="H828" t="s"/>
      <c r="I828" t="s"/>
      <c r="J828" t="n">
        <v>-0.5574</v>
      </c>
      <c r="K828" t="n">
        <v>0.141</v>
      </c>
      <c r="L828" t="n">
        <v>0.859</v>
      </c>
      <c r="M828" t="n">
        <v>0</v>
      </c>
    </row>
    <row r="829" spans="1:13">
      <c r="A829" s="1">
        <f>HYPERLINK("http://www.twitter.com/NathanBLawrence/status/993610556841054208", "993610556841054208")</f>
        <v/>
      </c>
      <c r="B829" s="2" t="n">
        <v>43227.91424768518</v>
      </c>
      <c r="C829" t="n">
        <v>0</v>
      </c>
      <c r="D829" t="n">
        <v>140</v>
      </c>
      <c r="E829" t="s">
        <v>840</v>
      </c>
      <c r="F829">
        <f>HYPERLINK("http://pbs.twimg.com/media/DcngeNRV0AA6piP.jpg", "http://pbs.twimg.com/media/DcngeNRV0AA6piP.jpg")</f>
        <v/>
      </c>
      <c r="G829" t="s"/>
      <c r="H829" t="s"/>
      <c r="I829" t="s"/>
      <c r="J829" t="n">
        <v>-0.4019</v>
      </c>
      <c r="K829" t="n">
        <v>0.169</v>
      </c>
      <c r="L829" t="n">
        <v>0.736</v>
      </c>
      <c r="M829" t="n">
        <v>0.095</v>
      </c>
    </row>
    <row r="830" spans="1:13">
      <c r="A830" s="1">
        <f>HYPERLINK("http://www.twitter.com/NathanBLawrence/status/993567028026933253", "993567028026933253")</f>
        <v/>
      </c>
      <c r="B830" s="2" t="n">
        <v>43227.79413194444</v>
      </c>
      <c r="C830" t="n">
        <v>0</v>
      </c>
      <c r="D830" t="n">
        <v>4</v>
      </c>
      <c r="E830" t="s">
        <v>841</v>
      </c>
      <c r="F830" t="s"/>
      <c r="G830" t="s"/>
      <c r="H830" t="s"/>
      <c r="I830" t="s"/>
      <c r="J830" t="n">
        <v>0</v>
      </c>
      <c r="K830" t="n">
        <v>0</v>
      </c>
      <c r="L830" t="n">
        <v>1</v>
      </c>
      <c r="M830" t="n">
        <v>0</v>
      </c>
    </row>
    <row r="831" spans="1:13">
      <c r="A831" s="1">
        <f>HYPERLINK("http://www.twitter.com/NathanBLawrence/status/993566900150992896", "993566900150992896")</f>
        <v/>
      </c>
      <c r="B831" s="2" t="n">
        <v>43227.79378472222</v>
      </c>
      <c r="C831" t="n">
        <v>0</v>
      </c>
      <c r="D831" t="n">
        <v>1322</v>
      </c>
      <c r="E831" t="s">
        <v>842</v>
      </c>
      <c r="F831" t="s"/>
      <c r="G831" t="s"/>
      <c r="H831" t="s"/>
      <c r="I831" t="s"/>
      <c r="J831" t="n">
        <v>0.4215</v>
      </c>
      <c r="K831" t="n">
        <v>0</v>
      </c>
      <c r="L831" t="n">
        <v>0.872</v>
      </c>
      <c r="M831" t="n">
        <v>0.128</v>
      </c>
    </row>
    <row r="832" spans="1:13">
      <c r="A832" s="1">
        <f>HYPERLINK("http://www.twitter.com/NathanBLawrence/status/993565138224631814", "993565138224631814")</f>
        <v/>
      </c>
      <c r="B832" s="2" t="n">
        <v>43227.78892361111</v>
      </c>
      <c r="C832" t="n">
        <v>0</v>
      </c>
      <c r="D832" t="n">
        <v>14728</v>
      </c>
      <c r="E832" t="s">
        <v>843</v>
      </c>
      <c r="F832" t="s"/>
      <c r="G832" t="s"/>
      <c r="H832" t="s"/>
      <c r="I832" t="s"/>
      <c r="J832" t="n">
        <v>-0.6124000000000001</v>
      </c>
      <c r="K832" t="n">
        <v>0.182</v>
      </c>
      <c r="L832" t="n">
        <v>0.763</v>
      </c>
      <c r="M832" t="n">
        <v>0.055</v>
      </c>
    </row>
    <row r="833" spans="1:13">
      <c r="A833" s="1">
        <f>HYPERLINK("http://www.twitter.com/NathanBLawrence/status/993565043735318533", "993565043735318533")</f>
        <v/>
      </c>
      <c r="B833" s="2" t="n">
        <v>43227.78865740741</v>
      </c>
      <c r="C833" t="n">
        <v>0</v>
      </c>
      <c r="D833" t="n">
        <v>139</v>
      </c>
      <c r="E833" t="s">
        <v>844</v>
      </c>
      <c r="F833" t="s"/>
      <c r="G833" t="s"/>
      <c r="H833" t="s"/>
      <c r="I833" t="s"/>
      <c r="J833" t="n">
        <v>0</v>
      </c>
      <c r="K833" t="n">
        <v>0</v>
      </c>
      <c r="L833" t="n">
        <v>1</v>
      </c>
      <c r="M833" t="n">
        <v>0</v>
      </c>
    </row>
    <row r="834" spans="1:13">
      <c r="A834" s="1">
        <f>HYPERLINK("http://www.twitter.com/NathanBLawrence/status/993508538361270278", "993508538361270278")</f>
        <v/>
      </c>
      <c r="B834" s="2" t="n">
        <v>43227.63273148148</v>
      </c>
      <c r="C834" t="n">
        <v>0</v>
      </c>
      <c r="D834" t="n">
        <v>2712</v>
      </c>
      <c r="E834" t="s">
        <v>845</v>
      </c>
      <c r="F834" t="s"/>
      <c r="G834" t="s"/>
      <c r="H834" t="s"/>
      <c r="I834" t="s"/>
      <c r="J834" t="n">
        <v>0</v>
      </c>
      <c r="K834" t="n">
        <v>0</v>
      </c>
      <c r="L834" t="n">
        <v>1</v>
      </c>
      <c r="M834" t="n">
        <v>0</v>
      </c>
    </row>
    <row r="835" spans="1:13">
      <c r="A835" s="1">
        <f>HYPERLINK("http://www.twitter.com/NathanBLawrence/status/993508340004159490", "993508340004159490")</f>
        <v/>
      </c>
      <c r="B835" s="2" t="n">
        <v>43227.6321875</v>
      </c>
      <c r="C835" t="n">
        <v>0</v>
      </c>
      <c r="D835" t="n">
        <v>21640</v>
      </c>
      <c r="E835" t="s">
        <v>846</v>
      </c>
      <c r="F835" t="s"/>
      <c r="G835" t="s"/>
      <c r="H835" t="s"/>
      <c r="I835" t="s"/>
      <c r="J835" t="n">
        <v>0.5859</v>
      </c>
      <c r="K835" t="n">
        <v>0</v>
      </c>
      <c r="L835" t="n">
        <v>0.868</v>
      </c>
      <c r="M835" t="n">
        <v>0.132</v>
      </c>
    </row>
    <row r="836" spans="1:13">
      <c r="A836" s="1">
        <f>HYPERLINK("http://www.twitter.com/NathanBLawrence/status/993507884230201344", "993507884230201344")</f>
        <v/>
      </c>
      <c r="B836" s="2" t="n">
        <v>43227.63092592593</v>
      </c>
      <c r="C836" t="n">
        <v>0</v>
      </c>
      <c r="D836" t="n">
        <v>4796</v>
      </c>
      <c r="E836" t="s">
        <v>847</v>
      </c>
      <c r="F836" t="s"/>
      <c r="G836" t="s"/>
      <c r="H836" t="s"/>
      <c r="I836" t="s"/>
      <c r="J836" t="n">
        <v>-0.5954</v>
      </c>
      <c r="K836" t="n">
        <v>0.156</v>
      </c>
      <c r="L836" t="n">
        <v>0.844</v>
      </c>
      <c r="M836" t="n">
        <v>0</v>
      </c>
    </row>
    <row r="837" spans="1:13">
      <c r="A837" s="1">
        <f>HYPERLINK("http://www.twitter.com/NathanBLawrence/status/993473819733102592", "993473819733102592")</f>
        <v/>
      </c>
      <c r="B837" s="2" t="n">
        <v>43227.53693287037</v>
      </c>
      <c r="C837" t="n">
        <v>0</v>
      </c>
      <c r="D837" t="n">
        <v>3037</v>
      </c>
      <c r="E837" t="s">
        <v>848</v>
      </c>
      <c r="F837" t="s"/>
      <c r="G837" t="s"/>
      <c r="H837" t="s"/>
      <c r="I837" t="s"/>
      <c r="J837" t="n">
        <v>-0.8578</v>
      </c>
      <c r="K837" t="n">
        <v>0.332</v>
      </c>
      <c r="L837" t="n">
        <v>0.668</v>
      </c>
      <c r="M837" t="n">
        <v>0</v>
      </c>
    </row>
    <row r="838" spans="1:13">
      <c r="A838" s="1">
        <f>HYPERLINK("http://www.twitter.com/NathanBLawrence/status/993473668566147074", "993473668566147074")</f>
        <v/>
      </c>
      <c r="B838" s="2" t="n">
        <v>43227.53651620371</v>
      </c>
      <c r="C838" t="n">
        <v>0</v>
      </c>
      <c r="D838" t="n">
        <v>2917</v>
      </c>
      <c r="E838" t="s">
        <v>849</v>
      </c>
      <c r="F838">
        <f>HYPERLINK("http://pbs.twimg.com/media/DcmD8wRWAAEunaq.jpg", "http://pbs.twimg.com/media/DcmD8wRWAAEunaq.jpg")</f>
        <v/>
      </c>
      <c r="G838" t="s"/>
      <c r="H838" t="s"/>
      <c r="I838" t="s"/>
      <c r="J838" t="n">
        <v>0</v>
      </c>
      <c r="K838" t="n">
        <v>0</v>
      </c>
      <c r="L838" t="n">
        <v>1</v>
      </c>
      <c r="M838" t="n">
        <v>0</v>
      </c>
    </row>
    <row r="839" spans="1:13">
      <c r="A839" s="1">
        <f>HYPERLINK("http://www.twitter.com/NathanBLawrence/status/993471915061862400", "993471915061862400")</f>
        <v/>
      </c>
      <c r="B839" s="2" t="n">
        <v>43227.53167824074</v>
      </c>
      <c r="C839" t="n">
        <v>0</v>
      </c>
      <c r="D839" t="n">
        <v>4592</v>
      </c>
      <c r="E839" t="s">
        <v>850</v>
      </c>
      <c r="F839">
        <f>HYPERLINK("https://video.twimg.com/ext_tw_video/992559122813014017/pu/vid/178x320/UKpqUAEDsq_xWMt0.mp4?tag=3", "https://video.twimg.com/ext_tw_video/992559122813014017/pu/vid/178x320/UKpqUAEDsq_xWMt0.mp4?tag=3")</f>
        <v/>
      </c>
      <c r="G839" t="s"/>
      <c r="H839" t="s"/>
      <c r="I839" t="s"/>
      <c r="J839" t="n">
        <v>-0.5719</v>
      </c>
      <c r="K839" t="n">
        <v>0.213</v>
      </c>
      <c r="L839" t="n">
        <v>0.787</v>
      </c>
      <c r="M839" t="n">
        <v>0</v>
      </c>
    </row>
    <row r="840" spans="1:13">
      <c r="A840" s="1">
        <f>HYPERLINK("http://www.twitter.com/NathanBLawrence/status/993471193293508609", "993471193293508609")</f>
        <v/>
      </c>
      <c r="B840" s="2" t="n">
        <v>43227.52967592593</v>
      </c>
      <c r="C840" t="n">
        <v>0</v>
      </c>
      <c r="D840" t="n">
        <v>17</v>
      </c>
      <c r="E840" t="s">
        <v>851</v>
      </c>
      <c r="F840" t="s"/>
      <c r="G840" t="s"/>
      <c r="H840" t="s"/>
      <c r="I840" t="s"/>
      <c r="J840" t="n">
        <v>-0.092</v>
      </c>
      <c r="K840" t="n">
        <v>0.075</v>
      </c>
      <c r="L840" t="n">
        <v>0.862</v>
      </c>
      <c r="M840" t="n">
        <v>0.063</v>
      </c>
    </row>
    <row r="841" spans="1:13">
      <c r="A841" s="1">
        <f>HYPERLINK("http://www.twitter.com/NathanBLawrence/status/993470923306127360", "993470923306127360")</f>
        <v/>
      </c>
      <c r="B841" s="2" t="n">
        <v>43227.52893518518</v>
      </c>
      <c r="C841" t="n">
        <v>0</v>
      </c>
      <c r="D841" t="n">
        <v>390</v>
      </c>
      <c r="E841" t="s">
        <v>852</v>
      </c>
      <c r="F841">
        <f>HYPERLINK("https://video.twimg.com/amplify_video/993449926502776833/vid/1280x720/BGRCNQfY_-GE2hpb.mp4?tag=2", "https://video.twimg.com/amplify_video/993449926502776833/vid/1280x720/BGRCNQfY_-GE2hpb.mp4?tag=2")</f>
        <v/>
      </c>
      <c r="G841" t="s"/>
      <c r="H841" t="s"/>
      <c r="I841" t="s"/>
      <c r="J841" t="n">
        <v>0.4019</v>
      </c>
      <c r="K841" t="n">
        <v>0</v>
      </c>
      <c r="L841" t="n">
        <v>0.863</v>
      </c>
      <c r="M841" t="n">
        <v>0.137</v>
      </c>
    </row>
    <row r="842" spans="1:13">
      <c r="A842" s="1">
        <f>HYPERLINK("http://www.twitter.com/NathanBLawrence/status/993468640623321088", "993468640623321088")</f>
        <v/>
      </c>
      <c r="B842" s="2" t="n">
        <v>43227.52263888889</v>
      </c>
      <c r="C842" t="n">
        <v>0</v>
      </c>
      <c r="D842" t="n">
        <v>364</v>
      </c>
      <c r="E842" t="s">
        <v>853</v>
      </c>
      <c r="F842">
        <f>HYPERLINK("http://pbs.twimg.com/media/DckUb-jUwAEJvjW.jpg", "http://pbs.twimg.com/media/DckUb-jUwAEJvjW.jpg")</f>
        <v/>
      </c>
      <c r="G842" t="s"/>
      <c r="H842" t="s"/>
      <c r="I842" t="s"/>
      <c r="J842" t="n">
        <v>0.4588</v>
      </c>
      <c r="K842" t="n">
        <v>0</v>
      </c>
      <c r="L842" t="n">
        <v>0.857</v>
      </c>
      <c r="M842" t="n">
        <v>0.143</v>
      </c>
    </row>
    <row r="843" spans="1:13">
      <c r="A843" s="1">
        <f>HYPERLINK("http://www.twitter.com/NathanBLawrence/status/993352154185334784", "993352154185334784")</f>
        <v/>
      </c>
      <c r="B843" s="2" t="n">
        <v>43227.20119212963</v>
      </c>
      <c r="C843" t="n">
        <v>0</v>
      </c>
      <c r="D843" t="n">
        <v>8615</v>
      </c>
      <c r="E843" t="s">
        <v>854</v>
      </c>
      <c r="F843">
        <f>HYPERLINK("http://pbs.twimg.com/media/DcjmA9EW0AAZsHd.jpg", "http://pbs.twimg.com/media/DcjmA9EW0AAZsHd.jpg")</f>
        <v/>
      </c>
      <c r="G843" t="s"/>
      <c r="H843" t="s"/>
      <c r="I843" t="s"/>
      <c r="J843" t="n">
        <v>0.802</v>
      </c>
      <c r="K843" t="n">
        <v>0</v>
      </c>
      <c r="L843" t="n">
        <v>0.735</v>
      </c>
      <c r="M843" t="n">
        <v>0.265</v>
      </c>
    </row>
    <row r="844" spans="1:13">
      <c r="A844" s="1">
        <f>HYPERLINK("http://www.twitter.com/NathanBLawrence/status/993351766925365249", "993351766925365249")</f>
        <v/>
      </c>
      <c r="B844" s="2" t="n">
        <v>43227.20012731481</v>
      </c>
      <c r="C844" t="n">
        <v>0</v>
      </c>
      <c r="D844" t="n">
        <v>2153</v>
      </c>
      <c r="E844" t="s">
        <v>855</v>
      </c>
      <c r="F844">
        <f>HYPERLINK("https://video.twimg.com/amplify_video/993333659347271681/vid/1280x720/IpkG1B8veNGqKBs6.mp4?tag=2", "https://video.twimg.com/amplify_video/993333659347271681/vid/1280x720/IpkG1B8veNGqKBs6.mp4?tag=2")</f>
        <v/>
      </c>
      <c r="G844" t="s"/>
      <c r="H844" t="s"/>
      <c r="I844" t="s"/>
      <c r="J844" t="n">
        <v>-0.4932</v>
      </c>
      <c r="K844" t="n">
        <v>0.144</v>
      </c>
      <c r="L844" t="n">
        <v>0.856</v>
      </c>
      <c r="M844" t="n">
        <v>0</v>
      </c>
    </row>
    <row r="845" spans="1:13">
      <c r="A845" s="1">
        <f>HYPERLINK("http://www.twitter.com/NathanBLawrence/status/993351472808112128", "993351472808112128")</f>
        <v/>
      </c>
      <c r="B845" s="2" t="n">
        <v>43227.19931712963</v>
      </c>
      <c r="C845" t="n">
        <v>0</v>
      </c>
      <c r="D845" t="n">
        <v>30</v>
      </c>
      <c r="E845" t="s">
        <v>856</v>
      </c>
      <c r="F845">
        <f>HYPERLINK("http://pbs.twimg.com/media/DckWTE1VQAEaytJ.jpg", "http://pbs.twimg.com/media/DckWTE1VQAEaytJ.jpg")</f>
        <v/>
      </c>
      <c r="G845" t="s"/>
      <c r="H845" t="s"/>
      <c r="I845" t="s"/>
      <c r="J845" t="n">
        <v>0</v>
      </c>
      <c r="K845" t="n">
        <v>0</v>
      </c>
      <c r="L845" t="n">
        <v>1</v>
      </c>
      <c r="M845" t="n">
        <v>0</v>
      </c>
    </row>
    <row r="846" spans="1:13">
      <c r="A846" s="1">
        <f>HYPERLINK("http://www.twitter.com/NathanBLawrence/status/993351335889244160", "993351335889244160")</f>
        <v/>
      </c>
      <c r="B846" s="2" t="n">
        <v>43227.19893518519</v>
      </c>
      <c r="C846" t="n">
        <v>0</v>
      </c>
      <c r="D846" t="n">
        <v>4434</v>
      </c>
      <c r="E846" t="s">
        <v>857</v>
      </c>
      <c r="F846" t="s"/>
      <c r="G846" t="s"/>
      <c r="H846" t="s"/>
      <c r="I846" t="s"/>
      <c r="J846" t="n">
        <v>-0.4336</v>
      </c>
      <c r="K846" t="n">
        <v>0.107</v>
      </c>
      <c r="L846" t="n">
        <v>0.893</v>
      </c>
      <c r="M846" t="n">
        <v>0</v>
      </c>
    </row>
    <row r="847" spans="1:13">
      <c r="A847" s="1">
        <f>HYPERLINK("http://www.twitter.com/NathanBLawrence/status/993350614015971328", "993350614015971328")</f>
        <v/>
      </c>
      <c r="B847" s="2" t="n">
        <v>43227.19694444445</v>
      </c>
      <c r="C847" t="n">
        <v>0</v>
      </c>
      <c r="D847" t="n">
        <v>330</v>
      </c>
      <c r="E847" t="s">
        <v>858</v>
      </c>
      <c r="F847" t="s"/>
      <c r="G847" t="s"/>
      <c r="H847" t="s"/>
      <c r="I847" t="s"/>
      <c r="J847" t="n">
        <v>-0.5266999999999999</v>
      </c>
      <c r="K847" t="n">
        <v>0.268</v>
      </c>
      <c r="L847" t="n">
        <v>0.732</v>
      </c>
      <c r="M847" t="n">
        <v>0</v>
      </c>
    </row>
    <row r="848" spans="1:13">
      <c r="A848" s="1">
        <f>HYPERLINK("http://www.twitter.com/NathanBLawrence/status/993350309681430528", "993350309681430528")</f>
        <v/>
      </c>
      <c r="B848" s="2" t="n">
        <v>43227.19611111111</v>
      </c>
      <c r="C848" t="n">
        <v>0</v>
      </c>
      <c r="D848" t="n">
        <v>2</v>
      </c>
      <c r="E848" t="s">
        <v>859</v>
      </c>
      <c r="F848" t="s"/>
      <c r="G848" t="s"/>
      <c r="H848" t="s"/>
      <c r="I848" t="s"/>
      <c r="J848" t="n">
        <v>-0.092</v>
      </c>
      <c r="K848" t="n">
        <v>0.133</v>
      </c>
      <c r="L848" t="n">
        <v>0.747</v>
      </c>
      <c r="M848" t="n">
        <v>0.12</v>
      </c>
    </row>
    <row r="849" spans="1:13">
      <c r="A849" s="1">
        <f>HYPERLINK("http://www.twitter.com/NathanBLawrence/status/993349500378013697", "993349500378013697")</f>
        <v/>
      </c>
      <c r="B849" s="2" t="n">
        <v>43227.19387731481</v>
      </c>
      <c r="C849" t="n">
        <v>0</v>
      </c>
      <c r="D849" t="n">
        <v>1207</v>
      </c>
      <c r="E849" t="s">
        <v>860</v>
      </c>
      <c r="F849" t="s"/>
      <c r="G849" t="s"/>
      <c r="H849" t="s"/>
      <c r="I849" t="s"/>
      <c r="J849" t="n">
        <v>-0.7906</v>
      </c>
      <c r="K849" t="n">
        <v>0.333</v>
      </c>
      <c r="L849" t="n">
        <v>0.667</v>
      </c>
      <c r="M849" t="n">
        <v>0</v>
      </c>
    </row>
    <row r="850" spans="1:13">
      <c r="A850" s="1">
        <f>HYPERLINK("http://www.twitter.com/NathanBLawrence/status/993348956687126528", "993348956687126528")</f>
        <v/>
      </c>
      <c r="B850" s="2" t="n">
        <v>43227.19237268518</v>
      </c>
      <c r="C850" t="n">
        <v>0</v>
      </c>
      <c r="D850" t="n">
        <v>213</v>
      </c>
      <c r="E850" t="s">
        <v>861</v>
      </c>
      <c r="F850">
        <f>HYPERLINK("http://pbs.twimg.com/media/DcjFwXdW4AAifrb.jpg", "http://pbs.twimg.com/media/DcjFwXdW4AAifrb.jpg")</f>
        <v/>
      </c>
      <c r="G850" t="s"/>
      <c r="H850" t="s"/>
      <c r="I850" t="s"/>
      <c r="J850" t="n">
        <v>0.3802</v>
      </c>
      <c r="K850" t="n">
        <v>0</v>
      </c>
      <c r="L850" t="n">
        <v>0.854</v>
      </c>
      <c r="M850" t="n">
        <v>0.146</v>
      </c>
    </row>
    <row r="851" spans="1:13">
      <c r="A851" s="1">
        <f>HYPERLINK("http://www.twitter.com/NathanBLawrence/status/993346164341854208", "993346164341854208")</f>
        <v/>
      </c>
      <c r="B851" s="2" t="n">
        <v>43227.18466435185</v>
      </c>
      <c r="C851" t="n">
        <v>0</v>
      </c>
      <c r="D851" t="n">
        <v>58</v>
      </c>
      <c r="E851" t="s">
        <v>862</v>
      </c>
      <c r="F851">
        <f>HYPERLINK("http://pbs.twimg.com/media/DcjkWAbW4AEN2Tr.jpg", "http://pbs.twimg.com/media/DcjkWAbW4AEN2Tr.jpg")</f>
        <v/>
      </c>
      <c r="G851" t="s"/>
      <c r="H851" t="s"/>
      <c r="I851" t="s"/>
      <c r="J851" t="n">
        <v>0</v>
      </c>
      <c r="K851" t="n">
        <v>0</v>
      </c>
      <c r="L851" t="n">
        <v>1</v>
      </c>
      <c r="M851" t="n">
        <v>0</v>
      </c>
    </row>
    <row r="852" spans="1:13">
      <c r="A852" s="1">
        <f>HYPERLINK("http://www.twitter.com/NathanBLawrence/status/993295049004863488", "993295049004863488")</f>
        <v/>
      </c>
      <c r="B852" s="2" t="n">
        <v>43227.04361111111</v>
      </c>
      <c r="C852" t="n">
        <v>0</v>
      </c>
      <c r="D852" t="n">
        <v>2465</v>
      </c>
      <c r="E852" t="s">
        <v>863</v>
      </c>
      <c r="F852" t="s"/>
      <c r="G852" t="s"/>
      <c r="H852" t="s"/>
      <c r="I852" t="s"/>
      <c r="J852" t="n">
        <v>-0.3612</v>
      </c>
      <c r="K852" t="n">
        <v>0.172</v>
      </c>
      <c r="L852" t="n">
        <v>0.828</v>
      </c>
      <c r="M852" t="n">
        <v>0</v>
      </c>
    </row>
    <row r="853" spans="1:13">
      <c r="A853" s="1">
        <f>HYPERLINK("http://www.twitter.com/NathanBLawrence/status/993295001458216961", "993295001458216961")</f>
        <v/>
      </c>
      <c r="B853" s="2" t="n">
        <v>43227.0434837963</v>
      </c>
      <c r="C853" t="n">
        <v>0</v>
      </c>
      <c r="D853" t="n">
        <v>2838</v>
      </c>
      <c r="E853" t="s">
        <v>864</v>
      </c>
      <c r="F853" t="s"/>
      <c r="G853" t="s"/>
      <c r="H853" t="s"/>
      <c r="I853" t="s"/>
      <c r="J853" t="n">
        <v>0</v>
      </c>
      <c r="K853" t="n">
        <v>0</v>
      </c>
      <c r="L853" t="n">
        <v>1</v>
      </c>
      <c r="M853" t="n">
        <v>0</v>
      </c>
    </row>
    <row r="854" spans="1:13">
      <c r="A854" s="1">
        <f>HYPERLINK("http://www.twitter.com/NathanBLawrence/status/993294943824248832", "993294943824248832")</f>
        <v/>
      </c>
      <c r="B854" s="2" t="n">
        <v>43227.04332175926</v>
      </c>
      <c r="C854" t="n">
        <v>0</v>
      </c>
      <c r="D854" t="n">
        <v>1067</v>
      </c>
      <c r="E854" t="s">
        <v>865</v>
      </c>
      <c r="F854">
        <f>HYPERLINK("http://pbs.twimg.com/media/Dcjh1SQWAAAlJIN.jpg", "http://pbs.twimg.com/media/Dcjh1SQWAAAlJIN.jpg")</f>
        <v/>
      </c>
      <c r="G854" t="s"/>
      <c r="H854" t="s"/>
      <c r="I854" t="s"/>
      <c r="J854" t="n">
        <v>0.4767</v>
      </c>
      <c r="K854" t="n">
        <v>0</v>
      </c>
      <c r="L854" t="n">
        <v>0.763</v>
      </c>
      <c r="M854" t="n">
        <v>0.237</v>
      </c>
    </row>
    <row r="855" spans="1:13">
      <c r="A855" s="1">
        <f>HYPERLINK("http://www.twitter.com/NathanBLawrence/status/993293912885354497", "993293912885354497")</f>
        <v/>
      </c>
      <c r="B855" s="2" t="n">
        <v>43227.04047453704</v>
      </c>
      <c r="C855" t="n">
        <v>0</v>
      </c>
      <c r="D855" t="n">
        <v>97</v>
      </c>
      <c r="E855" t="s">
        <v>866</v>
      </c>
      <c r="F855">
        <f>HYPERLINK("http://pbs.twimg.com/media/Dcen3WUWkAAqZ8h.jpg", "http://pbs.twimg.com/media/Dcen3WUWkAAqZ8h.jpg")</f>
        <v/>
      </c>
      <c r="G855" t="s"/>
      <c r="H855" t="s"/>
      <c r="I855" t="s"/>
      <c r="J855" t="n">
        <v>-0.1027</v>
      </c>
      <c r="K855" t="n">
        <v>0.184</v>
      </c>
      <c r="L855" t="n">
        <v>0.646</v>
      </c>
      <c r="M855" t="n">
        <v>0.17</v>
      </c>
    </row>
    <row r="856" spans="1:13">
      <c r="A856" s="1">
        <f>HYPERLINK("http://www.twitter.com/NathanBLawrence/status/993293339226267654", "993293339226267654")</f>
        <v/>
      </c>
      <c r="B856" s="2" t="n">
        <v>43227.03890046296</v>
      </c>
      <c r="C856" t="n">
        <v>0</v>
      </c>
      <c r="D856" t="n">
        <v>265</v>
      </c>
      <c r="E856" t="s">
        <v>867</v>
      </c>
      <c r="F856">
        <f>HYPERLINK("https://video.twimg.com/ext_tw_video/993285390495768576/pu/vid/1280x720/Cf8jD_sWDhI29AZV.mp4?tag=3", "https://video.twimg.com/ext_tw_video/993285390495768576/pu/vid/1280x720/Cf8jD_sWDhI29AZV.mp4?tag=3")</f>
        <v/>
      </c>
      <c r="G856" t="s"/>
      <c r="H856" t="s"/>
      <c r="I856" t="s"/>
      <c r="J856" t="n">
        <v>-0.4939</v>
      </c>
      <c r="K856" t="n">
        <v>0.127</v>
      </c>
      <c r="L856" t="n">
        <v>0.873</v>
      </c>
      <c r="M856" t="n">
        <v>0</v>
      </c>
    </row>
    <row r="857" spans="1:13">
      <c r="A857" s="1">
        <f>HYPERLINK("http://www.twitter.com/NathanBLawrence/status/993292849528627200", "993292849528627200")</f>
        <v/>
      </c>
      <c r="B857" s="2" t="n">
        <v>43227.0375462963</v>
      </c>
      <c r="C857" t="n">
        <v>0</v>
      </c>
      <c r="D857" t="n">
        <v>443</v>
      </c>
      <c r="E857" t="s">
        <v>868</v>
      </c>
      <c r="F857">
        <f>HYPERLINK("http://pbs.twimg.com/media/DcjW4UIWsAAfc74.jpg", "http://pbs.twimg.com/media/DcjW4UIWsAAfc74.jpg")</f>
        <v/>
      </c>
      <c r="G857" t="s"/>
      <c r="H857" t="s"/>
      <c r="I857" t="s"/>
      <c r="J857" t="n">
        <v>0.2732</v>
      </c>
      <c r="K857" t="n">
        <v>0</v>
      </c>
      <c r="L857" t="n">
        <v>0.913</v>
      </c>
      <c r="M857" t="n">
        <v>0.08699999999999999</v>
      </c>
    </row>
    <row r="858" spans="1:13">
      <c r="A858" s="1">
        <f>HYPERLINK("http://www.twitter.com/NathanBLawrence/status/993292644855017473", "993292644855017473")</f>
        <v/>
      </c>
      <c r="B858" s="2" t="n">
        <v>43227.03697916667</v>
      </c>
      <c r="C858" t="n">
        <v>0</v>
      </c>
      <c r="D858" t="n">
        <v>1</v>
      </c>
      <c r="E858" t="s">
        <v>869</v>
      </c>
      <c r="F858" t="s"/>
      <c r="G858" t="s"/>
      <c r="H858" t="s"/>
      <c r="I858" t="s"/>
      <c r="J858" t="n">
        <v>-0.5684</v>
      </c>
      <c r="K858" t="n">
        <v>0.217</v>
      </c>
      <c r="L858" t="n">
        <v>0.658</v>
      </c>
      <c r="M858" t="n">
        <v>0.125</v>
      </c>
    </row>
    <row r="859" spans="1:13">
      <c r="A859" s="1">
        <f>HYPERLINK("http://www.twitter.com/NathanBLawrence/status/993292556954947586", "993292556954947586")</f>
        <v/>
      </c>
      <c r="B859" s="2" t="n">
        <v>43227.03673611111</v>
      </c>
      <c r="C859" t="n">
        <v>0</v>
      </c>
      <c r="D859" t="n">
        <v>660</v>
      </c>
      <c r="E859" t="s">
        <v>870</v>
      </c>
      <c r="F859">
        <f>HYPERLINK("https://video.twimg.com/ext_tw_video/993242430982967296/pu/vid/360x640/mYsPL4ZDWCgkR9Wk.mp4?tag=3", "https://video.twimg.com/ext_tw_video/993242430982967296/pu/vid/360x640/mYsPL4ZDWCgkR9Wk.mp4?tag=3")</f>
        <v/>
      </c>
      <c r="G859" t="s"/>
      <c r="H859" t="s"/>
      <c r="I859" t="s"/>
      <c r="J859" t="n">
        <v>0</v>
      </c>
      <c r="K859" t="n">
        <v>0</v>
      </c>
      <c r="L859" t="n">
        <v>1</v>
      </c>
      <c r="M859" t="n">
        <v>0</v>
      </c>
    </row>
    <row r="860" spans="1:13">
      <c r="A860" s="1">
        <f>HYPERLINK("http://www.twitter.com/NathanBLawrence/status/993292279145205760", "993292279145205760")</f>
        <v/>
      </c>
      <c r="B860" s="2" t="n">
        <v>43227.03597222222</v>
      </c>
      <c r="C860" t="n">
        <v>0</v>
      </c>
      <c r="D860" t="n">
        <v>1044</v>
      </c>
      <c r="E860" t="s">
        <v>871</v>
      </c>
      <c r="F860" t="s"/>
      <c r="G860" t="s"/>
      <c r="H860" t="s"/>
      <c r="I860" t="s"/>
      <c r="J860" t="n">
        <v>-0.0258</v>
      </c>
      <c r="K860" t="n">
        <v>0.147</v>
      </c>
      <c r="L860" t="n">
        <v>0.668</v>
      </c>
      <c r="M860" t="n">
        <v>0.185</v>
      </c>
    </row>
    <row r="861" spans="1:13">
      <c r="A861" s="1">
        <f>HYPERLINK("http://www.twitter.com/NathanBLawrence/status/993291323355607046", "993291323355607046")</f>
        <v/>
      </c>
      <c r="B861" s="2" t="n">
        <v>43227.03333333333</v>
      </c>
      <c r="C861" t="n">
        <v>0</v>
      </c>
      <c r="D861" t="n">
        <v>995</v>
      </c>
      <c r="E861" t="s">
        <v>872</v>
      </c>
      <c r="F861">
        <f>HYPERLINK("http://pbs.twimg.com/media/DcgNDxHVQAE3lxb.jpg", "http://pbs.twimg.com/media/DcgNDxHVQAE3lxb.jpg")</f>
        <v/>
      </c>
      <c r="G861" t="s"/>
      <c r="H861" t="s"/>
      <c r="I861" t="s"/>
      <c r="J861" t="n">
        <v>0</v>
      </c>
      <c r="K861" t="n">
        <v>0</v>
      </c>
      <c r="L861" t="n">
        <v>1</v>
      </c>
      <c r="M861" t="n">
        <v>0</v>
      </c>
    </row>
    <row r="862" spans="1:13">
      <c r="A862" s="1">
        <f>HYPERLINK("http://www.twitter.com/NathanBLawrence/status/993291223585746945", "993291223585746945")</f>
        <v/>
      </c>
      <c r="B862" s="2" t="n">
        <v>43227.03305555556</v>
      </c>
      <c r="C862" t="n">
        <v>0</v>
      </c>
      <c r="D862" t="n">
        <v>678</v>
      </c>
      <c r="E862" t="s">
        <v>873</v>
      </c>
      <c r="F862">
        <f>HYPERLINK("http://pbs.twimg.com/media/DcjVc3RV0AAaybg.jpg", "http://pbs.twimg.com/media/DcjVc3RV0AAaybg.jpg")</f>
        <v/>
      </c>
      <c r="G862" t="s"/>
      <c r="H862" t="s"/>
      <c r="I862" t="s"/>
      <c r="J862" t="n">
        <v>0</v>
      </c>
      <c r="K862" t="n">
        <v>0</v>
      </c>
      <c r="L862" t="n">
        <v>1</v>
      </c>
      <c r="M862" t="n">
        <v>0</v>
      </c>
    </row>
    <row r="863" spans="1:13">
      <c r="A863" s="1">
        <f>HYPERLINK("http://www.twitter.com/NathanBLawrence/status/993290005115211776", "993290005115211776")</f>
        <v/>
      </c>
      <c r="B863" s="2" t="n">
        <v>43227.02969907408</v>
      </c>
      <c r="C863" t="n">
        <v>0</v>
      </c>
      <c r="D863" t="n">
        <v>62</v>
      </c>
      <c r="E863" t="s">
        <v>874</v>
      </c>
      <c r="F863">
        <f>HYPERLINK("http://pbs.twimg.com/media/DcjeoHVX0AErn1K.jpg", "http://pbs.twimg.com/media/DcjeoHVX0AErn1K.jpg")</f>
        <v/>
      </c>
      <c r="G863" t="s"/>
      <c r="H863" t="s"/>
      <c r="I863" t="s"/>
      <c r="J863" t="n">
        <v>0</v>
      </c>
      <c r="K863" t="n">
        <v>0</v>
      </c>
      <c r="L863" t="n">
        <v>1</v>
      </c>
      <c r="M863" t="n">
        <v>0</v>
      </c>
    </row>
    <row r="864" spans="1:13">
      <c r="A864" s="1">
        <f>HYPERLINK("http://www.twitter.com/NathanBLawrence/status/993289498204221440", "993289498204221440")</f>
        <v/>
      </c>
      <c r="B864" s="2" t="n">
        <v>43227.02829861111</v>
      </c>
      <c r="C864" t="n">
        <v>0</v>
      </c>
      <c r="D864" t="n">
        <v>1013</v>
      </c>
      <c r="E864" t="s">
        <v>875</v>
      </c>
      <c r="F864" t="s"/>
      <c r="G864" t="s"/>
      <c r="H864" t="s"/>
      <c r="I864" t="s"/>
      <c r="J864" t="n">
        <v>0</v>
      </c>
      <c r="K864" t="n">
        <v>0</v>
      </c>
      <c r="L864" t="n">
        <v>1</v>
      </c>
      <c r="M864" t="n">
        <v>0</v>
      </c>
    </row>
    <row r="865" spans="1:13">
      <c r="A865" s="1">
        <f>HYPERLINK("http://www.twitter.com/NathanBLawrence/status/993288462156681216", "993288462156681216")</f>
        <v/>
      </c>
      <c r="B865" s="2" t="n">
        <v>43227.02543981482</v>
      </c>
      <c r="C865" t="n">
        <v>0</v>
      </c>
      <c r="D865" t="n">
        <v>1547</v>
      </c>
      <c r="E865" t="s">
        <v>876</v>
      </c>
      <c r="F865" t="s"/>
      <c r="G865" t="s"/>
      <c r="H865" t="s"/>
      <c r="I865" t="s"/>
      <c r="J865" t="n">
        <v>0</v>
      </c>
      <c r="K865" t="n">
        <v>0.096</v>
      </c>
      <c r="L865" t="n">
        <v>0.8080000000000001</v>
      </c>
      <c r="M865" t="n">
        <v>0.096</v>
      </c>
    </row>
    <row r="866" spans="1:13">
      <c r="A866" s="1">
        <f>HYPERLINK("http://www.twitter.com/NathanBLawrence/status/993287986916790273", "993287986916790273")</f>
        <v/>
      </c>
      <c r="B866" s="2" t="n">
        <v>43227.02413194445</v>
      </c>
      <c r="C866" t="n">
        <v>0</v>
      </c>
      <c r="D866" t="n">
        <v>1052</v>
      </c>
      <c r="E866" t="s">
        <v>877</v>
      </c>
      <c r="F866" t="s"/>
      <c r="G866" t="s"/>
      <c r="H866" t="s"/>
      <c r="I866" t="s"/>
      <c r="J866" t="n">
        <v>-0.3612</v>
      </c>
      <c r="K866" t="n">
        <v>0.122</v>
      </c>
      <c r="L866" t="n">
        <v>0.878</v>
      </c>
      <c r="M866" t="n">
        <v>0</v>
      </c>
    </row>
    <row r="867" spans="1:13">
      <c r="A867" s="1">
        <f>HYPERLINK("http://www.twitter.com/NathanBLawrence/status/993287169342091265", "993287169342091265")</f>
        <v/>
      </c>
      <c r="B867" s="2" t="n">
        <v>43227.021875</v>
      </c>
      <c r="C867" t="n">
        <v>0</v>
      </c>
      <c r="D867" t="n">
        <v>316</v>
      </c>
      <c r="E867" t="s">
        <v>878</v>
      </c>
      <c r="F867" t="s"/>
      <c r="G867" t="s"/>
      <c r="H867" t="s"/>
      <c r="I867" t="s"/>
      <c r="J867" t="n">
        <v>0.6569</v>
      </c>
      <c r="K867" t="n">
        <v>0.114</v>
      </c>
      <c r="L867" t="n">
        <v>0.621</v>
      </c>
      <c r="M867" t="n">
        <v>0.265</v>
      </c>
    </row>
    <row r="868" spans="1:13">
      <c r="A868" s="1">
        <f>HYPERLINK("http://www.twitter.com/NathanBLawrence/status/993246501957750784", "993246501957750784")</f>
        <v/>
      </c>
      <c r="B868" s="2" t="n">
        <v>43226.90965277778</v>
      </c>
      <c r="C868" t="n">
        <v>0</v>
      </c>
      <c r="D868" t="n">
        <v>33</v>
      </c>
      <c r="E868" t="s">
        <v>879</v>
      </c>
      <c r="F868" t="s"/>
      <c r="G868" t="s"/>
      <c r="H868" t="s"/>
      <c r="I868" t="s"/>
      <c r="J868" t="n">
        <v>0.3182</v>
      </c>
      <c r="K868" t="n">
        <v>0</v>
      </c>
      <c r="L868" t="n">
        <v>0.85</v>
      </c>
      <c r="M868" t="n">
        <v>0.15</v>
      </c>
    </row>
    <row r="869" spans="1:13">
      <c r="A869" s="1">
        <f>HYPERLINK("http://www.twitter.com/NathanBLawrence/status/993246033340706822", "993246033340706822")</f>
        <v/>
      </c>
      <c r="B869" s="2" t="n">
        <v>43226.90835648148</v>
      </c>
      <c r="C869" t="n">
        <v>0</v>
      </c>
      <c r="D869" t="n">
        <v>664</v>
      </c>
      <c r="E869" t="s">
        <v>880</v>
      </c>
      <c r="F869" t="s"/>
      <c r="G869" t="s"/>
      <c r="H869" t="s"/>
      <c r="I869" t="s"/>
      <c r="J869" t="n">
        <v>0.8442</v>
      </c>
      <c r="K869" t="n">
        <v>0</v>
      </c>
      <c r="L869" t="n">
        <v>0.6870000000000001</v>
      </c>
      <c r="M869" t="n">
        <v>0.313</v>
      </c>
    </row>
    <row r="870" spans="1:13">
      <c r="A870" s="1">
        <f>HYPERLINK("http://www.twitter.com/NathanBLawrence/status/993245908832849921", "993245908832849921")</f>
        <v/>
      </c>
      <c r="B870" s="2" t="n">
        <v>43226.90800925926</v>
      </c>
      <c r="C870" t="n">
        <v>0</v>
      </c>
      <c r="D870" t="n">
        <v>72</v>
      </c>
      <c r="E870" t="s">
        <v>881</v>
      </c>
      <c r="F870">
        <f>HYPERLINK("http://pbs.twimg.com/media/DchGDrlXUAEoFbz.jpg", "http://pbs.twimg.com/media/DchGDrlXUAEoFbz.jpg")</f>
        <v/>
      </c>
      <c r="G870" t="s"/>
      <c r="H870" t="s"/>
      <c r="I870" t="s"/>
      <c r="J870" t="n">
        <v>0.5411</v>
      </c>
      <c r="K870" t="n">
        <v>0</v>
      </c>
      <c r="L870" t="n">
        <v>0.8</v>
      </c>
      <c r="M870" t="n">
        <v>0.2</v>
      </c>
    </row>
    <row r="871" spans="1:13">
      <c r="A871" s="1">
        <f>HYPERLINK("http://www.twitter.com/NathanBLawrence/status/993245852562010113", "993245852562010113")</f>
        <v/>
      </c>
      <c r="B871" s="2" t="n">
        <v>43226.90785879629</v>
      </c>
      <c r="C871" t="n">
        <v>0</v>
      </c>
      <c r="D871" t="n">
        <v>772</v>
      </c>
      <c r="E871" t="s">
        <v>882</v>
      </c>
      <c r="F871">
        <f>HYPERLINK("https://video.twimg.com/amplify_video/993164288096440320/vid/1280x720/-409CHZuw4qlK7pY.mp4?tag=2", "https://video.twimg.com/amplify_video/993164288096440320/vid/1280x720/-409CHZuw4qlK7pY.mp4?tag=2")</f>
        <v/>
      </c>
      <c r="G871" t="s"/>
      <c r="H871" t="s"/>
      <c r="I871" t="s"/>
      <c r="J871" t="n">
        <v>0.5859</v>
      </c>
      <c r="K871" t="n">
        <v>0</v>
      </c>
      <c r="L871" t="n">
        <v>0.789</v>
      </c>
      <c r="M871" t="n">
        <v>0.211</v>
      </c>
    </row>
    <row r="872" spans="1:13">
      <c r="A872" s="1">
        <f>HYPERLINK("http://www.twitter.com/NathanBLawrence/status/993188454342234113", "993188454342234113")</f>
        <v/>
      </c>
      <c r="B872" s="2" t="n">
        <v>43226.74946759259</v>
      </c>
      <c r="C872" t="n">
        <v>0</v>
      </c>
      <c r="D872" t="n">
        <v>171</v>
      </c>
      <c r="E872" t="s">
        <v>883</v>
      </c>
      <c r="F872">
        <f>HYPERLINK("http://pbs.twimg.com/media/DchDfHqX0AAoOiz.jpg", "http://pbs.twimg.com/media/DchDfHqX0AAoOiz.jpg")</f>
        <v/>
      </c>
      <c r="G872" t="s"/>
      <c r="H872" t="s"/>
      <c r="I872" t="s"/>
      <c r="J872" t="n">
        <v>0</v>
      </c>
      <c r="K872" t="n">
        <v>0</v>
      </c>
      <c r="L872" t="n">
        <v>1</v>
      </c>
      <c r="M872" t="n">
        <v>0</v>
      </c>
    </row>
    <row r="873" spans="1:13">
      <c r="A873" s="1">
        <f>HYPERLINK("http://www.twitter.com/NathanBLawrence/status/993188041962516482", "993188041962516482")</f>
        <v/>
      </c>
      <c r="B873" s="2" t="n">
        <v>43226.74833333334</v>
      </c>
      <c r="C873" t="n">
        <v>0</v>
      </c>
      <c r="D873" t="n">
        <v>374</v>
      </c>
      <c r="E873" t="s">
        <v>884</v>
      </c>
      <c r="F873" t="s"/>
      <c r="G873" t="s"/>
      <c r="H873" t="s"/>
      <c r="I873" t="s"/>
      <c r="J873" t="n">
        <v>-0.8070000000000001</v>
      </c>
      <c r="K873" t="n">
        <v>0.372</v>
      </c>
      <c r="L873" t="n">
        <v>0.628</v>
      </c>
      <c r="M873" t="n">
        <v>0</v>
      </c>
    </row>
    <row r="874" spans="1:13">
      <c r="A874" s="1">
        <f>HYPERLINK("http://www.twitter.com/NathanBLawrence/status/993182570815860736", "993182570815860736")</f>
        <v/>
      </c>
      <c r="B874" s="2" t="n">
        <v>43226.73322916667</v>
      </c>
      <c r="C874" t="n">
        <v>0</v>
      </c>
      <c r="D874" t="n">
        <v>1083</v>
      </c>
      <c r="E874" t="s">
        <v>885</v>
      </c>
      <c r="F874">
        <f>HYPERLINK("https://video.twimg.com/amplify_video/992894797898694656/vid/1280x720/ZXV1eDT67cB_xvbB.mp4?tag=2", "https://video.twimg.com/amplify_video/992894797898694656/vid/1280x720/ZXV1eDT67cB_xvbB.mp4?tag=2")</f>
        <v/>
      </c>
      <c r="G874" t="s"/>
      <c r="H874" t="s"/>
      <c r="I874" t="s"/>
      <c r="J874" t="n">
        <v>0.6369</v>
      </c>
      <c r="K874" t="n">
        <v>0</v>
      </c>
      <c r="L874" t="n">
        <v>0.851</v>
      </c>
      <c r="M874" t="n">
        <v>0.149</v>
      </c>
    </row>
    <row r="875" spans="1:13">
      <c r="A875" s="1">
        <f>HYPERLINK("http://www.twitter.com/NathanBLawrence/status/993136766285762563", "993136766285762563")</f>
        <v/>
      </c>
      <c r="B875" s="2" t="n">
        <v>43226.60684027777</v>
      </c>
      <c r="C875" t="n">
        <v>0</v>
      </c>
      <c r="D875" t="n">
        <v>719</v>
      </c>
      <c r="E875" t="s">
        <v>886</v>
      </c>
      <c r="F875">
        <f>HYPERLINK("https://video.twimg.com/ext_tw_video/993090348904800256/pu/vid/1280x720/RDXhTPW5862TtyAE.mp4?tag=3", "https://video.twimg.com/ext_tw_video/993090348904800256/pu/vid/1280x720/RDXhTPW5862TtyAE.mp4?tag=3")</f>
        <v/>
      </c>
      <c r="G875" t="s"/>
      <c r="H875" t="s"/>
      <c r="I875" t="s"/>
      <c r="J875" t="n">
        <v>-0.6808</v>
      </c>
      <c r="K875" t="n">
        <v>0.228</v>
      </c>
      <c r="L875" t="n">
        <v>0.772</v>
      </c>
      <c r="M875" t="n">
        <v>0</v>
      </c>
    </row>
    <row r="876" spans="1:13">
      <c r="A876" s="1">
        <f>HYPERLINK("http://www.twitter.com/NathanBLawrence/status/993135564722528256", "993135564722528256")</f>
        <v/>
      </c>
      <c r="B876" s="2" t="n">
        <v>43226.60351851852</v>
      </c>
      <c r="C876" t="n">
        <v>0</v>
      </c>
      <c r="D876" t="n">
        <v>141</v>
      </c>
      <c r="E876" t="s">
        <v>887</v>
      </c>
      <c r="F876">
        <f>HYPERLINK("https://video.twimg.com/amplify_video/993108634451283969/vid/1280x720/fqu1ZsqxyB6HVE8l.mp4?tag=2", "https://video.twimg.com/amplify_video/993108634451283969/vid/1280x720/fqu1ZsqxyB6HVE8l.mp4?tag=2")</f>
        <v/>
      </c>
      <c r="G876" t="s"/>
      <c r="H876" t="s"/>
      <c r="I876" t="s"/>
      <c r="J876" t="n">
        <v>-0.3164</v>
      </c>
      <c r="K876" t="n">
        <v>0.147</v>
      </c>
      <c r="L876" t="n">
        <v>0.753</v>
      </c>
      <c r="M876" t="n">
        <v>0.1</v>
      </c>
    </row>
    <row r="877" spans="1:13">
      <c r="A877" s="1">
        <f>HYPERLINK("http://www.twitter.com/NathanBLawrence/status/992902496560599040", "992902496560599040")</f>
        <v/>
      </c>
      <c r="B877" s="2" t="n">
        <v>43225.96038194445</v>
      </c>
      <c r="C877" t="n">
        <v>0</v>
      </c>
      <c r="D877" t="n">
        <v>499</v>
      </c>
      <c r="E877" t="s">
        <v>888</v>
      </c>
      <c r="F877" t="s"/>
      <c r="G877" t="s"/>
      <c r="H877" t="s"/>
      <c r="I877" t="s"/>
      <c r="J877" t="n">
        <v>0</v>
      </c>
      <c r="K877" t="n">
        <v>0</v>
      </c>
      <c r="L877" t="n">
        <v>1</v>
      </c>
      <c r="M877" t="n">
        <v>0</v>
      </c>
    </row>
    <row r="878" spans="1:13">
      <c r="A878" s="1">
        <f>HYPERLINK("http://www.twitter.com/NathanBLawrence/status/992902457356439552", "992902457356439552")</f>
        <v/>
      </c>
      <c r="B878" s="2" t="n">
        <v>43225.96026620371</v>
      </c>
      <c r="C878" t="n">
        <v>0</v>
      </c>
      <c r="D878" t="n">
        <v>9151</v>
      </c>
      <c r="E878" t="s">
        <v>889</v>
      </c>
      <c r="F878">
        <f>HYPERLINK("http://pbs.twimg.com/media/DcUorFKU0AAbm-w.jpg", "http://pbs.twimg.com/media/DcUorFKU0AAbm-w.jpg")</f>
        <v/>
      </c>
      <c r="G878" t="s"/>
      <c r="H878" t="s"/>
      <c r="I878" t="s"/>
      <c r="J878" t="n">
        <v>0.5106000000000001</v>
      </c>
      <c r="K878" t="n">
        <v>0</v>
      </c>
      <c r="L878" t="n">
        <v>0.852</v>
      </c>
      <c r="M878" t="n">
        <v>0.148</v>
      </c>
    </row>
    <row r="879" spans="1:13">
      <c r="A879" s="1">
        <f>HYPERLINK("http://www.twitter.com/NathanBLawrence/status/992900904381829120", "992900904381829120")</f>
        <v/>
      </c>
      <c r="B879" s="2" t="n">
        <v>43225.9559837963</v>
      </c>
      <c r="C879" t="n">
        <v>0</v>
      </c>
      <c r="D879" t="n">
        <v>79</v>
      </c>
      <c r="E879" t="s">
        <v>890</v>
      </c>
      <c r="F879">
        <f>HYPERLINK("http://pbs.twimg.com/media/Dcd70LkWsAU03Ly.jpg", "http://pbs.twimg.com/media/Dcd70LkWsAU03Ly.jpg")</f>
        <v/>
      </c>
      <c r="G879" t="s"/>
      <c r="H879" t="s"/>
      <c r="I879" t="s"/>
      <c r="J879" t="n">
        <v>0</v>
      </c>
      <c r="K879" t="n">
        <v>0</v>
      </c>
      <c r="L879" t="n">
        <v>1</v>
      </c>
      <c r="M879" t="n">
        <v>0</v>
      </c>
    </row>
    <row r="880" spans="1:13">
      <c r="A880" s="1">
        <f>HYPERLINK("http://www.twitter.com/NathanBLawrence/status/992898315971948547", "992898315971948547")</f>
        <v/>
      </c>
      <c r="B880" s="2" t="n">
        <v>43225.9488425926</v>
      </c>
      <c r="C880" t="n">
        <v>0</v>
      </c>
      <c r="D880" t="n">
        <v>171</v>
      </c>
      <c r="E880" t="s">
        <v>891</v>
      </c>
      <c r="F880" t="s"/>
      <c r="G880" t="s"/>
      <c r="H880" t="s"/>
      <c r="I880" t="s"/>
      <c r="J880" t="n">
        <v>-0.6705</v>
      </c>
      <c r="K880" t="n">
        <v>0.407</v>
      </c>
      <c r="L880" t="n">
        <v>0.593</v>
      </c>
      <c r="M880" t="n">
        <v>0</v>
      </c>
    </row>
    <row r="881" spans="1:13">
      <c r="A881" s="1">
        <f>HYPERLINK("http://www.twitter.com/NathanBLawrence/status/992898276465741825", "992898276465741825")</f>
        <v/>
      </c>
      <c r="B881" s="2" t="n">
        <v>43225.94872685185</v>
      </c>
      <c r="C881" t="n">
        <v>0</v>
      </c>
      <c r="D881" t="n">
        <v>736</v>
      </c>
      <c r="E881" t="s">
        <v>892</v>
      </c>
      <c r="F881" t="s"/>
      <c r="G881" t="s"/>
      <c r="H881" t="s"/>
      <c r="I881" t="s"/>
      <c r="J881" t="n">
        <v>0.5473</v>
      </c>
      <c r="K881" t="n">
        <v>0</v>
      </c>
      <c r="L881" t="n">
        <v>0.665</v>
      </c>
      <c r="M881" t="n">
        <v>0.335</v>
      </c>
    </row>
    <row r="882" spans="1:13">
      <c r="A882" s="1">
        <f>HYPERLINK("http://www.twitter.com/NathanBLawrence/status/992897333800177666", "992897333800177666")</f>
        <v/>
      </c>
      <c r="B882" s="2" t="n">
        <v>43225.94613425926</v>
      </c>
      <c r="C882" t="n">
        <v>0</v>
      </c>
      <c r="D882" t="n">
        <v>1229</v>
      </c>
      <c r="E882" t="s">
        <v>893</v>
      </c>
      <c r="F882">
        <f>HYPERLINK("https://video.twimg.com/amplify_video/992792905638137857/vid/1280x720/r3rnCQe2NuxpXOcB.mp4?tag=2", "https://video.twimg.com/amplify_video/992792905638137857/vid/1280x720/r3rnCQe2NuxpXOcB.mp4?tag=2")</f>
        <v/>
      </c>
      <c r="G882" t="s"/>
      <c r="H882" t="s"/>
      <c r="I882" t="s"/>
      <c r="J882" t="n">
        <v>0.4714</v>
      </c>
      <c r="K882" t="n">
        <v>0</v>
      </c>
      <c r="L882" t="n">
        <v>0.887</v>
      </c>
      <c r="M882" t="n">
        <v>0.113</v>
      </c>
    </row>
    <row r="883" spans="1:13">
      <c r="A883" s="1">
        <f>HYPERLINK("http://www.twitter.com/NathanBLawrence/status/992897185426673664", "992897185426673664")</f>
        <v/>
      </c>
      <c r="B883" s="2" t="n">
        <v>43225.94571759259</v>
      </c>
      <c r="C883" t="n">
        <v>0</v>
      </c>
      <c r="D883" t="n">
        <v>32</v>
      </c>
      <c r="E883" t="s">
        <v>894</v>
      </c>
      <c r="F883" t="s"/>
      <c r="G883" t="s"/>
      <c r="H883" t="s"/>
      <c r="I883" t="s"/>
      <c r="J883" t="n">
        <v>0</v>
      </c>
      <c r="K883" t="n">
        <v>0</v>
      </c>
      <c r="L883" t="n">
        <v>1</v>
      </c>
      <c r="M883" t="n">
        <v>0</v>
      </c>
    </row>
    <row r="884" spans="1:13">
      <c r="A884" s="1">
        <f>HYPERLINK("http://www.twitter.com/NathanBLawrence/status/992891380702773248", "992891380702773248")</f>
        <v/>
      </c>
      <c r="B884" s="2" t="n">
        <v>43225.92969907408</v>
      </c>
      <c r="C884" t="n">
        <v>0</v>
      </c>
      <c r="D884" t="n">
        <v>4</v>
      </c>
      <c r="E884" t="s">
        <v>895</v>
      </c>
      <c r="F884" t="s"/>
      <c r="G884" t="s"/>
      <c r="H884" t="s"/>
      <c r="I884" t="s"/>
      <c r="J884" t="n">
        <v>-0.5574</v>
      </c>
      <c r="K884" t="n">
        <v>0.252</v>
      </c>
      <c r="L884" t="n">
        <v>0.652</v>
      </c>
      <c r="M884" t="n">
        <v>0.096</v>
      </c>
    </row>
    <row r="885" spans="1:13">
      <c r="A885" s="1">
        <f>HYPERLINK("http://www.twitter.com/NathanBLawrence/status/992891286175780866", "992891286175780866")</f>
        <v/>
      </c>
      <c r="B885" s="2" t="n">
        <v>43225.92944444445</v>
      </c>
      <c r="C885" t="n">
        <v>0</v>
      </c>
      <c r="D885" t="n">
        <v>11</v>
      </c>
      <c r="E885" t="s">
        <v>896</v>
      </c>
      <c r="F885" t="s"/>
      <c r="G885" t="s"/>
      <c r="H885" t="s"/>
      <c r="I885" t="s"/>
      <c r="J885" t="n">
        <v>0.34</v>
      </c>
      <c r="K885" t="n">
        <v>0.062</v>
      </c>
      <c r="L885" t="n">
        <v>0.8100000000000001</v>
      </c>
      <c r="M885" t="n">
        <v>0.129</v>
      </c>
    </row>
    <row r="886" spans="1:13">
      <c r="A886" s="1">
        <f>HYPERLINK("http://www.twitter.com/NathanBLawrence/status/992887699072790528", "992887699072790528")</f>
        <v/>
      </c>
      <c r="B886" s="2" t="n">
        <v>43225.91954861111</v>
      </c>
      <c r="C886" t="n">
        <v>0</v>
      </c>
      <c r="D886" t="n">
        <v>393</v>
      </c>
      <c r="E886" t="s">
        <v>897</v>
      </c>
      <c r="F886" t="s"/>
      <c r="G886" t="s"/>
      <c r="H886" t="s"/>
      <c r="I886" t="s"/>
      <c r="J886" t="n">
        <v>-0.7845</v>
      </c>
      <c r="K886" t="n">
        <v>0.535</v>
      </c>
      <c r="L886" t="n">
        <v>0.465</v>
      </c>
      <c r="M886" t="n">
        <v>0</v>
      </c>
    </row>
    <row r="887" spans="1:13">
      <c r="A887" s="1">
        <f>HYPERLINK("http://www.twitter.com/NathanBLawrence/status/992887232192241664", "992887232192241664")</f>
        <v/>
      </c>
      <c r="B887" s="2" t="n">
        <v>43225.91825231481</v>
      </c>
      <c r="C887" t="n">
        <v>0</v>
      </c>
      <c r="D887" t="n">
        <v>161</v>
      </c>
      <c r="E887" t="s">
        <v>898</v>
      </c>
      <c r="F887">
        <f>HYPERLINK("https://video.twimg.com/amplify_video/992883981052821504/vid/1280x720/YJ65txOIHW43ELLa.mp4?tag=2", "https://video.twimg.com/amplify_video/992883981052821504/vid/1280x720/YJ65txOIHW43ELLa.mp4?tag=2")</f>
        <v/>
      </c>
      <c r="G887" t="s"/>
      <c r="H887" t="s"/>
      <c r="I887" t="s"/>
      <c r="J887" t="n">
        <v>0.2732</v>
      </c>
      <c r="K887" t="n">
        <v>0</v>
      </c>
      <c r="L887" t="n">
        <v>0.916</v>
      </c>
      <c r="M887" t="n">
        <v>0.08400000000000001</v>
      </c>
    </row>
    <row r="888" spans="1:13">
      <c r="A888" s="1">
        <f>HYPERLINK("http://www.twitter.com/NathanBLawrence/status/992886080906170368", "992886080906170368")</f>
        <v/>
      </c>
      <c r="B888" s="2" t="n">
        <v>43225.91508101852</v>
      </c>
      <c r="C888" t="n">
        <v>0</v>
      </c>
      <c r="D888" t="n">
        <v>1845</v>
      </c>
      <c r="E888" t="s">
        <v>899</v>
      </c>
      <c r="F888">
        <f>HYPERLINK("https://video.twimg.com/amplify_video/992767595991457792/vid/1280x720/G7GaWH2cfSOVGYU7.mp4?tag=2", "https://video.twimg.com/amplify_video/992767595991457792/vid/1280x720/G7GaWH2cfSOVGYU7.mp4?tag=2")</f>
        <v/>
      </c>
      <c r="G888" t="s"/>
      <c r="H888" t="s"/>
      <c r="I888" t="s"/>
      <c r="J888" t="n">
        <v>0</v>
      </c>
      <c r="K888" t="n">
        <v>0</v>
      </c>
      <c r="L888" t="n">
        <v>1</v>
      </c>
      <c r="M888" t="n">
        <v>0</v>
      </c>
    </row>
    <row r="889" spans="1:13">
      <c r="A889" s="1">
        <f>HYPERLINK("http://www.twitter.com/NathanBLawrence/status/992883208428642307", "992883208428642307")</f>
        <v/>
      </c>
      <c r="B889" s="2" t="n">
        <v>43225.90715277778</v>
      </c>
      <c r="C889" t="n">
        <v>0</v>
      </c>
      <c r="D889" t="n">
        <v>16102</v>
      </c>
      <c r="E889" t="s">
        <v>900</v>
      </c>
      <c r="F889" t="s"/>
      <c r="G889" t="s"/>
      <c r="H889" t="s"/>
      <c r="I889" t="s"/>
      <c r="J889" t="n">
        <v>0.4199</v>
      </c>
      <c r="K889" t="n">
        <v>0</v>
      </c>
      <c r="L889" t="n">
        <v>0.6820000000000001</v>
      </c>
      <c r="M889" t="n">
        <v>0.318</v>
      </c>
    </row>
    <row r="890" spans="1:13">
      <c r="A890" s="1">
        <f>HYPERLINK("http://www.twitter.com/NathanBLawrence/status/992880527802847232", "992880527802847232")</f>
        <v/>
      </c>
      <c r="B890" s="2" t="n">
        <v>43225.89975694445</v>
      </c>
      <c r="C890" t="n">
        <v>0</v>
      </c>
      <c r="D890" t="n">
        <v>46</v>
      </c>
      <c r="E890" t="s">
        <v>901</v>
      </c>
      <c r="F890">
        <f>HYPERLINK("http://pbs.twimg.com/media/DcdrH9tW0AAEPxK.jpg", "http://pbs.twimg.com/media/DcdrH9tW0AAEPxK.jpg")</f>
        <v/>
      </c>
      <c r="G890" t="s"/>
      <c r="H890" t="s"/>
      <c r="I890" t="s"/>
      <c r="J890" t="n">
        <v>0</v>
      </c>
      <c r="K890" t="n">
        <v>0</v>
      </c>
      <c r="L890" t="n">
        <v>1</v>
      </c>
      <c r="M890" t="n">
        <v>0</v>
      </c>
    </row>
    <row r="891" spans="1:13">
      <c r="A891" s="1">
        <f>HYPERLINK("http://www.twitter.com/NathanBLawrence/status/992880462698827777", "992880462698827777")</f>
        <v/>
      </c>
      <c r="B891" s="2" t="n">
        <v>43225.89957175926</v>
      </c>
      <c r="C891" t="n">
        <v>0</v>
      </c>
      <c r="D891" t="n">
        <v>4980</v>
      </c>
      <c r="E891" t="s">
        <v>902</v>
      </c>
      <c r="F891">
        <f>HYPERLINK("https://video.twimg.com/ext_tw_video/992877738024464386/pu/vid/720x1280/daPIUIfBdb_vN0XK.mp4?tag=3", "https://video.twimg.com/ext_tw_video/992877738024464386/pu/vid/720x1280/daPIUIfBdb_vN0XK.mp4?tag=3")</f>
        <v/>
      </c>
      <c r="G891" t="s"/>
      <c r="H891" t="s"/>
      <c r="I891" t="s"/>
      <c r="J891" t="n">
        <v>-0.2263</v>
      </c>
      <c r="K891" t="n">
        <v>0.066</v>
      </c>
      <c r="L891" t="n">
        <v>0.9340000000000001</v>
      </c>
      <c r="M891" t="n">
        <v>0</v>
      </c>
    </row>
    <row r="892" spans="1:13">
      <c r="A892" s="1">
        <f>HYPERLINK("http://www.twitter.com/NathanBLawrence/status/992880294029152256", "992880294029152256")</f>
        <v/>
      </c>
      <c r="B892" s="2" t="n">
        <v>43225.89910879629</v>
      </c>
      <c r="C892" t="n">
        <v>0</v>
      </c>
      <c r="D892" t="n">
        <v>2836</v>
      </c>
      <c r="E892" t="s">
        <v>903</v>
      </c>
      <c r="F892">
        <f>HYPERLINK("https://video.twimg.com/amplify_video/992475754951790594/vid/1280x720/1vAdrHI17x9yQg1D.mp4?tag=2", "https://video.twimg.com/amplify_video/992475754951790594/vid/1280x720/1vAdrHI17x9yQg1D.mp4?tag=2")</f>
        <v/>
      </c>
      <c r="G892" t="s"/>
      <c r="H892" t="s"/>
      <c r="I892" t="s"/>
      <c r="J892" t="n">
        <v>0.3802</v>
      </c>
      <c r="K892" t="n">
        <v>0</v>
      </c>
      <c r="L892" t="n">
        <v>0.853</v>
      </c>
      <c r="M892" t="n">
        <v>0.147</v>
      </c>
    </row>
    <row r="893" spans="1:13">
      <c r="A893" s="1">
        <f>HYPERLINK("http://www.twitter.com/NathanBLawrence/status/992879912842342400", "992879912842342400")</f>
        <v/>
      </c>
      <c r="B893" s="2" t="n">
        <v>43225.89805555555</v>
      </c>
      <c r="C893" t="n">
        <v>0</v>
      </c>
      <c r="D893" t="n">
        <v>12</v>
      </c>
      <c r="E893" t="s">
        <v>904</v>
      </c>
      <c r="F893">
        <f>HYPERLINK("http://pbs.twimg.com/media/DcZfwvOWkAELG8T.jpg", "http://pbs.twimg.com/media/DcZfwvOWkAELG8T.jpg")</f>
        <v/>
      </c>
      <c r="G893" t="s"/>
      <c r="H893" t="s"/>
      <c r="I893" t="s"/>
      <c r="J893" t="n">
        <v>0</v>
      </c>
      <c r="K893" t="n">
        <v>0</v>
      </c>
      <c r="L893" t="n">
        <v>1</v>
      </c>
      <c r="M893" t="n">
        <v>0</v>
      </c>
    </row>
    <row r="894" spans="1:13">
      <c r="A894" s="1">
        <f>HYPERLINK("http://www.twitter.com/NathanBLawrence/status/992877982292348930", "992877982292348930")</f>
        <v/>
      </c>
      <c r="B894" s="2" t="n">
        <v>43225.89273148148</v>
      </c>
      <c r="C894" t="n">
        <v>0</v>
      </c>
      <c r="D894" t="n">
        <v>139</v>
      </c>
      <c r="E894" t="s">
        <v>905</v>
      </c>
      <c r="F894">
        <f>HYPERLINK("https://video.twimg.com/amplify_video/992778930191978497/vid/1280x720/7v6ys8H3-aup1o5A.mp4?tag=2", "https://video.twimg.com/amplify_video/992778930191978497/vid/1280x720/7v6ys8H3-aup1o5A.mp4?tag=2")</f>
        <v/>
      </c>
      <c r="G894" t="s"/>
      <c r="H894" t="s"/>
      <c r="I894" t="s"/>
      <c r="J894" t="n">
        <v>0.5574</v>
      </c>
      <c r="K894" t="n">
        <v>0</v>
      </c>
      <c r="L894" t="n">
        <v>0.859</v>
      </c>
      <c r="M894" t="n">
        <v>0.141</v>
      </c>
    </row>
    <row r="895" spans="1:13">
      <c r="A895" s="1">
        <f>HYPERLINK("http://www.twitter.com/NathanBLawrence/status/992877724430667776", "992877724430667776")</f>
        <v/>
      </c>
      <c r="B895" s="2" t="n">
        <v>43225.89201388889</v>
      </c>
      <c r="C895" t="n">
        <v>0</v>
      </c>
      <c r="D895" t="n">
        <v>85</v>
      </c>
      <c r="E895" t="s">
        <v>906</v>
      </c>
      <c r="F895">
        <f>HYPERLINK("https://video.twimg.com/amplify_video/992826206134329344/vid/1280x720/-SFCiMqTtNRnWOo1.mp4?tag=2", "https://video.twimg.com/amplify_video/992826206134329344/vid/1280x720/-SFCiMqTtNRnWOo1.mp4?tag=2")</f>
        <v/>
      </c>
      <c r="G895" t="s"/>
      <c r="H895" t="s"/>
      <c r="I895" t="s"/>
      <c r="J895" t="n">
        <v>-0.5106000000000001</v>
      </c>
      <c r="K895" t="n">
        <v>0.121</v>
      </c>
      <c r="L895" t="n">
        <v>0.879</v>
      </c>
      <c r="M895" t="n">
        <v>0</v>
      </c>
    </row>
    <row r="896" spans="1:13">
      <c r="A896" s="1">
        <f>HYPERLINK("http://www.twitter.com/NathanBLawrence/status/992870504305496064", "992870504305496064")</f>
        <v/>
      </c>
      <c r="B896" s="2" t="n">
        <v>43225.8720949074</v>
      </c>
      <c r="C896" t="n">
        <v>0</v>
      </c>
      <c r="D896" t="n">
        <v>15182</v>
      </c>
      <c r="E896" t="s">
        <v>907</v>
      </c>
      <c r="F896" t="s"/>
      <c r="G896" t="s"/>
      <c r="H896" t="s"/>
      <c r="I896" t="s"/>
      <c r="J896" t="n">
        <v>-0.296</v>
      </c>
      <c r="K896" t="n">
        <v>0.078</v>
      </c>
      <c r="L896" t="n">
        <v>0.922</v>
      </c>
      <c r="M896" t="n">
        <v>0</v>
      </c>
    </row>
    <row r="897" spans="1:13">
      <c r="A897" s="1">
        <f>HYPERLINK("http://www.twitter.com/NathanBLawrence/status/992870178563284992", "992870178563284992")</f>
        <v/>
      </c>
      <c r="B897" s="2" t="n">
        <v>43225.87119212963</v>
      </c>
      <c r="C897" t="n">
        <v>0</v>
      </c>
      <c r="D897" t="n">
        <v>355</v>
      </c>
      <c r="E897" t="s">
        <v>908</v>
      </c>
      <c r="F897" t="s"/>
      <c r="G897" t="s"/>
      <c r="H897" t="s"/>
      <c r="I897" t="s"/>
      <c r="J897" t="n">
        <v>0</v>
      </c>
      <c r="K897" t="n">
        <v>0</v>
      </c>
      <c r="L897" t="n">
        <v>1</v>
      </c>
      <c r="M897" t="n">
        <v>0</v>
      </c>
    </row>
    <row r="898" spans="1:13">
      <c r="A898" s="1">
        <f>HYPERLINK("http://www.twitter.com/NathanBLawrence/status/992870122392961026", "992870122392961026")</f>
        <v/>
      </c>
      <c r="B898" s="2" t="n">
        <v>43225.87104166667</v>
      </c>
      <c r="C898" t="n">
        <v>0</v>
      </c>
      <c r="D898" t="n">
        <v>146</v>
      </c>
      <c r="E898" t="s">
        <v>909</v>
      </c>
      <c r="F898" t="s"/>
      <c r="G898" t="s"/>
      <c r="H898" t="s"/>
      <c r="I898" t="s"/>
      <c r="J898" t="n">
        <v>0</v>
      </c>
      <c r="K898" t="n">
        <v>0</v>
      </c>
      <c r="L898" t="n">
        <v>1</v>
      </c>
      <c r="M898" t="n">
        <v>0</v>
      </c>
    </row>
    <row r="899" spans="1:13">
      <c r="A899" s="1">
        <f>HYPERLINK("http://www.twitter.com/NathanBLawrence/status/992869669068509184", "992869669068509184")</f>
        <v/>
      </c>
      <c r="B899" s="2" t="n">
        <v>43225.86979166666</v>
      </c>
      <c r="C899" t="n">
        <v>0</v>
      </c>
      <c r="D899" t="n">
        <v>897</v>
      </c>
      <c r="E899" t="s">
        <v>910</v>
      </c>
      <c r="F899" t="s"/>
      <c r="G899" t="s"/>
      <c r="H899" t="s"/>
      <c r="I899" t="s"/>
      <c r="J899" t="n">
        <v>-0.7304</v>
      </c>
      <c r="K899" t="n">
        <v>0.327</v>
      </c>
      <c r="L899" t="n">
        <v>0.542</v>
      </c>
      <c r="M899" t="n">
        <v>0.131</v>
      </c>
    </row>
    <row r="900" spans="1:13">
      <c r="A900" s="1">
        <f>HYPERLINK("http://www.twitter.com/NathanBLawrence/status/992865011482677248", "992865011482677248")</f>
        <v/>
      </c>
      <c r="B900" s="2" t="n">
        <v>43225.85693287037</v>
      </c>
      <c r="C900" t="n">
        <v>0</v>
      </c>
      <c r="D900" t="n">
        <v>2459</v>
      </c>
      <c r="E900" t="s">
        <v>911</v>
      </c>
      <c r="F900" t="s"/>
      <c r="G900" t="s"/>
      <c r="H900" t="s"/>
      <c r="I900" t="s"/>
      <c r="J900" t="n">
        <v>0.4767</v>
      </c>
      <c r="K900" t="n">
        <v>0</v>
      </c>
      <c r="L900" t="n">
        <v>0.819</v>
      </c>
      <c r="M900" t="n">
        <v>0.181</v>
      </c>
    </row>
    <row r="901" spans="1:13">
      <c r="A901" s="1">
        <f>HYPERLINK("http://www.twitter.com/NathanBLawrence/status/992864843597275136", "992864843597275136")</f>
        <v/>
      </c>
      <c r="B901" s="2" t="n">
        <v>43225.8564699074</v>
      </c>
      <c r="C901" t="n">
        <v>0</v>
      </c>
      <c r="D901" t="n">
        <v>479</v>
      </c>
      <c r="E901" t="s">
        <v>912</v>
      </c>
      <c r="F901">
        <f>HYPERLINK("http://pbs.twimg.com/media/DcdajznWsAMd1PU.jpg", "http://pbs.twimg.com/media/DcdajznWsAMd1PU.jpg")</f>
        <v/>
      </c>
      <c r="G901" t="s"/>
      <c r="H901" t="s"/>
      <c r="I901" t="s"/>
      <c r="J901" t="n">
        <v>0</v>
      </c>
      <c r="K901" t="n">
        <v>0</v>
      </c>
      <c r="L901" t="n">
        <v>1</v>
      </c>
      <c r="M901" t="n">
        <v>0</v>
      </c>
    </row>
    <row r="902" spans="1:13">
      <c r="A902" s="1">
        <f>HYPERLINK("http://www.twitter.com/NathanBLawrence/status/992864723287904257", "992864723287904257")</f>
        <v/>
      </c>
      <c r="B902" s="2" t="n">
        <v>43225.85614583334</v>
      </c>
      <c r="C902" t="n">
        <v>0</v>
      </c>
      <c r="D902" t="n">
        <v>6505</v>
      </c>
      <c r="E902" t="s">
        <v>913</v>
      </c>
      <c r="F902" t="s"/>
      <c r="G902" t="s"/>
      <c r="H902" t="s"/>
      <c r="I902" t="s"/>
      <c r="J902" t="n">
        <v>-0.5994</v>
      </c>
      <c r="K902" t="n">
        <v>0.261</v>
      </c>
      <c r="L902" t="n">
        <v>0.632</v>
      </c>
      <c r="M902" t="n">
        <v>0.107</v>
      </c>
    </row>
    <row r="903" spans="1:13">
      <c r="A903" s="1">
        <f>HYPERLINK("http://www.twitter.com/NathanBLawrence/status/992864615796224000", "992864615796224000")</f>
        <v/>
      </c>
      <c r="B903" s="2" t="n">
        <v>43225.8558449074</v>
      </c>
      <c r="C903" t="n">
        <v>0</v>
      </c>
      <c r="D903" t="n">
        <v>352</v>
      </c>
      <c r="E903" t="s">
        <v>914</v>
      </c>
      <c r="F903" t="s"/>
      <c r="G903" t="s"/>
      <c r="H903" t="s"/>
      <c r="I903" t="s"/>
      <c r="J903" t="n">
        <v>0.5266999999999999</v>
      </c>
      <c r="K903" t="n">
        <v>0</v>
      </c>
      <c r="L903" t="n">
        <v>0.779</v>
      </c>
      <c r="M903" t="n">
        <v>0.221</v>
      </c>
    </row>
    <row r="904" spans="1:13">
      <c r="A904" s="1">
        <f>HYPERLINK("http://www.twitter.com/NathanBLawrence/status/992831278700515329", "992831278700515329")</f>
        <v/>
      </c>
      <c r="B904" s="2" t="n">
        <v>43225.76385416667</v>
      </c>
      <c r="C904" t="n">
        <v>0</v>
      </c>
      <c r="D904" t="n">
        <v>1471</v>
      </c>
      <c r="E904" t="s">
        <v>915</v>
      </c>
      <c r="F904" t="s"/>
      <c r="G904" t="s"/>
      <c r="H904" t="s"/>
      <c r="I904" t="s"/>
      <c r="J904" t="n">
        <v>0</v>
      </c>
      <c r="K904" t="n">
        <v>0</v>
      </c>
      <c r="L904" t="n">
        <v>1</v>
      </c>
      <c r="M904" t="n">
        <v>0</v>
      </c>
    </row>
    <row r="905" spans="1:13">
      <c r="A905" s="1">
        <f>HYPERLINK("http://www.twitter.com/NathanBLawrence/status/992830760796196864", "992830760796196864")</f>
        <v/>
      </c>
      <c r="B905" s="2" t="n">
        <v>43225.76241898148</v>
      </c>
      <c r="C905" t="n">
        <v>0</v>
      </c>
      <c r="D905" t="n">
        <v>686</v>
      </c>
      <c r="E905" t="s">
        <v>916</v>
      </c>
      <c r="F905" t="s"/>
      <c r="G905" t="s"/>
      <c r="H905" t="s"/>
      <c r="I905" t="s"/>
      <c r="J905" t="n">
        <v>0</v>
      </c>
      <c r="K905" t="n">
        <v>0</v>
      </c>
      <c r="L905" t="n">
        <v>1</v>
      </c>
      <c r="M905" t="n">
        <v>0</v>
      </c>
    </row>
    <row r="906" spans="1:13">
      <c r="A906" s="1">
        <f>HYPERLINK("http://www.twitter.com/NathanBLawrence/status/992830498954272768", "992830498954272768")</f>
        <v/>
      </c>
      <c r="B906" s="2" t="n">
        <v>43225.76170138889</v>
      </c>
      <c r="C906" t="n">
        <v>0</v>
      </c>
      <c r="D906" t="n">
        <v>11148</v>
      </c>
      <c r="E906" t="s">
        <v>917</v>
      </c>
      <c r="F906" t="s"/>
      <c r="G906" t="s"/>
      <c r="H906" t="s"/>
      <c r="I906" t="s"/>
      <c r="J906" t="n">
        <v>-0.4767</v>
      </c>
      <c r="K906" t="n">
        <v>0.134</v>
      </c>
      <c r="L906" t="n">
        <v>0.866</v>
      </c>
      <c r="M906" t="n">
        <v>0</v>
      </c>
    </row>
    <row r="907" spans="1:13">
      <c r="A907" s="1">
        <f>HYPERLINK("http://www.twitter.com/NathanBLawrence/status/992830375952048129", "992830375952048129")</f>
        <v/>
      </c>
      <c r="B907" s="2" t="n">
        <v>43225.76136574074</v>
      </c>
      <c r="C907" t="n">
        <v>0</v>
      </c>
      <c r="D907" t="n">
        <v>1617</v>
      </c>
      <c r="E907" t="s">
        <v>918</v>
      </c>
      <c r="F907">
        <f>HYPERLINK("http://pbs.twimg.com/media/Dcch-E2WsActwZ4.jpg", "http://pbs.twimg.com/media/Dcch-E2WsActwZ4.jpg")</f>
        <v/>
      </c>
      <c r="G907" t="s"/>
      <c r="H907" t="s"/>
      <c r="I907" t="s"/>
      <c r="J907" t="n">
        <v>-0.875</v>
      </c>
      <c r="K907" t="n">
        <v>0.326</v>
      </c>
      <c r="L907" t="n">
        <v>0.61</v>
      </c>
      <c r="M907" t="n">
        <v>0.064</v>
      </c>
    </row>
    <row r="908" spans="1:13">
      <c r="A908" s="1">
        <f>HYPERLINK("http://www.twitter.com/NathanBLawrence/status/992830301737975808", "992830301737975808")</f>
        <v/>
      </c>
      <c r="B908" s="2" t="n">
        <v>43225.76115740741</v>
      </c>
      <c r="C908" t="n">
        <v>0</v>
      </c>
      <c r="D908" t="n">
        <v>6180</v>
      </c>
      <c r="E908" t="s">
        <v>919</v>
      </c>
      <c r="F908">
        <f>HYPERLINK("https://video.twimg.com/ext_tw_video/992559122813014017/pu/vid/178x320/UKpqUAEDsq_xWMt0.mp4?tag=3", "https://video.twimg.com/ext_tw_video/992559122813014017/pu/vid/178x320/UKpqUAEDsq_xWMt0.mp4?tag=3")</f>
        <v/>
      </c>
      <c r="G908" t="s"/>
      <c r="H908" t="s"/>
      <c r="I908" t="s"/>
      <c r="J908" t="n">
        <v>-0.2003</v>
      </c>
      <c r="K908" t="n">
        <v>0.082</v>
      </c>
      <c r="L908" t="n">
        <v>0.918</v>
      </c>
      <c r="M908" t="n">
        <v>0</v>
      </c>
    </row>
    <row r="909" spans="1:13">
      <c r="A909" s="1">
        <f>HYPERLINK("http://www.twitter.com/NathanBLawrence/status/992829998976335872", "992829998976335872")</f>
        <v/>
      </c>
      <c r="B909" s="2" t="n">
        <v>43225.76032407407</v>
      </c>
      <c r="C909" t="n">
        <v>0</v>
      </c>
      <c r="D909" t="n">
        <v>6490</v>
      </c>
      <c r="E909" t="s">
        <v>920</v>
      </c>
      <c r="F909" t="s"/>
      <c r="G909" t="s"/>
      <c r="H909" t="s"/>
      <c r="I909" t="s"/>
      <c r="J909" t="n">
        <v>-0.6124000000000001</v>
      </c>
      <c r="K909" t="n">
        <v>0.185</v>
      </c>
      <c r="L909" t="n">
        <v>0.8149999999999999</v>
      </c>
      <c r="M909" t="n">
        <v>0</v>
      </c>
    </row>
    <row r="910" spans="1:13">
      <c r="A910" s="1">
        <f>HYPERLINK("http://www.twitter.com/NathanBLawrence/status/992775778331975680", "992775778331975680")</f>
        <v/>
      </c>
      <c r="B910" s="2" t="n">
        <v>43225.61070601852</v>
      </c>
      <c r="C910" t="n">
        <v>0</v>
      </c>
      <c r="D910" t="n">
        <v>990</v>
      </c>
      <c r="E910" t="s">
        <v>921</v>
      </c>
      <c r="F910" t="s"/>
      <c r="G910" t="s"/>
      <c r="H910" t="s"/>
      <c r="I910" t="s"/>
      <c r="J910" t="n">
        <v>0</v>
      </c>
      <c r="K910" t="n">
        <v>0</v>
      </c>
      <c r="L910" t="n">
        <v>1</v>
      </c>
      <c r="M910" t="n">
        <v>0</v>
      </c>
    </row>
    <row r="911" spans="1:13">
      <c r="A911" s="1">
        <f>HYPERLINK("http://www.twitter.com/NathanBLawrence/status/992741624533999616", "992741624533999616")</f>
        <v/>
      </c>
      <c r="B911" s="2" t="n">
        <v>43225.51645833333</v>
      </c>
      <c r="C911" t="n">
        <v>0</v>
      </c>
      <c r="D911" t="n">
        <v>2</v>
      </c>
      <c r="E911" t="s">
        <v>922</v>
      </c>
      <c r="F911" t="s"/>
      <c r="G911" t="s"/>
      <c r="H911" t="s"/>
      <c r="I911" t="s"/>
      <c r="J911" t="n">
        <v>-0.4767</v>
      </c>
      <c r="K911" t="n">
        <v>0.134</v>
      </c>
      <c r="L911" t="n">
        <v>0.866</v>
      </c>
      <c r="M911" t="n">
        <v>0</v>
      </c>
    </row>
    <row r="912" spans="1:13">
      <c r="A912" s="1">
        <f>HYPERLINK("http://www.twitter.com/NathanBLawrence/status/992739545069314049", "992739545069314049")</f>
        <v/>
      </c>
      <c r="B912" s="2" t="n">
        <v>43225.5107175926</v>
      </c>
      <c r="C912" t="n">
        <v>0</v>
      </c>
      <c r="D912" t="n">
        <v>1872</v>
      </c>
      <c r="E912" t="s">
        <v>923</v>
      </c>
      <c r="F912">
        <f>HYPERLINK("http://pbs.twimg.com/media/DbutlfTUQAESGp_.jpg", "http://pbs.twimg.com/media/DbutlfTUQAESGp_.jpg")</f>
        <v/>
      </c>
      <c r="G912" t="s"/>
      <c r="H912" t="s"/>
      <c r="I912" t="s"/>
      <c r="J912" t="n">
        <v>0.7073</v>
      </c>
      <c r="K912" t="n">
        <v>0</v>
      </c>
      <c r="L912" t="n">
        <v>0.825</v>
      </c>
      <c r="M912" t="n">
        <v>0.175</v>
      </c>
    </row>
    <row r="913" spans="1:13">
      <c r="A913" s="1">
        <f>HYPERLINK("http://www.twitter.com/NathanBLawrence/status/992736156159758337", "992736156159758337")</f>
        <v/>
      </c>
      <c r="B913" s="2" t="n">
        <v>43225.50136574074</v>
      </c>
      <c r="C913" t="n">
        <v>0</v>
      </c>
      <c r="D913" t="n">
        <v>18233</v>
      </c>
      <c r="E913" t="s">
        <v>924</v>
      </c>
      <c r="F913">
        <f>HYPERLINK("https://video.twimg.com/ext_tw_video/992538124466114560/pu/vid/1280x720/8dEPvD6rHqwqYohw.mp4?tag=3", "https://video.twimg.com/ext_tw_video/992538124466114560/pu/vid/1280x720/8dEPvD6rHqwqYohw.mp4?tag=3")</f>
        <v/>
      </c>
      <c r="G913" t="s"/>
      <c r="H913" t="s"/>
      <c r="I913" t="s"/>
      <c r="J913" t="n">
        <v>0.8847</v>
      </c>
      <c r="K913" t="n">
        <v>0</v>
      </c>
      <c r="L913" t="n">
        <v>0.618</v>
      </c>
      <c r="M913" t="n">
        <v>0.382</v>
      </c>
    </row>
    <row r="914" spans="1:13">
      <c r="A914" s="1">
        <f>HYPERLINK("http://www.twitter.com/NathanBLawrence/status/992730792970342400", "992730792970342400")</f>
        <v/>
      </c>
      <c r="B914" s="2" t="n">
        <v>43225.4865625</v>
      </c>
      <c r="C914" t="n">
        <v>0</v>
      </c>
      <c r="D914" t="n">
        <v>7079</v>
      </c>
      <c r="E914" t="s">
        <v>925</v>
      </c>
      <c r="F914" t="s"/>
      <c r="G914" t="s"/>
      <c r="H914" t="s"/>
      <c r="I914" t="s"/>
      <c r="J914" t="n">
        <v>0.795</v>
      </c>
      <c r="K914" t="n">
        <v>0</v>
      </c>
      <c r="L914" t="n">
        <v>0.664</v>
      </c>
      <c r="M914" t="n">
        <v>0.336</v>
      </c>
    </row>
    <row r="915" spans="1:13">
      <c r="A915" s="1">
        <f>HYPERLINK("http://www.twitter.com/NathanBLawrence/status/992730617094852608", "992730617094852608")</f>
        <v/>
      </c>
      <c r="B915" s="2" t="n">
        <v>43225.48607638889</v>
      </c>
      <c r="C915" t="n">
        <v>0</v>
      </c>
      <c r="D915" t="n">
        <v>4543</v>
      </c>
      <c r="E915" t="s">
        <v>926</v>
      </c>
      <c r="F915" t="s"/>
      <c r="G915" t="s"/>
      <c r="H915" t="s"/>
      <c r="I915" t="s"/>
      <c r="J915" t="n">
        <v>0</v>
      </c>
      <c r="K915" t="n">
        <v>0</v>
      </c>
      <c r="L915" t="n">
        <v>1</v>
      </c>
      <c r="M915" t="n">
        <v>0</v>
      </c>
    </row>
    <row r="916" spans="1:13">
      <c r="A916" s="1">
        <f>HYPERLINK("http://www.twitter.com/NathanBLawrence/status/992596930181165056", "992596930181165056")</f>
        <v/>
      </c>
      <c r="B916" s="2" t="n">
        <v>43225.11717592592</v>
      </c>
      <c r="C916" t="n">
        <v>0</v>
      </c>
      <c r="D916" t="n">
        <v>496</v>
      </c>
      <c r="E916" t="s">
        <v>927</v>
      </c>
      <c r="F916" t="s"/>
      <c r="G916" t="s"/>
      <c r="H916" t="s"/>
      <c r="I916" t="s"/>
      <c r="J916" t="n">
        <v>0</v>
      </c>
      <c r="K916" t="n">
        <v>0</v>
      </c>
      <c r="L916" t="n">
        <v>1</v>
      </c>
      <c r="M916" t="n">
        <v>0</v>
      </c>
    </row>
    <row r="917" spans="1:13">
      <c r="A917" s="1">
        <f>HYPERLINK("http://www.twitter.com/NathanBLawrence/status/992591368731201537", "992591368731201537")</f>
        <v/>
      </c>
      <c r="B917" s="2" t="n">
        <v>43225.1018287037</v>
      </c>
      <c r="C917" t="n">
        <v>0</v>
      </c>
      <c r="D917" t="n">
        <v>2760</v>
      </c>
      <c r="E917" t="s">
        <v>928</v>
      </c>
      <c r="F917">
        <f>HYPERLINK("https://video.twimg.com/amplify_video/992408681676460032/vid/1280x720/TcN1oLM-C-5oI8Ai.mp4?tag=2", "https://video.twimg.com/amplify_video/992408681676460032/vid/1280x720/TcN1oLM-C-5oI8Ai.mp4?tag=2")</f>
        <v/>
      </c>
      <c r="G917" t="s"/>
      <c r="H917" t="s"/>
      <c r="I917" t="s"/>
      <c r="J917" t="n">
        <v>0</v>
      </c>
      <c r="K917" t="n">
        <v>0</v>
      </c>
      <c r="L917" t="n">
        <v>1</v>
      </c>
      <c r="M917" t="n">
        <v>0</v>
      </c>
    </row>
    <row r="918" spans="1:13">
      <c r="A918" s="1">
        <f>HYPERLINK("http://www.twitter.com/NathanBLawrence/status/992589484876320768", "992589484876320768")</f>
        <v/>
      </c>
      <c r="B918" s="2" t="n">
        <v>43225.09663194444</v>
      </c>
      <c r="C918" t="n">
        <v>0</v>
      </c>
      <c r="D918" t="n">
        <v>75</v>
      </c>
      <c r="E918" t="s">
        <v>929</v>
      </c>
      <c r="F918" t="s"/>
      <c r="G918" t="s"/>
      <c r="H918" t="s"/>
      <c r="I918" t="s"/>
      <c r="J918" t="n">
        <v>-0.25</v>
      </c>
      <c r="K918" t="n">
        <v>0.25</v>
      </c>
      <c r="L918" t="n">
        <v>0.75</v>
      </c>
      <c r="M918" t="n">
        <v>0</v>
      </c>
    </row>
    <row r="919" spans="1:13">
      <c r="A919" s="1">
        <f>HYPERLINK("http://www.twitter.com/NathanBLawrence/status/992583506437042177", "992583506437042177")</f>
        <v/>
      </c>
      <c r="B919" s="2" t="n">
        <v>43225.08012731482</v>
      </c>
      <c r="C919" t="n">
        <v>0</v>
      </c>
      <c r="D919" t="n">
        <v>1313</v>
      </c>
      <c r="E919" t="s">
        <v>930</v>
      </c>
      <c r="F919">
        <f>HYPERLINK("http://pbs.twimg.com/media/DcZabWqVAAIVWpI.jpg", "http://pbs.twimg.com/media/DcZabWqVAAIVWpI.jpg")</f>
        <v/>
      </c>
      <c r="G919" t="s"/>
      <c r="H919" t="s"/>
      <c r="I919" t="s"/>
      <c r="J919" t="n">
        <v>-0.2023</v>
      </c>
      <c r="K919" t="n">
        <v>0.111</v>
      </c>
      <c r="L919" t="n">
        <v>0.8169999999999999</v>
      </c>
      <c r="M919" t="n">
        <v>0.07199999999999999</v>
      </c>
    </row>
    <row r="920" spans="1:13">
      <c r="A920" s="1">
        <f>HYPERLINK("http://www.twitter.com/NathanBLawrence/status/992453470337695744", "992453470337695744")</f>
        <v/>
      </c>
      <c r="B920" s="2" t="n">
        <v>43224.72129629629</v>
      </c>
      <c r="C920" t="n">
        <v>0</v>
      </c>
      <c r="D920" t="n">
        <v>1292</v>
      </c>
      <c r="E920" t="s">
        <v>931</v>
      </c>
      <c r="F920" t="s"/>
      <c r="G920" t="s"/>
      <c r="H920" t="s"/>
      <c r="I920" t="s"/>
      <c r="J920" t="n">
        <v>-0.296</v>
      </c>
      <c r="K920" t="n">
        <v>0.095</v>
      </c>
      <c r="L920" t="n">
        <v>0.905</v>
      </c>
      <c r="M920" t="n">
        <v>0</v>
      </c>
    </row>
    <row r="921" spans="1:13">
      <c r="A921" s="1">
        <f>HYPERLINK("http://www.twitter.com/NathanBLawrence/status/992452959383498752", "992452959383498752")</f>
        <v/>
      </c>
      <c r="B921" s="2" t="n">
        <v>43224.71989583333</v>
      </c>
      <c r="C921" t="n">
        <v>0</v>
      </c>
      <c r="D921" t="n">
        <v>12447</v>
      </c>
      <c r="E921" t="s">
        <v>932</v>
      </c>
      <c r="F921" t="s"/>
      <c r="G921" t="s"/>
      <c r="H921" t="s"/>
      <c r="I921" t="s"/>
      <c r="J921" t="n">
        <v>0.729</v>
      </c>
      <c r="K921" t="n">
        <v>0</v>
      </c>
      <c r="L921" t="n">
        <v>0.701</v>
      </c>
      <c r="M921" t="n">
        <v>0.299</v>
      </c>
    </row>
    <row r="922" spans="1:13">
      <c r="A922" s="1">
        <f>HYPERLINK("http://www.twitter.com/NathanBLawrence/status/992219694978486277", "992219694978486277")</f>
        <v/>
      </c>
      <c r="B922" s="2" t="n">
        <v>43224.07620370371</v>
      </c>
      <c r="C922" t="n">
        <v>0</v>
      </c>
      <c r="D922" t="n">
        <v>913</v>
      </c>
      <c r="E922" t="s">
        <v>933</v>
      </c>
      <c r="F922">
        <f>HYPERLINK("http://pbs.twimg.com/media/DcUSAp6W0AEMwk0.jpg", "http://pbs.twimg.com/media/DcUSAp6W0AEMwk0.jpg")</f>
        <v/>
      </c>
      <c r="G922" t="s"/>
      <c r="H922" t="s"/>
      <c r="I922" t="s"/>
      <c r="J922" t="n">
        <v>0</v>
      </c>
      <c r="K922" t="n">
        <v>0</v>
      </c>
      <c r="L922" t="n">
        <v>1</v>
      </c>
      <c r="M922" t="n">
        <v>0</v>
      </c>
    </row>
    <row r="923" spans="1:13">
      <c r="A923" s="1">
        <f>HYPERLINK("http://www.twitter.com/NathanBLawrence/status/992219575461793792", "992219575461793792")</f>
        <v/>
      </c>
      <c r="B923" s="2" t="n">
        <v>43224.07586805556</v>
      </c>
      <c r="C923" t="n">
        <v>0</v>
      </c>
      <c r="D923" t="n">
        <v>1212</v>
      </c>
      <c r="E923" t="s">
        <v>934</v>
      </c>
      <c r="F923" t="s"/>
      <c r="G923" t="s"/>
      <c r="H923" t="s"/>
      <c r="I923" t="s"/>
      <c r="J923" t="n">
        <v>-0.34</v>
      </c>
      <c r="K923" t="n">
        <v>0.103</v>
      </c>
      <c r="L923" t="n">
        <v>0.897</v>
      </c>
      <c r="M923" t="n">
        <v>0</v>
      </c>
    </row>
    <row r="924" spans="1:13">
      <c r="A924" s="1">
        <f>HYPERLINK("http://www.twitter.com/NathanBLawrence/status/992123770721718273", "992123770721718273")</f>
        <v/>
      </c>
      <c r="B924" s="2" t="n">
        <v>43223.81150462963</v>
      </c>
      <c r="C924" t="n">
        <v>0</v>
      </c>
      <c r="D924" t="n">
        <v>436</v>
      </c>
      <c r="E924" t="s">
        <v>935</v>
      </c>
      <c r="F924" t="s"/>
      <c r="G924" t="s"/>
      <c r="H924" t="s"/>
      <c r="I924" t="s"/>
      <c r="J924" t="n">
        <v>-0.3252</v>
      </c>
      <c r="K924" t="n">
        <v>0.109</v>
      </c>
      <c r="L924" t="n">
        <v>0.891</v>
      </c>
      <c r="M924" t="n">
        <v>0</v>
      </c>
    </row>
    <row r="925" spans="1:13">
      <c r="A925" s="1">
        <f>HYPERLINK("http://www.twitter.com/NathanBLawrence/status/992123397583921152", "992123397583921152")</f>
        <v/>
      </c>
      <c r="B925" s="2" t="n">
        <v>43223.81047453704</v>
      </c>
      <c r="C925" t="n">
        <v>0</v>
      </c>
      <c r="D925" t="n">
        <v>406</v>
      </c>
      <c r="E925" t="s">
        <v>936</v>
      </c>
      <c r="F925" t="s"/>
      <c r="G925" t="s"/>
      <c r="H925" t="s"/>
      <c r="I925" t="s"/>
      <c r="J925" t="n">
        <v>0.3453</v>
      </c>
      <c r="K925" t="n">
        <v>0</v>
      </c>
      <c r="L925" t="n">
        <v>0.819</v>
      </c>
      <c r="M925" t="n">
        <v>0.181</v>
      </c>
    </row>
    <row r="926" spans="1:13">
      <c r="A926" s="1">
        <f>HYPERLINK("http://www.twitter.com/NathanBLawrence/status/992123358451060738", "992123358451060738")</f>
        <v/>
      </c>
      <c r="B926" s="2" t="n">
        <v>43223.81037037037</v>
      </c>
      <c r="C926" t="n">
        <v>0</v>
      </c>
      <c r="D926" t="n">
        <v>329</v>
      </c>
      <c r="E926" t="s">
        <v>937</v>
      </c>
      <c r="F926">
        <f>HYPERLINK("http://pbs.twimg.com/media/DcSZEMFWkAEMfRy.jpg", "http://pbs.twimg.com/media/DcSZEMFWkAEMfRy.jpg")</f>
        <v/>
      </c>
      <c r="G926" t="s"/>
      <c r="H926" t="s"/>
      <c r="I926" t="s"/>
      <c r="J926" t="n">
        <v>0</v>
      </c>
      <c r="K926" t="n">
        <v>0</v>
      </c>
      <c r="L926" t="n">
        <v>1</v>
      </c>
      <c r="M926" t="n">
        <v>0</v>
      </c>
    </row>
    <row r="927" spans="1:13">
      <c r="A927" s="1">
        <f>HYPERLINK("http://www.twitter.com/NathanBLawrence/status/992123337462697986", "992123337462697986")</f>
        <v/>
      </c>
      <c r="B927" s="2" t="n">
        <v>43223.8103125</v>
      </c>
      <c r="C927" t="n">
        <v>0</v>
      </c>
      <c r="D927" t="n">
        <v>15858</v>
      </c>
      <c r="E927" t="s">
        <v>938</v>
      </c>
      <c r="F927">
        <f>HYPERLINK("https://video.twimg.com/ext_tw_video/992106465119780864/pu/vid/1280x720/f__51xilfkS49s3x.mp4?tag=3", "https://video.twimg.com/ext_tw_video/992106465119780864/pu/vid/1280x720/f__51xilfkS49s3x.mp4?tag=3")</f>
        <v/>
      </c>
      <c r="G927" t="s"/>
      <c r="H927" t="s"/>
      <c r="I927" t="s"/>
      <c r="J927" t="n">
        <v>0</v>
      </c>
      <c r="K927" t="n">
        <v>0</v>
      </c>
      <c r="L927" t="n">
        <v>1</v>
      </c>
      <c r="M927" t="n">
        <v>0</v>
      </c>
    </row>
    <row r="928" spans="1:13">
      <c r="A928" s="1">
        <f>HYPERLINK("http://www.twitter.com/NathanBLawrence/status/991883779080904706", "991883779080904706")</f>
        <v/>
      </c>
      <c r="B928" s="2" t="n">
        <v>43223.14924768519</v>
      </c>
      <c r="C928" t="n">
        <v>0</v>
      </c>
      <c r="D928" t="n">
        <v>45</v>
      </c>
      <c r="E928" t="s">
        <v>939</v>
      </c>
      <c r="F928">
        <f>HYPERLINK("https://video.twimg.com/amplify_video/991882846569512960/vid/1280x720/tCHAcd5MMak9FbB4.mp4?tag=2", "https://video.twimg.com/amplify_video/991882846569512960/vid/1280x720/tCHAcd5MMak9FbB4.mp4?tag=2")</f>
        <v/>
      </c>
      <c r="G928" t="s"/>
      <c r="H928" t="s"/>
      <c r="I928" t="s"/>
      <c r="J928" t="n">
        <v>-0.5266999999999999</v>
      </c>
      <c r="K928" t="n">
        <v>0.185</v>
      </c>
      <c r="L928" t="n">
        <v>0.8149999999999999</v>
      </c>
      <c r="M928" t="n">
        <v>0</v>
      </c>
    </row>
    <row r="929" spans="1:13">
      <c r="A929" s="1">
        <f>HYPERLINK("http://www.twitter.com/NathanBLawrence/status/991883584263745537", "991883584263745537")</f>
        <v/>
      </c>
      <c r="B929" s="2" t="n">
        <v>43223.14871527778</v>
      </c>
      <c r="C929" t="n">
        <v>0</v>
      </c>
      <c r="D929" t="n">
        <v>38</v>
      </c>
      <c r="E929" t="s">
        <v>940</v>
      </c>
      <c r="F929" t="s"/>
      <c r="G929" t="s"/>
      <c r="H929" t="s"/>
      <c r="I929" t="s"/>
      <c r="J929" t="n">
        <v>-0.4588</v>
      </c>
      <c r="K929" t="n">
        <v>0.115</v>
      </c>
      <c r="L929" t="n">
        <v>0.885</v>
      </c>
      <c r="M929" t="n">
        <v>0</v>
      </c>
    </row>
    <row r="930" spans="1:13">
      <c r="A930" s="1">
        <f>HYPERLINK("http://www.twitter.com/NathanBLawrence/status/991883280223006722", "991883280223006722")</f>
        <v/>
      </c>
      <c r="B930" s="2" t="n">
        <v>43223.14787037037</v>
      </c>
      <c r="C930" t="n">
        <v>0</v>
      </c>
      <c r="D930" t="n">
        <v>75</v>
      </c>
      <c r="E930" t="s">
        <v>941</v>
      </c>
      <c r="F930" t="s"/>
      <c r="G930" t="s"/>
      <c r="H930" t="s"/>
      <c r="I930" t="s"/>
      <c r="J930" t="n">
        <v>0</v>
      </c>
      <c r="K930" t="n">
        <v>0</v>
      </c>
      <c r="L930" t="n">
        <v>1</v>
      </c>
      <c r="M930" t="n">
        <v>0</v>
      </c>
    </row>
    <row r="931" spans="1:13">
      <c r="A931" s="1">
        <f>HYPERLINK("http://www.twitter.com/NathanBLawrence/status/991883183066091520", "991883183066091520")</f>
        <v/>
      </c>
      <c r="B931" s="2" t="n">
        <v>43223.14760416667</v>
      </c>
      <c r="C931" t="n">
        <v>0</v>
      </c>
      <c r="D931" t="n">
        <v>5463</v>
      </c>
      <c r="E931" t="s">
        <v>942</v>
      </c>
      <c r="F931" t="s"/>
      <c r="G931" t="s"/>
      <c r="H931" t="s"/>
      <c r="I931" t="s"/>
      <c r="J931" t="n">
        <v>0.4767</v>
      </c>
      <c r="K931" t="n">
        <v>0</v>
      </c>
      <c r="L931" t="n">
        <v>0.881</v>
      </c>
      <c r="M931" t="n">
        <v>0.119</v>
      </c>
    </row>
    <row r="932" spans="1:13">
      <c r="A932" s="1">
        <f>HYPERLINK("http://www.twitter.com/NathanBLawrence/status/991882721071788038", "991882721071788038")</f>
        <v/>
      </c>
      <c r="B932" s="2" t="n">
        <v>43223.14633101852</v>
      </c>
      <c r="C932" t="n">
        <v>0</v>
      </c>
      <c r="D932" t="n">
        <v>4414</v>
      </c>
      <c r="E932" t="s">
        <v>943</v>
      </c>
      <c r="F932" t="s"/>
      <c r="G932" t="s"/>
      <c r="H932" t="s"/>
      <c r="I932" t="s"/>
      <c r="J932" t="n">
        <v>0</v>
      </c>
      <c r="K932" t="n">
        <v>0</v>
      </c>
      <c r="L932" t="n">
        <v>1</v>
      </c>
      <c r="M932" t="n">
        <v>0</v>
      </c>
    </row>
    <row r="933" spans="1:13">
      <c r="A933" s="1">
        <f>HYPERLINK("http://www.twitter.com/NathanBLawrence/status/991882329139437568", "991882329139437568")</f>
        <v/>
      </c>
      <c r="B933" s="2" t="n">
        <v>43223.14525462963</v>
      </c>
      <c r="C933" t="n">
        <v>0</v>
      </c>
      <c r="D933" t="n">
        <v>473</v>
      </c>
      <c r="E933" t="s">
        <v>944</v>
      </c>
      <c r="F933">
        <f>HYPERLINK("http://pbs.twimg.com/media/DcNgSVZWAAAlNvN.jpg", "http://pbs.twimg.com/media/DcNgSVZWAAAlNvN.jpg")</f>
        <v/>
      </c>
      <c r="G933" t="s"/>
      <c r="H933" t="s"/>
      <c r="I933" t="s"/>
      <c r="J933" t="n">
        <v>0</v>
      </c>
      <c r="K933" t="n">
        <v>0</v>
      </c>
      <c r="L933" t="n">
        <v>1</v>
      </c>
      <c r="M933" t="n">
        <v>0</v>
      </c>
    </row>
    <row r="934" spans="1:13">
      <c r="A934" s="1">
        <f>HYPERLINK("http://www.twitter.com/NathanBLawrence/status/991866567427272705", "991866567427272705")</f>
        <v/>
      </c>
      <c r="B934" s="2" t="n">
        <v>43223.10175925926</v>
      </c>
      <c r="C934" t="n">
        <v>0</v>
      </c>
      <c r="D934" t="n">
        <v>30</v>
      </c>
      <c r="E934" t="s">
        <v>945</v>
      </c>
      <c r="F934" t="s"/>
      <c r="G934" t="s"/>
      <c r="H934" t="s"/>
      <c r="I934" t="s"/>
      <c r="J934" t="n">
        <v>0</v>
      </c>
      <c r="K934" t="n">
        <v>0</v>
      </c>
      <c r="L934" t="n">
        <v>1</v>
      </c>
      <c r="M934" t="n">
        <v>0</v>
      </c>
    </row>
    <row r="935" spans="1:13">
      <c r="A935" s="1">
        <f>HYPERLINK("http://www.twitter.com/NathanBLawrence/status/991865869289607169", "991865869289607169")</f>
        <v/>
      </c>
      <c r="B935" s="2" t="n">
        <v>43223.09982638889</v>
      </c>
      <c r="C935" t="n">
        <v>0</v>
      </c>
      <c r="D935" t="n">
        <v>1537</v>
      </c>
      <c r="E935" t="s">
        <v>946</v>
      </c>
      <c r="F935">
        <f>HYPERLINK("http://pbs.twimg.com/media/DcO4q9MW4AE9KJN.jpg", "http://pbs.twimg.com/media/DcO4q9MW4AE9KJN.jpg")</f>
        <v/>
      </c>
      <c r="G935">
        <f>HYPERLINK("http://pbs.twimg.com/media/DcO4q9MXcAA4kHn.jpg", "http://pbs.twimg.com/media/DcO4q9MXcAA4kHn.jpg")</f>
        <v/>
      </c>
      <c r="H935">
        <f>HYPERLINK("http://pbs.twimg.com/media/DcO4q9PWAAEHizJ.jpg", "http://pbs.twimg.com/media/DcO4q9PWAAEHizJ.jpg")</f>
        <v/>
      </c>
      <c r="I935" t="s"/>
      <c r="J935" t="n">
        <v>0.8868</v>
      </c>
      <c r="K935" t="n">
        <v>0</v>
      </c>
      <c r="L935" t="n">
        <v>0.647</v>
      </c>
      <c r="M935" t="n">
        <v>0.353</v>
      </c>
    </row>
    <row r="936" spans="1:13">
      <c r="A936" s="1">
        <f>HYPERLINK("http://www.twitter.com/NathanBLawrence/status/991864771136901120", "991864771136901120")</f>
        <v/>
      </c>
      <c r="B936" s="2" t="n">
        <v>43223.09680555556</v>
      </c>
      <c r="C936" t="n">
        <v>0</v>
      </c>
      <c r="D936" t="n">
        <v>109</v>
      </c>
      <c r="E936" t="s">
        <v>947</v>
      </c>
      <c r="F936">
        <f>HYPERLINK("http://pbs.twimg.com/media/DcPOq8wWsAAZsaQ.jpg", "http://pbs.twimg.com/media/DcPOq8wWsAAZsaQ.jpg")</f>
        <v/>
      </c>
      <c r="G936" t="s"/>
      <c r="H936" t="s"/>
      <c r="I936" t="s"/>
      <c r="J936" t="n">
        <v>0</v>
      </c>
      <c r="K936" t="n">
        <v>0</v>
      </c>
      <c r="L936" t="n">
        <v>1</v>
      </c>
      <c r="M936" t="n">
        <v>0</v>
      </c>
    </row>
    <row r="937" spans="1:13">
      <c r="A937" s="1">
        <f>HYPERLINK("http://www.twitter.com/NathanBLawrence/status/991864682427437057", "991864682427437057")</f>
        <v/>
      </c>
      <c r="B937" s="2" t="n">
        <v>43223.09655092593</v>
      </c>
      <c r="C937" t="n">
        <v>0</v>
      </c>
      <c r="D937" t="n">
        <v>9</v>
      </c>
      <c r="E937" t="s">
        <v>948</v>
      </c>
      <c r="F937" t="s"/>
      <c r="G937" t="s"/>
      <c r="H937" t="s"/>
      <c r="I937" t="s"/>
      <c r="J937" t="n">
        <v>0.5423</v>
      </c>
      <c r="K937" t="n">
        <v>0</v>
      </c>
      <c r="L937" t="n">
        <v>0.743</v>
      </c>
      <c r="M937" t="n">
        <v>0.257</v>
      </c>
    </row>
    <row r="938" spans="1:13">
      <c r="A938" s="1">
        <f>HYPERLINK("http://www.twitter.com/NathanBLawrence/status/991864167173902336", "991864167173902336")</f>
        <v/>
      </c>
      <c r="B938" s="2" t="n">
        <v>43223.09513888889</v>
      </c>
      <c r="C938" t="n">
        <v>0</v>
      </c>
      <c r="D938" t="n">
        <v>5522</v>
      </c>
      <c r="E938" t="s">
        <v>949</v>
      </c>
      <c r="F938" t="s"/>
      <c r="G938" t="s"/>
      <c r="H938" t="s"/>
      <c r="I938" t="s"/>
      <c r="J938" t="n">
        <v>0.5994</v>
      </c>
      <c r="K938" t="n">
        <v>0</v>
      </c>
      <c r="L938" t="n">
        <v>0.795</v>
      </c>
      <c r="M938" t="n">
        <v>0.205</v>
      </c>
    </row>
    <row r="939" spans="1:13">
      <c r="A939" s="1">
        <f>HYPERLINK("http://www.twitter.com/NathanBLawrence/status/991863486656450560", "991863486656450560")</f>
        <v/>
      </c>
      <c r="B939" s="2" t="n">
        <v>43223.09325231481</v>
      </c>
      <c r="C939" t="n">
        <v>0</v>
      </c>
      <c r="D939" t="n">
        <v>40</v>
      </c>
      <c r="E939" t="s">
        <v>950</v>
      </c>
      <c r="F939">
        <f>HYPERLINK("http://pbs.twimg.com/media/DcPM1vDWsAgzocP.jpg", "http://pbs.twimg.com/media/DcPM1vDWsAgzocP.jpg")</f>
        <v/>
      </c>
      <c r="G939" t="s"/>
      <c r="H939" t="s"/>
      <c r="I939" t="s"/>
      <c r="J939" t="n">
        <v>0</v>
      </c>
      <c r="K939" t="n">
        <v>0</v>
      </c>
      <c r="L939" t="n">
        <v>1</v>
      </c>
      <c r="M939" t="n">
        <v>0</v>
      </c>
    </row>
    <row r="940" spans="1:13">
      <c r="A940" s="1">
        <f>HYPERLINK("http://www.twitter.com/NathanBLawrence/status/991863077627940864", "991863077627940864")</f>
        <v/>
      </c>
      <c r="B940" s="2" t="n">
        <v>43223.09212962963</v>
      </c>
      <c r="C940" t="n">
        <v>0</v>
      </c>
      <c r="D940" t="n">
        <v>37</v>
      </c>
      <c r="E940" t="s">
        <v>951</v>
      </c>
      <c r="F940">
        <f>HYPERLINK("http://pbs.twimg.com/media/DcPNlq1UwAAWBFs.jpg", "http://pbs.twimg.com/media/DcPNlq1UwAAWBFs.jpg")</f>
        <v/>
      </c>
      <c r="G940" t="s"/>
      <c r="H940" t="s"/>
      <c r="I940" t="s"/>
      <c r="J940" t="n">
        <v>0</v>
      </c>
      <c r="K940" t="n">
        <v>0</v>
      </c>
      <c r="L940" t="n">
        <v>1</v>
      </c>
      <c r="M940" t="n">
        <v>0</v>
      </c>
    </row>
    <row r="941" spans="1:13">
      <c r="A941" s="1">
        <f>HYPERLINK("http://www.twitter.com/NathanBLawrence/status/991861878895923200", "991861878895923200")</f>
        <v/>
      </c>
      <c r="B941" s="2" t="n">
        <v>43223.08881944444</v>
      </c>
      <c r="C941" t="n">
        <v>0</v>
      </c>
      <c r="D941" t="n">
        <v>1228</v>
      </c>
      <c r="E941" t="s">
        <v>952</v>
      </c>
      <c r="F941" t="s"/>
      <c r="G941" t="s"/>
      <c r="H941" t="s"/>
      <c r="I941" t="s"/>
      <c r="J941" t="n">
        <v>0.4588</v>
      </c>
      <c r="K941" t="n">
        <v>0.054</v>
      </c>
      <c r="L941" t="n">
        <v>0.775</v>
      </c>
      <c r="M941" t="n">
        <v>0.171</v>
      </c>
    </row>
    <row r="942" spans="1:13">
      <c r="A942" s="1">
        <f>HYPERLINK("http://www.twitter.com/NathanBLawrence/status/991861840413122561", "991861840413122561")</f>
        <v/>
      </c>
      <c r="B942" s="2" t="n">
        <v>43223.08871527778</v>
      </c>
      <c r="C942" t="n">
        <v>0</v>
      </c>
      <c r="D942" t="n">
        <v>303</v>
      </c>
      <c r="E942" t="s">
        <v>953</v>
      </c>
      <c r="F942" t="s"/>
      <c r="G942" t="s"/>
      <c r="H942" t="s"/>
      <c r="I942" t="s"/>
      <c r="J942" t="n">
        <v>0</v>
      </c>
      <c r="K942" t="n">
        <v>0</v>
      </c>
      <c r="L942" t="n">
        <v>1</v>
      </c>
      <c r="M942" t="n">
        <v>0</v>
      </c>
    </row>
    <row r="943" spans="1:13">
      <c r="A943" s="1">
        <f>HYPERLINK("http://www.twitter.com/NathanBLawrence/status/991845049053794305", "991845049053794305")</f>
        <v/>
      </c>
      <c r="B943" s="2" t="n">
        <v>43223.04237268519</v>
      </c>
      <c r="C943" t="n">
        <v>0</v>
      </c>
      <c r="D943" t="n">
        <v>237</v>
      </c>
      <c r="E943" t="s">
        <v>954</v>
      </c>
      <c r="F943" t="s"/>
      <c r="G943" t="s"/>
      <c r="H943" t="s"/>
      <c r="I943" t="s"/>
      <c r="J943" t="n">
        <v>0</v>
      </c>
      <c r="K943" t="n">
        <v>0</v>
      </c>
      <c r="L943" t="n">
        <v>1</v>
      </c>
      <c r="M943" t="n">
        <v>0</v>
      </c>
    </row>
    <row r="944" spans="1:13">
      <c r="A944" s="1">
        <f>HYPERLINK("http://www.twitter.com/NathanBLawrence/status/991844838910844929", "991844838910844929")</f>
        <v/>
      </c>
      <c r="B944" s="2" t="n">
        <v>43223.04179398148</v>
      </c>
      <c r="C944" t="n">
        <v>0</v>
      </c>
      <c r="D944" t="n">
        <v>760</v>
      </c>
      <c r="E944" t="s">
        <v>955</v>
      </c>
      <c r="F944" t="s"/>
      <c r="G944" t="s"/>
      <c r="H944" t="s"/>
      <c r="I944" t="s"/>
      <c r="J944" t="n">
        <v>0</v>
      </c>
      <c r="K944" t="n">
        <v>0</v>
      </c>
      <c r="L944" t="n">
        <v>1</v>
      </c>
      <c r="M944" t="n">
        <v>0</v>
      </c>
    </row>
    <row r="945" spans="1:13">
      <c r="A945" s="1">
        <f>HYPERLINK("http://www.twitter.com/NathanBLawrence/status/991844706043641856", "991844706043641856")</f>
        <v/>
      </c>
      <c r="B945" s="2" t="n">
        <v>43223.04143518519</v>
      </c>
      <c r="C945" t="n">
        <v>0</v>
      </c>
      <c r="D945" t="n">
        <v>2418</v>
      </c>
      <c r="E945" t="s">
        <v>956</v>
      </c>
      <c r="F945" t="s"/>
      <c r="G945" t="s"/>
      <c r="H945" t="s"/>
      <c r="I945" t="s"/>
      <c r="J945" t="n">
        <v>-0.5106000000000001</v>
      </c>
      <c r="K945" t="n">
        <v>0.245</v>
      </c>
      <c r="L945" t="n">
        <v>0.632</v>
      </c>
      <c r="M945" t="n">
        <v>0.123</v>
      </c>
    </row>
    <row r="946" spans="1:13">
      <c r="A946" s="1">
        <f>HYPERLINK("http://www.twitter.com/NathanBLawrence/status/991844572245377024", "991844572245377024")</f>
        <v/>
      </c>
      <c r="B946" s="2" t="n">
        <v>43223.04106481482</v>
      </c>
      <c r="C946" t="n">
        <v>0</v>
      </c>
      <c r="D946" t="n">
        <v>1956</v>
      </c>
      <c r="E946" t="s">
        <v>957</v>
      </c>
      <c r="F946">
        <f>HYPERLINK("http://pbs.twimg.com/media/DcOkQMQXkAEQ21S.jpg", "http://pbs.twimg.com/media/DcOkQMQXkAEQ21S.jpg")</f>
        <v/>
      </c>
      <c r="G946" t="s"/>
      <c r="H946" t="s"/>
      <c r="I946" t="s"/>
      <c r="J946" t="n">
        <v>0.743</v>
      </c>
      <c r="K946" t="n">
        <v>0</v>
      </c>
      <c r="L946" t="n">
        <v>0.777</v>
      </c>
      <c r="M946" t="n">
        <v>0.223</v>
      </c>
    </row>
    <row r="947" spans="1:13">
      <c r="A947" s="1">
        <f>HYPERLINK("http://www.twitter.com/NathanBLawrence/status/991844525961179137", "991844525961179137")</f>
        <v/>
      </c>
      <c r="B947" s="2" t="n">
        <v>43223.0409375</v>
      </c>
      <c r="C947" t="n">
        <v>0</v>
      </c>
      <c r="D947" t="n">
        <v>23135</v>
      </c>
      <c r="E947" t="s">
        <v>958</v>
      </c>
      <c r="F947" t="s"/>
      <c r="G947" t="s"/>
      <c r="H947" t="s"/>
      <c r="I947" t="s"/>
      <c r="J947" t="n">
        <v>0</v>
      </c>
      <c r="K947" t="n">
        <v>0</v>
      </c>
      <c r="L947" t="n">
        <v>1</v>
      </c>
      <c r="M947" t="n">
        <v>0</v>
      </c>
    </row>
    <row r="948" spans="1:13">
      <c r="A948" s="1">
        <f>HYPERLINK("http://www.twitter.com/NathanBLawrence/status/991780813443387392", "991780813443387392")</f>
        <v/>
      </c>
      <c r="B948" s="2" t="n">
        <v>43222.86511574074</v>
      </c>
      <c r="C948" t="n">
        <v>0</v>
      </c>
      <c r="D948" t="n">
        <v>310</v>
      </c>
      <c r="E948" t="s">
        <v>959</v>
      </c>
      <c r="F948">
        <f>HYPERLINK("http://pbs.twimg.com/media/DcJFIEYV0AEOcFf.jpg", "http://pbs.twimg.com/media/DcJFIEYV0AEOcFf.jpg")</f>
        <v/>
      </c>
      <c r="G948" t="s"/>
      <c r="H948" t="s"/>
      <c r="I948" t="s"/>
      <c r="J948" t="n">
        <v>0</v>
      </c>
      <c r="K948" t="n">
        <v>0</v>
      </c>
      <c r="L948" t="n">
        <v>1</v>
      </c>
      <c r="M948" t="n">
        <v>0</v>
      </c>
    </row>
    <row r="949" spans="1:13">
      <c r="A949" s="1">
        <f>HYPERLINK("http://www.twitter.com/NathanBLawrence/status/991780351218417664", "991780351218417664")</f>
        <v/>
      </c>
      <c r="B949" s="2" t="n">
        <v>43222.86384259259</v>
      </c>
      <c r="C949" t="n">
        <v>0</v>
      </c>
      <c r="D949" t="n">
        <v>893</v>
      </c>
      <c r="E949" t="s">
        <v>960</v>
      </c>
      <c r="F949">
        <f>HYPERLINK("http://pbs.twimg.com/media/DcJyHBYW4AEPeuV.jpg", "http://pbs.twimg.com/media/DcJyHBYW4AEPeuV.jpg")</f>
        <v/>
      </c>
      <c r="G949" t="s"/>
      <c r="H949" t="s"/>
      <c r="I949" t="s"/>
      <c r="J949" t="n">
        <v>0</v>
      </c>
      <c r="K949" t="n">
        <v>0</v>
      </c>
      <c r="L949" t="n">
        <v>1</v>
      </c>
      <c r="M949" t="n">
        <v>0</v>
      </c>
    </row>
    <row r="950" spans="1:13">
      <c r="A950" s="1">
        <f>HYPERLINK("http://www.twitter.com/NathanBLawrence/status/991780052936339462", "991780052936339462")</f>
        <v/>
      </c>
      <c r="B950" s="2" t="n">
        <v>43222.86302083333</v>
      </c>
      <c r="C950" t="n">
        <v>0</v>
      </c>
      <c r="D950" t="n">
        <v>278</v>
      </c>
      <c r="E950" t="s">
        <v>961</v>
      </c>
      <c r="F950">
        <f>HYPERLINK("http://pbs.twimg.com/media/DcOBvYVX4AQUiC5.jpg", "http://pbs.twimg.com/media/DcOBvYVX4AQUiC5.jpg")</f>
        <v/>
      </c>
      <c r="G950" t="s"/>
      <c r="H950" t="s"/>
      <c r="I950" t="s"/>
      <c r="J950" t="n">
        <v>0.4767</v>
      </c>
      <c r="K950" t="n">
        <v>0</v>
      </c>
      <c r="L950" t="n">
        <v>0.83</v>
      </c>
      <c r="M950" t="n">
        <v>0.17</v>
      </c>
    </row>
    <row r="951" spans="1:13">
      <c r="A951" s="1">
        <f>HYPERLINK("http://www.twitter.com/NathanBLawrence/status/991778622309634048", "991778622309634048")</f>
        <v/>
      </c>
      <c r="B951" s="2" t="n">
        <v>43222.85907407408</v>
      </c>
      <c r="C951" t="n">
        <v>0</v>
      </c>
      <c r="D951" t="n">
        <v>59</v>
      </c>
      <c r="E951" t="s">
        <v>962</v>
      </c>
      <c r="F951" t="s"/>
      <c r="G951" t="s"/>
      <c r="H951" t="s"/>
      <c r="I951" t="s"/>
      <c r="J951" t="n">
        <v>0.7003</v>
      </c>
      <c r="K951" t="n">
        <v>0</v>
      </c>
      <c r="L951" t="n">
        <v>0.726</v>
      </c>
      <c r="M951" t="n">
        <v>0.274</v>
      </c>
    </row>
    <row r="952" spans="1:13">
      <c r="A952" s="1">
        <f>HYPERLINK("http://www.twitter.com/NathanBLawrence/status/991777723751247872", "991777723751247872")</f>
        <v/>
      </c>
      <c r="B952" s="2" t="n">
        <v>43222.85659722222</v>
      </c>
      <c r="C952" t="n">
        <v>0</v>
      </c>
      <c r="D952" t="n">
        <v>1</v>
      </c>
      <c r="E952" t="s">
        <v>963</v>
      </c>
      <c r="F952">
        <f>HYPERLINK("http://pbs.twimg.com/media/DcNVWMaV0AAX9MB.jpg", "http://pbs.twimg.com/media/DcNVWMaV0AAX9MB.jpg")</f>
        <v/>
      </c>
      <c r="G952" t="s"/>
      <c r="H952" t="s"/>
      <c r="I952" t="s"/>
      <c r="J952" t="n">
        <v>0</v>
      </c>
      <c r="K952" t="n">
        <v>0</v>
      </c>
      <c r="L952" t="n">
        <v>1</v>
      </c>
      <c r="M952" t="n">
        <v>0</v>
      </c>
    </row>
    <row r="953" spans="1:13">
      <c r="A953" s="1">
        <f>HYPERLINK("http://www.twitter.com/NathanBLawrence/status/991777315360333824", "991777315360333824")</f>
        <v/>
      </c>
      <c r="B953" s="2" t="n">
        <v>43222.85546296297</v>
      </c>
      <c r="C953" t="n">
        <v>0</v>
      </c>
      <c r="D953" t="n">
        <v>359</v>
      </c>
      <c r="E953" t="s">
        <v>964</v>
      </c>
      <c r="F953" t="s"/>
      <c r="G953" t="s"/>
      <c r="H953" t="s"/>
      <c r="I953" t="s"/>
      <c r="J953" t="n">
        <v>-0.6249</v>
      </c>
      <c r="K953" t="n">
        <v>0.194</v>
      </c>
      <c r="L953" t="n">
        <v>0.806</v>
      </c>
      <c r="M953" t="n">
        <v>0</v>
      </c>
    </row>
    <row r="954" spans="1:13">
      <c r="A954" s="1">
        <f>HYPERLINK("http://www.twitter.com/NathanBLawrence/status/991775762888962049", "991775762888962049")</f>
        <v/>
      </c>
      <c r="B954" s="2" t="n">
        <v>43222.85118055555</v>
      </c>
      <c r="C954" t="n">
        <v>0</v>
      </c>
      <c r="D954" t="n">
        <v>641</v>
      </c>
      <c r="E954" t="s">
        <v>965</v>
      </c>
      <c r="F954" t="s"/>
      <c r="G954" t="s"/>
      <c r="H954" t="s"/>
      <c r="I954" t="s"/>
      <c r="J954" t="n">
        <v>0.4416</v>
      </c>
      <c r="K954" t="n">
        <v>0.112</v>
      </c>
      <c r="L954" t="n">
        <v>0.678</v>
      </c>
      <c r="M954" t="n">
        <v>0.21</v>
      </c>
    </row>
    <row r="955" spans="1:13">
      <c r="A955" s="1">
        <f>HYPERLINK("http://www.twitter.com/NathanBLawrence/status/991775718462894081", "991775718462894081")</f>
        <v/>
      </c>
      <c r="B955" s="2" t="n">
        <v>43222.85106481481</v>
      </c>
      <c r="C955" t="n">
        <v>0</v>
      </c>
      <c r="D955" t="n">
        <v>13683</v>
      </c>
      <c r="E955" t="s">
        <v>966</v>
      </c>
      <c r="F955">
        <f>HYPERLINK("https://video.twimg.com/ext_tw_video/991743152896737280/pu/vid/1280x720/WDVGrByUG1iOJc7o.mp4?tag=3", "https://video.twimg.com/ext_tw_video/991743152896737280/pu/vid/1280x720/WDVGrByUG1iOJc7o.mp4?tag=3")</f>
        <v/>
      </c>
      <c r="G955" t="s"/>
      <c r="H955" t="s"/>
      <c r="I955" t="s"/>
      <c r="J955" t="n">
        <v>0.636</v>
      </c>
      <c r="K955" t="n">
        <v>0</v>
      </c>
      <c r="L955" t="n">
        <v>0.488</v>
      </c>
      <c r="M955" t="n">
        <v>0.512</v>
      </c>
    </row>
    <row r="956" spans="1:13">
      <c r="A956" s="1">
        <f>HYPERLINK("http://www.twitter.com/NathanBLawrence/status/991731946937110533", "991731946937110533")</f>
        <v/>
      </c>
      <c r="B956" s="2" t="n">
        <v>43222.73027777778</v>
      </c>
      <c r="C956" t="n">
        <v>0</v>
      </c>
      <c r="D956" t="n">
        <v>12</v>
      </c>
      <c r="E956" t="s">
        <v>967</v>
      </c>
      <c r="F956">
        <f>HYPERLINK("http://pbs.twimg.com/media/DcMsBUzX4AAXvAj.jpg", "http://pbs.twimg.com/media/DcMsBUzX4AAXvAj.jpg")</f>
        <v/>
      </c>
      <c r="G956" t="s"/>
      <c r="H956" t="s"/>
      <c r="I956" t="s"/>
      <c r="J956" t="n">
        <v>0</v>
      </c>
      <c r="K956" t="n">
        <v>0</v>
      </c>
      <c r="L956" t="n">
        <v>1</v>
      </c>
      <c r="M956" t="n">
        <v>0</v>
      </c>
    </row>
    <row r="957" spans="1:13">
      <c r="A957" s="1">
        <f>HYPERLINK("http://www.twitter.com/NathanBLawrence/status/991731659883106305", "991731659883106305")</f>
        <v/>
      </c>
      <c r="B957" s="2" t="n">
        <v>43222.72947916666</v>
      </c>
      <c r="C957" t="n">
        <v>0</v>
      </c>
      <c r="D957" t="n">
        <v>410</v>
      </c>
      <c r="E957" t="s">
        <v>968</v>
      </c>
      <c r="F957" t="s"/>
      <c r="G957" t="s"/>
      <c r="H957" t="s"/>
      <c r="I957" t="s"/>
      <c r="J957" t="n">
        <v>0.636</v>
      </c>
      <c r="K957" t="n">
        <v>0</v>
      </c>
      <c r="L957" t="n">
        <v>0.488</v>
      </c>
      <c r="M957" t="n">
        <v>0.512</v>
      </c>
    </row>
    <row r="958" spans="1:13">
      <c r="A958" s="1">
        <f>HYPERLINK("http://www.twitter.com/NathanBLawrence/status/991731517775851521", "991731517775851521")</f>
        <v/>
      </c>
      <c r="B958" s="2" t="n">
        <v>43222.72908564815</v>
      </c>
      <c r="C958" t="n">
        <v>0</v>
      </c>
      <c r="D958" t="n">
        <v>111</v>
      </c>
      <c r="E958" t="s">
        <v>969</v>
      </c>
      <c r="F958">
        <f>HYPERLINK("http://pbs.twimg.com/media/DcMFtDUW4AIOzxj.jpg", "http://pbs.twimg.com/media/DcMFtDUW4AIOzxj.jpg")</f>
        <v/>
      </c>
      <c r="G958" t="s"/>
      <c r="H958" t="s"/>
      <c r="I958" t="s"/>
      <c r="J958" t="n">
        <v>-0.4939</v>
      </c>
      <c r="K958" t="n">
        <v>0.141</v>
      </c>
      <c r="L958" t="n">
        <v>0.806</v>
      </c>
      <c r="M958" t="n">
        <v>0.052</v>
      </c>
    </row>
    <row r="959" spans="1:13">
      <c r="A959" s="1">
        <f>HYPERLINK("http://www.twitter.com/NathanBLawrence/status/991729191228968960", "991729191228968960")</f>
        <v/>
      </c>
      <c r="B959" s="2" t="n">
        <v>43222.72267361111</v>
      </c>
      <c r="C959" t="n">
        <v>0</v>
      </c>
      <c r="D959" t="n">
        <v>88</v>
      </c>
      <c r="E959" t="s">
        <v>970</v>
      </c>
      <c r="F959">
        <f>HYPERLINK("http://pbs.twimg.com/media/DcM82_pUQAAVuIb.jpg", "http://pbs.twimg.com/media/DcM82_pUQAAVuIb.jpg")</f>
        <v/>
      </c>
      <c r="G959" t="s"/>
      <c r="H959" t="s"/>
      <c r="I959" t="s"/>
      <c r="J959" t="n">
        <v>0.4926</v>
      </c>
      <c r="K959" t="n">
        <v>0.09</v>
      </c>
      <c r="L959" t="n">
        <v>0.721</v>
      </c>
      <c r="M959" t="n">
        <v>0.189</v>
      </c>
    </row>
    <row r="960" spans="1:13">
      <c r="A960" s="1">
        <f>HYPERLINK("http://www.twitter.com/NathanBLawrence/status/991729108387233792", "991729108387233792")</f>
        <v/>
      </c>
      <c r="B960" s="2" t="n">
        <v>43222.72244212963</v>
      </c>
      <c r="C960" t="n">
        <v>0</v>
      </c>
      <c r="D960" t="n">
        <v>3352</v>
      </c>
      <c r="E960" t="s">
        <v>971</v>
      </c>
      <c r="F960" t="s"/>
      <c r="G960" t="s"/>
      <c r="H960" t="s"/>
      <c r="I960" t="s"/>
      <c r="J960" t="n">
        <v>0</v>
      </c>
      <c r="K960" t="n">
        <v>0</v>
      </c>
      <c r="L960" t="n">
        <v>1</v>
      </c>
      <c r="M960" t="n">
        <v>0</v>
      </c>
    </row>
    <row r="961" spans="1:13">
      <c r="A961" s="1">
        <f>HYPERLINK("http://www.twitter.com/NathanBLawrence/status/991729070164664321", "991729070164664321")</f>
        <v/>
      </c>
      <c r="B961" s="2" t="n">
        <v>43222.72233796296</v>
      </c>
      <c r="C961" t="n">
        <v>0</v>
      </c>
      <c r="D961" t="n">
        <v>1159</v>
      </c>
      <c r="E961" t="s">
        <v>972</v>
      </c>
      <c r="F961">
        <f>HYPERLINK("http://pbs.twimg.com/media/DcM-GEMVQAArsQq.jpg", "http://pbs.twimg.com/media/DcM-GEMVQAArsQq.jpg")</f>
        <v/>
      </c>
      <c r="G961" t="s"/>
      <c r="H961" t="s"/>
      <c r="I961" t="s"/>
      <c r="J961" t="n">
        <v>0</v>
      </c>
      <c r="K961" t="n">
        <v>0</v>
      </c>
      <c r="L961" t="n">
        <v>1</v>
      </c>
      <c r="M961" t="n">
        <v>0</v>
      </c>
    </row>
    <row r="962" spans="1:13">
      <c r="A962" s="1">
        <f>HYPERLINK("http://www.twitter.com/NathanBLawrence/status/991728943005913089", "991728943005913089")</f>
        <v/>
      </c>
      <c r="B962" s="2" t="n">
        <v>43222.72199074074</v>
      </c>
      <c r="C962" t="n">
        <v>0</v>
      </c>
      <c r="D962" t="n">
        <v>1788</v>
      </c>
      <c r="E962" t="s">
        <v>973</v>
      </c>
      <c r="F962" t="s"/>
      <c r="G962" t="s"/>
      <c r="H962" t="s"/>
      <c r="I962" t="s"/>
      <c r="J962" t="n">
        <v>0</v>
      </c>
      <c r="K962" t="n">
        <v>0</v>
      </c>
      <c r="L962" t="n">
        <v>1</v>
      </c>
      <c r="M962" t="n">
        <v>0</v>
      </c>
    </row>
    <row r="963" spans="1:13">
      <c r="A963" s="1">
        <f>HYPERLINK("http://www.twitter.com/NathanBLawrence/status/991728889624977409", "991728889624977409")</f>
        <v/>
      </c>
      <c r="B963" s="2" t="n">
        <v>43222.72184027778</v>
      </c>
      <c r="C963" t="n">
        <v>0</v>
      </c>
      <c r="D963" t="n">
        <v>3502</v>
      </c>
      <c r="E963" t="s">
        <v>974</v>
      </c>
      <c r="F963">
        <f>HYPERLINK("http://pbs.twimg.com/media/DcNS0nLW4AAYppR.jpg", "http://pbs.twimg.com/media/DcNS0nLW4AAYppR.jpg")</f>
        <v/>
      </c>
      <c r="G963">
        <f>HYPERLINK("http://pbs.twimg.com/media/DcNS1b8W4AAHJEq.jpg", "http://pbs.twimg.com/media/DcNS1b8W4AAHJEq.jpg")</f>
        <v/>
      </c>
      <c r="H963" t="s"/>
      <c r="I963" t="s"/>
      <c r="J963" t="n">
        <v>0</v>
      </c>
      <c r="K963" t="n">
        <v>0</v>
      </c>
      <c r="L963" t="n">
        <v>1</v>
      </c>
      <c r="M963" t="n">
        <v>0</v>
      </c>
    </row>
    <row r="964" spans="1:13">
      <c r="A964" s="1">
        <f>HYPERLINK("http://www.twitter.com/NathanBLawrence/status/991684837965746177", "991684837965746177")</f>
        <v/>
      </c>
      <c r="B964" s="2" t="n">
        <v>43222.60027777778</v>
      </c>
      <c r="C964" t="n">
        <v>0</v>
      </c>
      <c r="D964" t="n">
        <v>260</v>
      </c>
      <c r="E964" t="s">
        <v>975</v>
      </c>
      <c r="F964" t="s"/>
      <c r="G964" t="s"/>
      <c r="H964" t="s"/>
      <c r="I964" t="s"/>
      <c r="J964" t="n">
        <v>0.4293</v>
      </c>
      <c r="K964" t="n">
        <v>0.122</v>
      </c>
      <c r="L964" t="n">
        <v>0.661</v>
      </c>
      <c r="M964" t="n">
        <v>0.216</v>
      </c>
    </row>
    <row r="965" spans="1:13">
      <c r="A965" s="1">
        <f>HYPERLINK("http://www.twitter.com/NathanBLawrence/status/991681362280243202", "991681362280243202")</f>
        <v/>
      </c>
      <c r="B965" s="2" t="n">
        <v>43222.59068287037</v>
      </c>
      <c r="C965" t="n">
        <v>0</v>
      </c>
      <c r="D965" t="n">
        <v>336</v>
      </c>
      <c r="E965" t="s">
        <v>976</v>
      </c>
      <c r="F965">
        <f>HYPERLINK("http://pbs.twimg.com/media/DcMmnKyWkAAaX4g.jpg", "http://pbs.twimg.com/media/DcMmnKyWkAAaX4g.jpg")</f>
        <v/>
      </c>
      <c r="G965" t="s"/>
      <c r="H965" t="s"/>
      <c r="I965" t="s"/>
      <c r="J965" t="n">
        <v>0.4466</v>
      </c>
      <c r="K965" t="n">
        <v>0</v>
      </c>
      <c r="L965" t="n">
        <v>0.866</v>
      </c>
      <c r="M965" t="n">
        <v>0.134</v>
      </c>
    </row>
    <row r="966" spans="1:13">
      <c r="A966" s="1">
        <f>HYPERLINK("http://www.twitter.com/NathanBLawrence/status/991680654537523200", "991680654537523200")</f>
        <v/>
      </c>
      <c r="B966" s="2" t="n">
        <v>43222.58873842593</v>
      </c>
      <c r="C966" t="n">
        <v>0</v>
      </c>
      <c r="D966" t="n">
        <v>447</v>
      </c>
      <c r="E966" t="s">
        <v>977</v>
      </c>
      <c r="F966" t="s"/>
      <c r="G966" t="s"/>
      <c r="H966" t="s"/>
      <c r="I966" t="s"/>
      <c r="J966" t="n">
        <v>-0.296</v>
      </c>
      <c r="K966" t="n">
        <v>0.128</v>
      </c>
      <c r="L966" t="n">
        <v>0.872</v>
      </c>
      <c r="M966" t="n">
        <v>0</v>
      </c>
    </row>
    <row r="967" spans="1:13">
      <c r="A967" s="1">
        <f>HYPERLINK("http://www.twitter.com/NathanBLawrence/status/991677496293822465", "991677496293822465")</f>
        <v/>
      </c>
      <c r="B967" s="2" t="n">
        <v>43222.58002314815</v>
      </c>
      <c r="C967" t="n">
        <v>0</v>
      </c>
      <c r="D967" t="n">
        <v>65</v>
      </c>
      <c r="E967" t="s">
        <v>978</v>
      </c>
      <c r="F967">
        <f>HYPERLINK("http://pbs.twimg.com/media/DcMjQLaU0AACuxx.jpg", "http://pbs.twimg.com/media/DcMjQLaU0AACuxx.jpg")</f>
        <v/>
      </c>
      <c r="G967" t="s"/>
      <c r="H967" t="s"/>
      <c r="I967" t="s"/>
      <c r="J967" t="n">
        <v>-0.2023</v>
      </c>
      <c r="K967" t="n">
        <v>0.08699999999999999</v>
      </c>
      <c r="L967" t="n">
        <v>0.913</v>
      </c>
      <c r="M967" t="n">
        <v>0</v>
      </c>
    </row>
    <row r="968" spans="1:13">
      <c r="A968" s="1">
        <f>HYPERLINK("http://www.twitter.com/NathanBLawrence/status/991676485059727360", "991676485059727360")</f>
        <v/>
      </c>
      <c r="B968" s="2" t="n">
        <v>43222.5772337963</v>
      </c>
      <c r="C968" t="n">
        <v>0</v>
      </c>
      <c r="D968" t="n">
        <v>548</v>
      </c>
      <c r="E968" t="s">
        <v>979</v>
      </c>
      <c r="F968" t="s"/>
      <c r="G968" t="s"/>
      <c r="H968" t="s"/>
      <c r="I968" t="s"/>
      <c r="J968" t="n">
        <v>0</v>
      </c>
      <c r="K968" t="n">
        <v>0</v>
      </c>
      <c r="L968" t="n">
        <v>1</v>
      </c>
      <c r="M968" t="n">
        <v>0</v>
      </c>
    </row>
    <row r="969" spans="1:13">
      <c r="A969" s="1">
        <f>HYPERLINK("http://www.twitter.com/NathanBLawrence/status/991659041913962496", "991659041913962496")</f>
        <v/>
      </c>
      <c r="B969" s="2" t="n">
        <v>43222.52909722222</v>
      </c>
      <c r="C969" t="n">
        <v>0</v>
      </c>
      <c r="D969" t="n">
        <v>2</v>
      </c>
      <c r="E969" t="s">
        <v>980</v>
      </c>
      <c r="F969" t="s"/>
      <c r="G969" t="s"/>
      <c r="H969" t="s"/>
      <c r="I969" t="s"/>
      <c r="J969" t="n">
        <v>-0.2732</v>
      </c>
      <c r="K969" t="n">
        <v>0.1</v>
      </c>
      <c r="L969" t="n">
        <v>0.9</v>
      </c>
      <c r="M969" t="n">
        <v>0</v>
      </c>
    </row>
    <row r="970" spans="1:13">
      <c r="A970" s="1">
        <f>HYPERLINK("http://www.twitter.com/NathanBLawrence/status/991658191477006336", "991658191477006336")</f>
        <v/>
      </c>
      <c r="B970" s="2" t="n">
        <v>43222.52674768519</v>
      </c>
      <c r="C970" t="n">
        <v>0</v>
      </c>
      <c r="D970" t="n">
        <v>4966</v>
      </c>
      <c r="E970" t="s">
        <v>981</v>
      </c>
      <c r="F970" t="s"/>
      <c r="G970" t="s"/>
      <c r="H970" t="s"/>
      <c r="I970" t="s"/>
      <c r="J970" t="n">
        <v>0.2235</v>
      </c>
      <c r="K970" t="n">
        <v>0</v>
      </c>
      <c r="L970" t="n">
        <v>0.918</v>
      </c>
      <c r="M970" t="n">
        <v>0.082</v>
      </c>
    </row>
    <row r="971" spans="1:13">
      <c r="A971" s="1">
        <f>HYPERLINK("http://www.twitter.com/NathanBLawrence/status/991657886320349186", "991657886320349186")</f>
        <v/>
      </c>
      <c r="B971" s="2" t="n">
        <v>43222.52590277778</v>
      </c>
      <c r="C971" t="n">
        <v>0</v>
      </c>
      <c r="D971" t="n">
        <v>26921</v>
      </c>
      <c r="E971" t="s">
        <v>982</v>
      </c>
      <c r="F971" t="s"/>
      <c r="G971" t="s"/>
      <c r="H971" t="s"/>
      <c r="I971" t="s"/>
      <c r="J971" t="n">
        <v>0</v>
      </c>
      <c r="K971" t="n">
        <v>0.148</v>
      </c>
      <c r="L971" t="n">
        <v>0.738</v>
      </c>
      <c r="M971" t="n">
        <v>0.114</v>
      </c>
    </row>
    <row r="972" spans="1:13">
      <c r="A972" s="1">
        <f>HYPERLINK("http://www.twitter.com/NathanBLawrence/status/991656979465633792", "991656979465633792")</f>
        <v/>
      </c>
      <c r="B972" s="2" t="n">
        <v>43222.52340277778</v>
      </c>
      <c r="C972" t="n">
        <v>0</v>
      </c>
      <c r="D972" t="n">
        <v>30</v>
      </c>
      <c r="E972" t="s">
        <v>983</v>
      </c>
      <c r="F972" t="s"/>
      <c r="G972" t="s"/>
      <c r="H972" t="s"/>
      <c r="I972" t="s"/>
      <c r="J972" t="n">
        <v>-0.3612</v>
      </c>
      <c r="K972" t="n">
        <v>0.178</v>
      </c>
      <c r="L972" t="n">
        <v>0.711</v>
      </c>
      <c r="M972" t="n">
        <v>0.111</v>
      </c>
    </row>
    <row r="973" spans="1:13">
      <c r="A973" s="1">
        <f>HYPERLINK("http://www.twitter.com/NathanBLawrence/status/991538905580298240", "991538905580298240")</f>
        <v/>
      </c>
      <c r="B973" s="2" t="n">
        <v>43222.19758101852</v>
      </c>
      <c r="C973" t="n">
        <v>0</v>
      </c>
      <c r="D973" t="n">
        <v>9046</v>
      </c>
      <c r="E973" t="s">
        <v>984</v>
      </c>
      <c r="F973" t="s"/>
      <c r="G973" t="s"/>
      <c r="H973" t="s"/>
      <c r="I973" t="s"/>
      <c r="J973" t="n">
        <v>0</v>
      </c>
      <c r="K973" t="n">
        <v>0</v>
      </c>
      <c r="L973" t="n">
        <v>1</v>
      </c>
      <c r="M973" t="n">
        <v>0</v>
      </c>
    </row>
    <row r="974" spans="1:13">
      <c r="A974" s="1">
        <f>HYPERLINK("http://www.twitter.com/NathanBLawrence/status/991537633212985344", "991537633212985344")</f>
        <v/>
      </c>
      <c r="B974" s="2" t="n">
        <v>43222.19407407408</v>
      </c>
      <c r="C974" t="n">
        <v>0</v>
      </c>
      <c r="D974" t="n">
        <v>591</v>
      </c>
      <c r="E974" t="s">
        <v>985</v>
      </c>
      <c r="F974">
        <f>HYPERLINK("https://video.twimg.com/ext_tw_video/991289514286047232/pu/vid/1280x720/v-F_ahJjidpeGcYu.mp4?tag=3", "https://video.twimg.com/ext_tw_video/991289514286047232/pu/vid/1280x720/v-F_ahJjidpeGcYu.mp4?tag=3")</f>
        <v/>
      </c>
      <c r="G974" t="s"/>
      <c r="H974" t="s"/>
      <c r="I974" t="s"/>
      <c r="J974" t="n">
        <v>0.8957000000000001</v>
      </c>
      <c r="K974" t="n">
        <v>0</v>
      </c>
      <c r="L974" t="n">
        <v>0.5649999999999999</v>
      </c>
      <c r="M974" t="n">
        <v>0.435</v>
      </c>
    </row>
    <row r="975" spans="1:13">
      <c r="A975" s="1">
        <f>HYPERLINK("http://www.twitter.com/NathanBLawrence/status/991536676924248064", "991536676924248064")</f>
        <v/>
      </c>
      <c r="B975" s="2" t="n">
        <v>43222.19143518519</v>
      </c>
      <c r="C975" t="n">
        <v>0</v>
      </c>
      <c r="D975" t="n">
        <v>1405</v>
      </c>
      <c r="E975" t="s">
        <v>986</v>
      </c>
      <c r="F975">
        <f>HYPERLINK("https://video.twimg.com/amplify_video/991526672360005634/vid/1280x720/tMe-ANX7pAMkUVCy.mp4?tag=2", "https://video.twimg.com/amplify_video/991526672360005634/vid/1280x720/tMe-ANX7pAMkUVCy.mp4?tag=2")</f>
        <v/>
      </c>
      <c r="G975" t="s"/>
      <c r="H975" t="s"/>
      <c r="I975" t="s"/>
      <c r="J975" t="n">
        <v>0.6996</v>
      </c>
      <c r="K975" t="n">
        <v>0.078</v>
      </c>
      <c r="L975" t="n">
        <v>0.63</v>
      </c>
      <c r="M975" t="n">
        <v>0.292</v>
      </c>
    </row>
    <row r="976" spans="1:13">
      <c r="A976" s="1">
        <f>HYPERLINK("http://www.twitter.com/NathanBLawrence/status/991528479471652864", "991528479471652864")</f>
        <v/>
      </c>
      <c r="B976" s="2" t="n">
        <v>43222.16880787037</v>
      </c>
      <c r="C976" t="n">
        <v>0</v>
      </c>
      <c r="D976" t="n">
        <v>1128</v>
      </c>
      <c r="E976" t="s">
        <v>987</v>
      </c>
      <c r="F976" t="s"/>
      <c r="G976" t="s"/>
      <c r="H976" t="s"/>
      <c r="I976" t="s"/>
      <c r="J976" t="n">
        <v>0</v>
      </c>
      <c r="K976" t="n">
        <v>0</v>
      </c>
      <c r="L976" t="n">
        <v>1</v>
      </c>
      <c r="M976" t="n">
        <v>0</v>
      </c>
    </row>
    <row r="977" spans="1:13">
      <c r="A977" s="1">
        <f>HYPERLINK("http://www.twitter.com/NathanBLawrence/status/991528386945343488", "991528386945343488")</f>
        <v/>
      </c>
      <c r="B977" s="2" t="n">
        <v>43222.16855324074</v>
      </c>
      <c r="C977" t="n">
        <v>0</v>
      </c>
      <c r="D977" t="n">
        <v>7946</v>
      </c>
      <c r="E977" t="s">
        <v>988</v>
      </c>
      <c r="F977" t="s"/>
      <c r="G977" t="s"/>
      <c r="H977" t="s"/>
      <c r="I977" t="s"/>
      <c r="J977" t="n">
        <v>0.2263</v>
      </c>
      <c r="K977" t="n">
        <v>0</v>
      </c>
      <c r="L977" t="n">
        <v>0.927</v>
      </c>
      <c r="M977" t="n">
        <v>0.073</v>
      </c>
    </row>
    <row r="978" spans="1:13">
      <c r="A978" s="1">
        <f>HYPERLINK("http://www.twitter.com/NathanBLawrence/status/991528287133368321", "991528287133368321")</f>
        <v/>
      </c>
      <c r="B978" s="2" t="n">
        <v>43222.16828703704</v>
      </c>
      <c r="C978" t="n">
        <v>0</v>
      </c>
      <c r="D978" t="n">
        <v>55</v>
      </c>
      <c r="E978" t="s">
        <v>989</v>
      </c>
      <c r="F978">
        <f>HYPERLINK("http://pbs.twimg.com/media/DcKb-KzXUAEWL-Z.jpg", "http://pbs.twimg.com/media/DcKb-KzXUAEWL-Z.jpg")</f>
        <v/>
      </c>
      <c r="G978" t="s"/>
      <c r="H978" t="s"/>
      <c r="I978" t="s"/>
      <c r="J978" t="n">
        <v>0</v>
      </c>
      <c r="K978" t="n">
        <v>0</v>
      </c>
      <c r="L978" t="n">
        <v>1</v>
      </c>
      <c r="M978" t="n">
        <v>0</v>
      </c>
    </row>
    <row r="979" spans="1:13">
      <c r="A979" s="1">
        <f>HYPERLINK("http://www.twitter.com/NathanBLawrence/status/991526364749684737", "991526364749684737")</f>
        <v/>
      </c>
      <c r="B979" s="2" t="n">
        <v>43222.16297453704</v>
      </c>
      <c r="C979" t="n">
        <v>0</v>
      </c>
      <c r="D979" t="n">
        <v>2596</v>
      </c>
      <c r="E979" t="s">
        <v>990</v>
      </c>
      <c r="F979">
        <f>HYPERLINK("http://pbs.twimg.com/media/DcJxQ1BXkAA1CGp.jpg", "http://pbs.twimg.com/media/DcJxQ1BXkAA1CGp.jpg")</f>
        <v/>
      </c>
      <c r="G979" t="s"/>
      <c r="H979" t="s"/>
      <c r="I979" t="s"/>
      <c r="J979" t="n">
        <v>-0.3751</v>
      </c>
      <c r="K979" t="n">
        <v>0.244</v>
      </c>
      <c r="L979" t="n">
        <v>0.602</v>
      </c>
      <c r="M979" t="n">
        <v>0.153</v>
      </c>
    </row>
    <row r="980" spans="1:13">
      <c r="A980" s="1">
        <f>HYPERLINK("http://www.twitter.com/NathanBLawrence/status/991525628557086721", "991525628557086721")</f>
        <v/>
      </c>
      <c r="B980" s="2" t="n">
        <v>43222.16094907407</v>
      </c>
      <c r="C980" t="n">
        <v>0</v>
      </c>
      <c r="D980" t="n">
        <v>868</v>
      </c>
      <c r="E980" t="s">
        <v>991</v>
      </c>
      <c r="F980">
        <f>HYPERLINK("http://pbs.twimg.com/media/DcJ5CkyWsAAQSog.jpg", "http://pbs.twimg.com/media/DcJ5CkyWsAAQSog.jpg")</f>
        <v/>
      </c>
      <c r="G980" t="s"/>
      <c r="H980" t="s"/>
      <c r="I980" t="s"/>
      <c r="J980" t="n">
        <v>0.8718</v>
      </c>
      <c r="K980" t="n">
        <v>0</v>
      </c>
      <c r="L980" t="n">
        <v>0.632</v>
      </c>
      <c r="M980" t="n">
        <v>0.368</v>
      </c>
    </row>
    <row r="981" spans="1:13">
      <c r="A981" s="1">
        <f>HYPERLINK("http://www.twitter.com/NathanBLawrence/status/991474105131130881", "991474105131130881")</f>
        <v/>
      </c>
      <c r="B981" s="2" t="n">
        <v>43222.01877314815</v>
      </c>
      <c r="C981" t="n">
        <v>0</v>
      </c>
      <c r="D981" t="n">
        <v>497</v>
      </c>
      <c r="E981" t="s">
        <v>992</v>
      </c>
      <c r="F981" t="s"/>
      <c r="G981" t="s"/>
      <c r="H981" t="s"/>
      <c r="I981" t="s"/>
      <c r="J981" t="n">
        <v>0.6249</v>
      </c>
      <c r="K981" t="n">
        <v>0</v>
      </c>
      <c r="L981" t="n">
        <v>0.859</v>
      </c>
      <c r="M981" t="n">
        <v>0.141</v>
      </c>
    </row>
    <row r="982" spans="1:13">
      <c r="A982" s="1">
        <f>HYPERLINK("http://www.twitter.com/NathanBLawrence/status/991473626057670657", "991473626057670657")</f>
        <v/>
      </c>
      <c r="B982" s="2" t="n">
        <v>43222.01744212963</v>
      </c>
      <c r="C982" t="n">
        <v>0</v>
      </c>
      <c r="D982" t="n">
        <v>180</v>
      </c>
      <c r="E982" t="s">
        <v>993</v>
      </c>
      <c r="F982" t="s"/>
      <c r="G982" t="s"/>
      <c r="H982" t="s"/>
      <c r="I982" t="s"/>
      <c r="J982" t="n">
        <v>0.0772</v>
      </c>
      <c r="K982" t="n">
        <v>0</v>
      </c>
      <c r="L982" t="n">
        <v>0.902</v>
      </c>
      <c r="M982" t="n">
        <v>0.098</v>
      </c>
    </row>
    <row r="983" spans="1:13">
      <c r="A983" s="1">
        <f>HYPERLINK("http://www.twitter.com/NathanBLawrence/status/991473457836806150", "991473457836806150")</f>
        <v/>
      </c>
      <c r="B983" s="2" t="n">
        <v>43222.01697916666</v>
      </c>
      <c r="C983" t="n">
        <v>0</v>
      </c>
      <c r="D983" t="n">
        <v>258</v>
      </c>
      <c r="E983" t="s">
        <v>994</v>
      </c>
      <c r="F983" t="s"/>
      <c r="G983" t="s"/>
      <c r="H983" t="s"/>
      <c r="I983" t="s"/>
      <c r="J983" t="n">
        <v>0.5707</v>
      </c>
      <c r="K983" t="n">
        <v>0</v>
      </c>
      <c r="L983" t="n">
        <v>0.85</v>
      </c>
      <c r="M983" t="n">
        <v>0.15</v>
      </c>
    </row>
    <row r="984" spans="1:13">
      <c r="A984" s="1">
        <f>HYPERLINK("http://www.twitter.com/NathanBLawrence/status/991473386277752833", "991473386277752833")</f>
        <v/>
      </c>
      <c r="B984" s="2" t="n">
        <v>43222.01678240741</v>
      </c>
      <c r="C984" t="n">
        <v>0</v>
      </c>
      <c r="D984" t="n">
        <v>238</v>
      </c>
      <c r="E984" t="s">
        <v>995</v>
      </c>
      <c r="F984" t="s"/>
      <c r="G984" t="s"/>
      <c r="H984" t="s"/>
      <c r="I984" t="s"/>
      <c r="J984" t="n">
        <v>0.3182</v>
      </c>
      <c r="K984" t="n">
        <v>0</v>
      </c>
      <c r="L984" t="n">
        <v>0.887</v>
      </c>
      <c r="M984" t="n">
        <v>0.113</v>
      </c>
    </row>
    <row r="985" spans="1:13">
      <c r="A985" s="1">
        <f>HYPERLINK("http://www.twitter.com/NathanBLawrence/status/991473230014812166", "991473230014812166")</f>
        <v/>
      </c>
      <c r="B985" s="2" t="n">
        <v>43222.01635416667</v>
      </c>
      <c r="C985" t="n">
        <v>0</v>
      </c>
      <c r="D985" t="n">
        <v>165</v>
      </c>
      <c r="E985" t="s">
        <v>996</v>
      </c>
      <c r="F985" t="s"/>
      <c r="G985" t="s"/>
      <c r="H985" t="s"/>
      <c r="I985" t="s"/>
      <c r="J985" t="n">
        <v>0</v>
      </c>
      <c r="K985" t="n">
        <v>0</v>
      </c>
      <c r="L985" t="n">
        <v>1</v>
      </c>
      <c r="M985" t="n">
        <v>0</v>
      </c>
    </row>
    <row r="986" spans="1:13">
      <c r="A986" s="1">
        <f>HYPERLINK("http://www.twitter.com/NathanBLawrence/status/991472606967685120", "991472606967685120")</f>
        <v/>
      </c>
      <c r="B986" s="2" t="n">
        <v>43222.01462962963</v>
      </c>
      <c r="C986" t="n">
        <v>0</v>
      </c>
      <c r="D986" t="n">
        <v>117</v>
      </c>
      <c r="E986" t="s">
        <v>997</v>
      </c>
      <c r="F986" t="s"/>
      <c r="G986" t="s"/>
      <c r="H986" t="s"/>
      <c r="I986" t="s"/>
      <c r="J986" t="n">
        <v>0.6908</v>
      </c>
      <c r="K986" t="n">
        <v>0</v>
      </c>
      <c r="L986" t="n">
        <v>0.759</v>
      </c>
      <c r="M986" t="n">
        <v>0.241</v>
      </c>
    </row>
    <row r="987" spans="1:13">
      <c r="A987" s="1">
        <f>HYPERLINK("http://www.twitter.com/NathanBLawrence/status/991472492689620992", "991472492689620992")</f>
        <v/>
      </c>
      <c r="B987" s="2" t="n">
        <v>43222.01431712963</v>
      </c>
      <c r="C987" t="n">
        <v>0</v>
      </c>
      <c r="D987" t="n">
        <v>1053</v>
      </c>
      <c r="E987" t="s">
        <v>998</v>
      </c>
      <c r="F987" t="s"/>
      <c r="G987" t="s"/>
      <c r="H987" t="s"/>
      <c r="I987" t="s"/>
      <c r="J987" t="n">
        <v>-0.5972</v>
      </c>
      <c r="K987" t="n">
        <v>0.189</v>
      </c>
      <c r="L987" t="n">
        <v>0.8110000000000001</v>
      </c>
      <c r="M987" t="n">
        <v>0</v>
      </c>
    </row>
    <row r="988" spans="1:13">
      <c r="A988" s="1">
        <f>HYPERLINK("http://www.twitter.com/NathanBLawrence/status/991472367984668672", "991472367984668672")</f>
        <v/>
      </c>
      <c r="B988" s="2" t="n">
        <v>43222.01396990741</v>
      </c>
      <c r="C988" t="n">
        <v>0</v>
      </c>
      <c r="D988" t="n">
        <v>155</v>
      </c>
      <c r="E988" t="s">
        <v>999</v>
      </c>
      <c r="F988" t="s"/>
      <c r="G988" t="s"/>
      <c r="H988" t="s"/>
      <c r="I988" t="s"/>
      <c r="J988" t="n">
        <v>-0.5719</v>
      </c>
      <c r="K988" t="n">
        <v>0.266</v>
      </c>
      <c r="L988" t="n">
        <v>0.734</v>
      </c>
      <c r="M988" t="n">
        <v>0</v>
      </c>
    </row>
    <row r="989" spans="1:13">
      <c r="A989" s="1">
        <f>HYPERLINK("http://www.twitter.com/NathanBLawrence/status/991471864215109634", "991471864215109634")</f>
        <v/>
      </c>
      <c r="B989" s="2" t="n">
        <v>43222.01258101852</v>
      </c>
      <c r="C989" t="n">
        <v>0</v>
      </c>
      <c r="D989" t="n">
        <v>4763</v>
      </c>
      <c r="E989" t="s">
        <v>1000</v>
      </c>
      <c r="F989" t="s"/>
      <c r="G989" t="s"/>
      <c r="H989" t="s"/>
      <c r="I989" t="s"/>
      <c r="J989" t="n">
        <v>0.6597</v>
      </c>
      <c r="K989" t="n">
        <v>0</v>
      </c>
      <c r="L989" t="n">
        <v>0.779</v>
      </c>
      <c r="M989" t="n">
        <v>0.221</v>
      </c>
    </row>
    <row r="990" spans="1:13">
      <c r="A990" s="1">
        <f>HYPERLINK("http://www.twitter.com/NathanBLawrence/status/991471441244803072", "991471441244803072")</f>
        <v/>
      </c>
      <c r="B990" s="2" t="n">
        <v>43222.01141203703</v>
      </c>
      <c r="C990" t="n">
        <v>5</v>
      </c>
      <c r="D990" t="n">
        <v>0</v>
      </c>
      <c r="E990" t="s">
        <v>1001</v>
      </c>
      <c r="F990" t="s"/>
      <c r="G990" t="s"/>
      <c r="H990" t="s"/>
      <c r="I990" t="s"/>
      <c r="J990" t="n">
        <v>0</v>
      </c>
      <c r="K990" t="n">
        <v>0</v>
      </c>
      <c r="L990" t="n">
        <v>1</v>
      </c>
      <c r="M990" t="n">
        <v>0</v>
      </c>
    </row>
    <row r="991" spans="1:13">
      <c r="A991" s="1">
        <f>HYPERLINK("http://www.twitter.com/NathanBLawrence/status/991470724434092033", "991470724434092033")</f>
        <v/>
      </c>
      <c r="B991" s="2" t="n">
        <v>43222.00943287037</v>
      </c>
      <c r="C991" t="n">
        <v>0</v>
      </c>
      <c r="D991" t="n">
        <v>408</v>
      </c>
      <c r="E991" t="s">
        <v>1002</v>
      </c>
      <c r="F991" t="s"/>
      <c r="G991" t="s"/>
      <c r="H991" t="s"/>
      <c r="I991" t="s"/>
      <c r="J991" t="n">
        <v>-0.2584</v>
      </c>
      <c r="K991" t="n">
        <v>0.075</v>
      </c>
      <c r="L991" t="n">
        <v>0.925</v>
      </c>
      <c r="M991" t="n">
        <v>0</v>
      </c>
    </row>
    <row r="992" spans="1:13">
      <c r="A992" s="1">
        <f>HYPERLINK("http://www.twitter.com/NathanBLawrence/status/991460767101792256", "991460767101792256")</f>
        <v/>
      </c>
      <c r="B992" s="2" t="n">
        <v>43221.98195601852</v>
      </c>
      <c r="C992" t="n">
        <v>0</v>
      </c>
      <c r="D992" t="n">
        <v>794</v>
      </c>
      <c r="E992" t="s">
        <v>1003</v>
      </c>
      <c r="F992" t="s"/>
      <c r="G992" t="s"/>
      <c r="H992" t="s"/>
      <c r="I992" t="s"/>
      <c r="J992" t="n">
        <v>-0.7088</v>
      </c>
      <c r="K992" t="n">
        <v>0.337</v>
      </c>
      <c r="L992" t="n">
        <v>0.5620000000000001</v>
      </c>
      <c r="M992" t="n">
        <v>0.1</v>
      </c>
    </row>
    <row r="993" spans="1:13">
      <c r="A993" s="1">
        <f>HYPERLINK("http://www.twitter.com/NathanBLawrence/status/991459990601859072", "991459990601859072")</f>
        <v/>
      </c>
      <c r="B993" s="2" t="n">
        <v>43221.97981481482</v>
      </c>
      <c r="C993" t="n">
        <v>0</v>
      </c>
      <c r="D993" t="n">
        <v>104</v>
      </c>
      <c r="E993" t="s">
        <v>1004</v>
      </c>
      <c r="F993" t="s"/>
      <c r="G993" t="s"/>
      <c r="H993" t="s"/>
      <c r="I993" t="s"/>
      <c r="J993" t="n">
        <v>-0.6767</v>
      </c>
      <c r="K993" t="n">
        <v>0.422</v>
      </c>
      <c r="L993" t="n">
        <v>0.578</v>
      </c>
      <c r="M993" t="n">
        <v>0</v>
      </c>
    </row>
    <row r="994" spans="1:13">
      <c r="A994" s="1">
        <f>HYPERLINK("http://www.twitter.com/NathanBLawrence/status/991430391742582784", "991430391742582784")</f>
        <v/>
      </c>
      <c r="B994" s="2" t="n">
        <v>43221.89813657408</v>
      </c>
      <c r="C994" t="n">
        <v>0</v>
      </c>
      <c r="D994" t="n">
        <v>37</v>
      </c>
      <c r="E994" t="s">
        <v>1005</v>
      </c>
      <c r="F994">
        <f>HYPERLINK("http://pbs.twimg.com/media/DcJDqPGXkAYobsG.jpg", "http://pbs.twimg.com/media/DcJDqPGXkAYobsG.jpg")</f>
        <v/>
      </c>
      <c r="G994" t="s"/>
      <c r="H994" t="s"/>
      <c r="I994" t="s"/>
      <c r="J994" t="n">
        <v>0.4939</v>
      </c>
      <c r="K994" t="n">
        <v>0</v>
      </c>
      <c r="L994" t="n">
        <v>0.824</v>
      </c>
      <c r="M994" t="n">
        <v>0.176</v>
      </c>
    </row>
    <row r="995" spans="1:13">
      <c r="A995" s="1">
        <f>HYPERLINK("http://www.twitter.com/NathanBLawrence/status/991429267140509698", "991429267140509698")</f>
        <v/>
      </c>
      <c r="B995" s="2" t="n">
        <v>43221.89503472222</v>
      </c>
      <c r="C995" t="n">
        <v>0</v>
      </c>
      <c r="D995" t="n">
        <v>278</v>
      </c>
      <c r="E995" t="s">
        <v>1006</v>
      </c>
      <c r="F995" t="s"/>
      <c r="G995" t="s"/>
      <c r="H995" t="s"/>
      <c r="I995" t="s"/>
      <c r="J995" t="n">
        <v>0.6515</v>
      </c>
      <c r="K995" t="n">
        <v>0</v>
      </c>
      <c r="L995" t="n">
        <v>0.8149999999999999</v>
      </c>
      <c r="M995" t="n">
        <v>0.185</v>
      </c>
    </row>
    <row r="996" spans="1:13">
      <c r="A996" s="1">
        <f>HYPERLINK("http://www.twitter.com/NathanBLawrence/status/991428925652946946", "991428925652946946")</f>
        <v/>
      </c>
      <c r="B996" s="2" t="n">
        <v>43221.89409722222</v>
      </c>
      <c r="C996" t="n">
        <v>0</v>
      </c>
      <c r="D996" t="n">
        <v>358</v>
      </c>
      <c r="E996" t="s">
        <v>1007</v>
      </c>
      <c r="F996" t="s"/>
      <c r="G996" t="s"/>
      <c r="H996" t="s"/>
      <c r="I996" t="s"/>
      <c r="J996" t="n">
        <v>0</v>
      </c>
      <c r="K996" t="n">
        <v>0</v>
      </c>
      <c r="L996" t="n">
        <v>1</v>
      </c>
      <c r="M996" t="n">
        <v>0</v>
      </c>
    </row>
    <row r="997" spans="1:13">
      <c r="A997" s="1">
        <f>HYPERLINK("http://www.twitter.com/NathanBLawrence/status/991425235680464898", "991425235680464898")</f>
        <v/>
      </c>
      <c r="B997" s="2" t="n">
        <v>43221.88391203704</v>
      </c>
      <c r="C997" t="n">
        <v>0</v>
      </c>
      <c r="D997" t="n">
        <v>6999</v>
      </c>
      <c r="E997" t="s">
        <v>1008</v>
      </c>
      <c r="F997">
        <f>HYPERLINK("http://pbs.twimg.com/media/DcIuqiCVQAAWoOT.jpg", "http://pbs.twimg.com/media/DcIuqiCVQAAWoOT.jpg")</f>
        <v/>
      </c>
      <c r="G997" t="s"/>
      <c r="H997" t="s"/>
      <c r="I997" t="s"/>
      <c r="J997" t="n">
        <v>0.7635</v>
      </c>
      <c r="K997" t="n">
        <v>0</v>
      </c>
      <c r="L997" t="n">
        <v>0.735</v>
      </c>
      <c r="M997" t="n">
        <v>0.265</v>
      </c>
    </row>
    <row r="998" spans="1:13">
      <c r="A998" s="1">
        <f>HYPERLINK("http://www.twitter.com/NathanBLawrence/status/991424777528250368", "991424777528250368")</f>
        <v/>
      </c>
      <c r="B998" s="2" t="n">
        <v>43221.88265046296</v>
      </c>
      <c r="C998" t="n">
        <v>0</v>
      </c>
      <c r="D998" t="n">
        <v>66</v>
      </c>
      <c r="E998" t="s">
        <v>1009</v>
      </c>
      <c r="F998">
        <f>HYPERLINK("http://pbs.twimg.com/media/DcIJbxnVQAANlgO.jpg", "http://pbs.twimg.com/media/DcIJbxnVQAANlgO.jpg")</f>
        <v/>
      </c>
      <c r="G998" t="s"/>
      <c r="H998" t="s"/>
      <c r="I998" t="s"/>
      <c r="J998" t="n">
        <v>0.8852</v>
      </c>
      <c r="K998" t="n">
        <v>0</v>
      </c>
      <c r="L998" t="n">
        <v>0.635</v>
      </c>
      <c r="M998" t="n">
        <v>0.365</v>
      </c>
    </row>
    <row r="999" spans="1:13">
      <c r="A999" s="1">
        <f>HYPERLINK("http://www.twitter.com/NathanBLawrence/status/991424511726817280", "991424511726817280")</f>
        <v/>
      </c>
      <c r="B999" s="2" t="n">
        <v>43221.8819212963</v>
      </c>
      <c r="C999" t="n">
        <v>0</v>
      </c>
      <c r="D999" t="n">
        <v>2141</v>
      </c>
      <c r="E999" t="s">
        <v>1010</v>
      </c>
      <c r="F999">
        <f>HYPERLINK("https://video.twimg.com/ext_tw_video/991392291850874881/pu/vid/1280x720/HVBLt5VZeGjea3Zh.mp4?tag=3", "https://video.twimg.com/ext_tw_video/991392291850874881/pu/vid/1280x720/HVBLt5VZeGjea3Zh.mp4?tag=3")</f>
        <v/>
      </c>
      <c r="G999" t="s"/>
      <c r="H999" t="s"/>
      <c r="I999" t="s"/>
      <c r="J999" t="n">
        <v>0.4588</v>
      </c>
      <c r="K999" t="n">
        <v>0</v>
      </c>
      <c r="L999" t="n">
        <v>0.88</v>
      </c>
      <c r="M999" t="n">
        <v>0.12</v>
      </c>
    </row>
    <row r="1000" spans="1:13">
      <c r="A1000" s="1">
        <f>HYPERLINK("http://www.twitter.com/NathanBLawrence/status/991424162576109568", "991424162576109568")</f>
        <v/>
      </c>
      <c r="B1000" s="2" t="n">
        <v>43221.88094907408</v>
      </c>
      <c r="C1000" t="n">
        <v>0</v>
      </c>
      <c r="D1000" t="n">
        <v>250</v>
      </c>
      <c r="E1000" t="s">
        <v>1011</v>
      </c>
      <c r="F1000" t="s"/>
      <c r="G1000" t="s"/>
      <c r="H1000" t="s"/>
      <c r="I1000" t="s"/>
      <c r="J1000" t="n">
        <v>0.2023</v>
      </c>
      <c r="K1000" t="n">
        <v>0</v>
      </c>
      <c r="L1000" t="n">
        <v>0.927</v>
      </c>
      <c r="M1000" t="n">
        <v>0.073</v>
      </c>
    </row>
    <row r="1001" spans="1:13">
      <c r="A1001" s="1">
        <f>HYPERLINK("http://www.twitter.com/NathanBLawrence/status/991423992199307265", "991423992199307265")</f>
        <v/>
      </c>
      <c r="B1001" s="2" t="n">
        <v>43221.88048611111</v>
      </c>
      <c r="C1001" t="n">
        <v>0</v>
      </c>
      <c r="D1001" t="n">
        <v>2153</v>
      </c>
      <c r="E1001" t="s">
        <v>1012</v>
      </c>
      <c r="F1001" t="s"/>
      <c r="G1001" t="s"/>
      <c r="H1001" t="s"/>
      <c r="I1001" t="s"/>
      <c r="J1001" t="n">
        <v>0</v>
      </c>
      <c r="K1001" t="n">
        <v>0</v>
      </c>
      <c r="L1001" t="n">
        <v>1</v>
      </c>
      <c r="M1001" t="n">
        <v>0</v>
      </c>
    </row>
    <row r="1002" spans="1:13">
      <c r="A1002" s="1">
        <f>HYPERLINK("http://www.twitter.com/NathanBLawrence/status/991418926319001601", "991418926319001601")</f>
        <v/>
      </c>
      <c r="B1002" s="2" t="n">
        <v>43221.86650462963</v>
      </c>
      <c r="C1002" t="n">
        <v>0</v>
      </c>
      <c r="D1002" t="n">
        <v>948</v>
      </c>
      <c r="E1002" t="s">
        <v>1013</v>
      </c>
      <c r="F1002">
        <f>HYPERLINK("http://pbs.twimg.com/media/DcEeWwFV0AA98Qk.jpg", "http://pbs.twimg.com/media/DcEeWwFV0AA98Qk.jpg")</f>
        <v/>
      </c>
      <c r="G1002" t="s"/>
      <c r="H1002" t="s"/>
      <c r="I1002" t="s"/>
      <c r="J1002" t="n">
        <v>0</v>
      </c>
      <c r="K1002" t="n">
        <v>0</v>
      </c>
      <c r="L1002" t="n">
        <v>1</v>
      </c>
      <c r="M1002" t="n">
        <v>0</v>
      </c>
    </row>
    <row r="1003" spans="1:13">
      <c r="A1003" s="1">
        <f>HYPERLINK("http://www.twitter.com/NathanBLawrence/status/991418000199880705", "991418000199880705")</f>
        <v/>
      </c>
      <c r="B1003" s="2" t="n">
        <v>43221.86394675926</v>
      </c>
      <c r="C1003" t="n">
        <v>0</v>
      </c>
      <c r="D1003" t="n">
        <v>434</v>
      </c>
      <c r="E1003" t="s">
        <v>1014</v>
      </c>
      <c r="F1003" t="s"/>
      <c r="G1003" t="s"/>
      <c r="H1003" t="s"/>
      <c r="I1003" t="s"/>
      <c r="J1003" t="n">
        <v>0</v>
      </c>
      <c r="K1003" t="n">
        <v>0</v>
      </c>
      <c r="L1003" t="n">
        <v>1</v>
      </c>
      <c r="M1003" t="n">
        <v>0</v>
      </c>
    </row>
    <row r="1004" spans="1:13">
      <c r="A1004" s="1">
        <f>HYPERLINK("http://www.twitter.com/NathanBLawrence/status/991297315230101504", "991297315230101504")</f>
        <v/>
      </c>
      <c r="B1004" s="2" t="n">
        <v>43221.53092592592</v>
      </c>
      <c r="C1004" t="n">
        <v>0</v>
      </c>
      <c r="D1004" t="n">
        <v>1119</v>
      </c>
      <c r="E1004" t="s">
        <v>1015</v>
      </c>
      <c r="F1004">
        <f>HYPERLINK("http://pbs.twimg.com/media/DcFQsfuUwAUFq8k.jpg", "http://pbs.twimg.com/media/DcFQsfuUwAUFq8k.jpg")</f>
        <v/>
      </c>
      <c r="G1004" t="s"/>
      <c r="H1004" t="s"/>
      <c r="I1004" t="s"/>
      <c r="J1004" t="n">
        <v>0</v>
      </c>
      <c r="K1004" t="n">
        <v>0</v>
      </c>
      <c r="L1004" t="n">
        <v>1</v>
      </c>
      <c r="M1004" t="n">
        <v>0</v>
      </c>
    </row>
    <row r="1005" spans="1:13">
      <c r="A1005" s="1">
        <f>HYPERLINK("http://www.twitter.com/NathanBLawrence/status/991297016654368768", "991297016654368768")</f>
        <v/>
      </c>
      <c r="B1005" s="2" t="n">
        <v>43221.53009259259</v>
      </c>
      <c r="C1005" t="n">
        <v>0</v>
      </c>
      <c r="D1005" t="n">
        <v>923</v>
      </c>
      <c r="E1005" t="s">
        <v>1016</v>
      </c>
      <c r="F1005" t="s"/>
      <c r="G1005" t="s"/>
      <c r="H1005" t="s"/>
      <c r="I1005" t="s"/>
      <c r="J1005" t="n">
        <v>-0.4215</v>
      </c>
      <c r="K1005" t="n">
        <v>0.412</v>
      </c>
      <c r="L1005" t="n">
        <v>0.588</v>
      </c>
      <c r="M1005" t="n">
        <v>0</v>
      </c>
    </row>
    <row r="1006" spans="1:13">
      <c r="A1006" s="1">
        <f>HYPERLINK("http://www.twitter.com/NathanBLawrence/status/991296975629729792", "991296975629729792")</f>
        <v/>
      </c>
      <c r="B1006" s="2" t="n">
        <v>43221.52998842593</v>
      </c>
      <c r="C1006" t="n">
        <v>0</v>
      </c>
      <c r="D1006" t="n">
        <v>26324</v>
      </c>
      <c r="E1006" t="s">
        <v>1017</v>
      </c>
      <c r="F1006" t="s"/>
      <c r="G1006" t="s"/>
      <c r="H1006" t="s"/>
      <c r="I1006" t="s"/>
      <c r="J1006" t="n">
        <v>-0.5719</v>
      </c>
      <c r="K1006" t="n">
        <v>0.198</v>
      </c>
      <c r="L1006" t="n">
        <v>0.802</v>
      </c>
      <c r="M1006" t="n">
        <v>0</v>
      </c>
    </row>
    <row r="1007" spans="1:13">
      <c r="A1007" s="1">
        <f>HYPERLINK("http://www.twitter.com/NathanBLawrence/status/991295496940597249", "991295496940597249")</f>
        <v/>
      </c>
      <c r="B1007" s="2" t="n">
        <v>43221.52590277778</v>
      </c>
      <c r="C1007" t="n">
        <v>0</v>
      </c>
      <c r="D1007" t="n">
        <v>750</v>
      </c>
      <c r="E1007" t="s">
        <v>1018</v>
      </c>
      <c r="F1007" t="s"/>
      <c r="G1007" t="s"/>
      <c r="H1007" t="s"/>
      <c r="I1007" t="s"/>
      <c r="J1007" t="n">
        <v>-0.2732</v>
      </c>
      <c r="K1007" t="n">
        <v>0.11</v>
      </c>
      <c r="L1007" t="n">
        <v>0.89</v>
      </c>
      <c r="M1007" t="n">
        <v>0</v>
      </c>
    </row>
    <row r="1008" spans="1:13">
      <c r="A1008" s="1">
        <f>HYPERLINK("http://www.twitter.com/NathanBLawrence/status/991292834815889408", "991292834815889408")</f>
        <v/>
      </c>
      <c r="B1008" s="2" t="n">
        <v>43221.51855324074</v>
      </c>
      <c r="C1008" t="n">
        <v>0</v>
      </c>
      <c r="D1008" t="n">
        <v>1852</v>
      </c>
      <c r="E1008" t="s">
        <v>1019</v>
      </c>
      <c r="F1008" t="s"/>
      <c r="G1008" t="s"/>
      <c r="H1008" t="s"/>
      <c r="I1008" t="s"/>
      <c r="J1008" t="n">
        <v>0.25</v>
      </c>
      <c r="K1008" t="n">
        <v>0.181</v>
      </c>
      <c r="L1008" t="n">
        <v>0.532</v>
      </c>
      <c r="M1008" t="n">
        <v>0.287</v>
      </c>
    </row>
    <row r="1009" spans="1:13">
      <c r="A1009" s="1">
        <f>HYPERLINK("http://www.twitter.com/NathanBLawrence/status/991292120098131968", "991292120098131968")</f>
        <v/>
      </c>
      <c r="B1009" s="2" t="n">
        <v>43221.51658564815</v>
      </c>
      <c r="C1009" t="n">
        <v>0</v>
      </c>
      <c r="D1009" t="n">
        <v>17</v>
      </c>
      <c r="E1009" t="s">
        <v>1020</v>
      </c>
      <c r="F1009" t="s"/>
      <c r="G1009" t="s"/>
      <c r="H1009" t="s"/>
      <c r="I1009" t="s"/>
      <c r="J1009" t="n">
        <v>-0.25</v>
      </c>
      <c r="K1009" t="n">
        <v>0.175</v>
      </c>
      <c r="L1009" t="n">
        <v>0.7</v>
      </c>
      <c r="M1009" t="n">
        <v>0.125</v>
      </c>
    </row>
    <row r="1010" spans="1:13">
      <c r="A1010" s="1">
        <f>HYPERLINK("http://www.twitter.com/NathanBLawrence/status/991153029763256320", "991153029763256320")</f>
        <v/>
      </c>
      <c r="B1010" s="2" t="n">
        <v>43221.1327662037</v>
      </c>
      <c r="C1010" t="n">
        <v>0</v>
      </c>
      <c r="D1010" t="n">
        <v>2416</v>
      </c>
      <c r="E1010" t="s">
        <v>1021</v>
      </c>
      <c r="F1010">
        <f>HYPERLINK("http://pbs.twimg.com/media/DcEJOveUwAAHDKe.jpg", "http://pbs.twimg.com/media/DcEJOveUwAAHDKe.jpg")</f>
        <v/>
      </c>
      <c r="G1010">
        <f>HYPERLINK("http://pbs.twimg.com/media/DcEJOvgVQAADaCB.jpg", "http://pbs.twimg.com/media/DcEJOvgVQAADaCB.jpg")</f>
        <v/>
      </c>
      <c r="H1010">
        <f>HYPERLINK("http://pbs.twimg.com/media/DcEJOvgUQAEgx2W.jpg", "http://pbs.twimg.com/media/DcEJOvgUQAEgx2W.jpg")</f>
        <v/>
      </c>
      <c r="I1010">
        <f>HYPERLINK("http://pbs.twimg.com/media/DcEJOviV0AALhG-.jpg", "http://pbs.twimg.com/media/DcEJOviV0AALhG-.jpg")</f>
        <v/>
      </c>
      <c r="J1010" t="n">
        <v>0.5423</v>
      </c>
      <c r="K1010" t="n">
        <v>0</v>
      </c>
      <c r="L1010" t="n">
        <v>0.847</v>
      </c>
      <c r="M1010" t="n">
        <v>0.153</v>
      </c>
    </row>
    <row r="1011" spans="1:13">
      <c r="A1011" s="1">
        <f>HYPERLINK("http://www.twitter.com/NathanBLawrence/status/991152614334173186", "991152614334173186")</f>
        <v/>
      </c>
      <c r="B1011" s="2" t="n">
        <v>43221.13162037037</v>
      </c>
      <c r="C1011" t="n">
        <v>0</v>
      </c>
      <c r="D1011" t="n">
        <v>1099</v>
      </c>
      <c r="E1011" t="s">
        <v>1022</v>
      </c>
      <c r="F1011" t="s"/>
      <c r="G1011" t="s"/>
      <c r="H1011" t="s"/>
      <c r="I1011" t="s"/>
      <c r="J1011" t="n">
        <v>0.5165</v>
      </c>
      <c r="K1011" t="n">
        <v>0.059</v>
      </c>
      <c r="L1011" t="n">
        <v>0.75</v>
      </c>
      <c r="M1011" t="n">
        <v>0.191</v>
      </c>
    </row>
    <row r="1012" spans="1:13">
      <c r="A1012" s="1">
        <f>HYPERLINK("http://www.twitter.com/NathanBLawrence/status/991152225580826625", "991152225580826625")</f>
        <v/>
      </c>
      <c r="B1012" s="2" t="n">
        <v>43221.13054398148</v>
      </c>
      <c r="C1012" t="n">
        <v>0</v>
      </c>
      <c r="D1012" t="n">
        <v>1445</v>
      </c>
      <c r="E1012" t="s">
        <v>1023</v>
      </c>
      <c r="F1012">
        <f>HYPERLINK("https://video.twimg.com/ext_tw_video/990232987412254723/pu/vid/1280x720/akLdaGK8XtNMXXUz.mp4?tag=3", "https://video.twimg.com/ext_tw_video/990232987412254723/pu/vid/1280x720/akLdaGK8XtNMXXUz.mp4?tag=3")</f>
        <v/>
      </c>
      <c r="G1012" t="s"/>
      <c r="H1012" t="s"/>
      <c r="I1012" t="s"/>
      <c r="J1012" t="n">
        <v>-0.5719</v>
      </c>
      <c r="K1012" t="n">
        <v>0.209</v>
      </c>
      <c r="L1012" t="n">
        <v>0.707</v>
      </c>
      <c r="M1012" t="n">
        <v>0.08400000000000001</v>
      </c>
    </row>
    <row r="1013" spans="1:13">
      <c r="A1013" s="1">
        <f>HYPERLINK("http://www.twitter.com/NathanBLawrence/status/991151627305406464", "991151627305406464")</f>
        <v/>
      </c>
      <c r="B1013" s="2" t="n">
        <v>43221.12890046297</v>
      </c>
      <c r="C1013" t="n">
        <v>0</v>
      </c>
      <c r="D1013" t="n">
        <v>492</v>
      </c>
      <c r="E1013" t="s">
        <v>1024</v>
      </c>
      <c r="F1013">
        <f>HYPERLINK("https://video.twimg.com/amplify_video/991077726009294848/vid/1280x720/Sf1LqHKmxzSl8JBT.mp4?tag=2", "https://video.twimg.com/amplify_video/991077726009294848/vid/1280x720/Sf1LqHKmxzSl8JBT.mp4?tag=2")</f>
        <v/>
      </c>
      <c r="G1013" t="s"/>
      <c r="H1013" t="s"/>
      <c r="I1013" t="s"/>
      <c r="J1013" t="n">
        <v>-0.3612</v>
      </c>
      <c r="K1013" t="n">
        <v>0.189</v>
      </c>
      <c r="L1013" t="n">
        <v>0.8110000000000001</v>
      </c>
      <c r="M1013" t="n">
        <v>0</v>
      </c>
    </row>
    <row r="1014" spans="1:13">
      <c r="A1014" s="1">
        <f>HYPERLINK("http://www.twitter.com/NathanBLawrence/status/991150668382703616", "991150668382703616")</f>
        <v/>
      </c>
      <c r="B1014" s="2" t="n">
        <v>43221.12625</v>
      </c>
      <c r="C1014" t="n">
        <v>0</v>
      </c>
      <c r="D1014" t="n">
        <v>172</v>
      </c>
      <c r="E1014" t="s">
        <v>1025</v>
      </c>
      <c r="F1014" t="s"/>
      <c r="G1014" t="s"/>
      <c r="H1014" t="s"/>
      <c r="I1014" t="s"/>
      <c r="J1014" t="n">
        <v>-0.1511</v>
      </c>
      <c r="K1014" t="n">
        <v>0.081</v>
      </c>
      <c r="L1014" t="n">
        <v>0.919</v>
      </c>
      <c r="M1014" t="n">
        <v>0</v>
      </c>
    </row>
    <row r="1015" spans="1:13">
      <c r="A1015" s="1">
        <f>HYPERLINK("http://www.twitter.com/NathanBLawrence/status/991147962733645824", "991147962733645824")</f>
        <v/>
      </c>
      <c r="B1015" s="2" t="n">
        <v>43221.11878472222</v>
      </c>
      <c r="C1015" t="n">
        <v>0</v>
      </c>
      <c r="D1015" t="n">
        <v>1805</v>
      </c>
      <c r="E1015" t="s">
        <v>1026</v>
      </c>
      <c r="F1015">
        <f>HYPERLINK("http://pbs.twimg.com/media/DcE8olnXcAcilxt.jpg", "http://pbs.twimg.com/media/DcE8olnXcAcilxt.jpg")</f>
        <v/>
      </c>
      <c r="G1015" t="s"/>
      <c r="H1015" t="s"/>
      <c r="I1015" t="s"/>
      <c r="J1015" t="n">
        <v>0.4995</v>
      </c>
      <c r="K1015" t="n">
        <v>0</v>
      </c>
      <c r="L1015" t="n">
        <v>0.736</v>
      </c>
      <c r="M1015" t="n">
        <v>0.264</v>
      </c>
    </row>
    <row r="1016" spans="1:13">
      <c r="A1016" s="1">
        <f>HYPERLINK("http://www.twitter.com/NathanBLawrence/status/991145755825115136", "991145755825115136")</f>
        <v/>
      </c>
      <c r="B1016" s="2" t="n">
        <v>43221.11269675926</v>
      </c>
      <c r="C1016" t="n">
        <v>0</v>
      </c>
      <c r="D1016" t="n">
        <v>35</v>
      </c>
      <c r="E1016" t="s">
        <v>1027</v>
      </c>
      <c r="F1016">
        <f>HYPERLINK("http://pbs.twimg.com/media/DcE94bJWsAAqKqn.jpg", "http://pbs.twimg.com/media/DcE94bJWsAAqKqn.jpg")</f>
        <v/>
      </c>
      <c r="G1016" t="s"/>
      <c r="H1016" t="s"/>
      <c r="I1016" t="s"/>
      <c r="J1016" t="n">
        <v>0</v>
      </c>
      <c r="K1016" t="n">
        <v>0</v>
      </c>
      <c r="L1016" t="n">
        <v>1</v>
      </c>
      <c r="M1016" t="n">
        <v>0</v>
      </c>
    </row>
    <row r="1017" spans="1:13">
      <c r="A1017" s="1">
        <f>HYPERLINK("http://www.twitter.com/NathanBLawrence/status/991145173093699584", "991145173093699584")</f>
        <v/>
      </c>
      <c r="B1017" s="2" t="n">
        <v>43221.11108796296</v>
      </c>
      <c r="C1017" t="n">
        <v>0</v>
      </c>
      <c r="D1017" t="n">
        <v>629</v>
      </c>
      <c r="E1017" t="s">
        <v>1028</v>
      </c>
      <c r="F1017">
        <f>HYPERLINK("https://video.twimg.com/ext_tw_video/991076934565048320/pu/vid/480x480/FmBnErEi9FAT016_.mp4?tag=3", "https://video.twimg.com/ext_tw_video/991076934565048320/pu/vid/480x480/FmBnErEi9FAT016_.mp4?tag=3")</f>
        <v/>
      </c>
      <c r="G1017" t="s"/>
      <c r="H1017" t="s"/>
      <c r="I1017" t="s"/>
      <c r="J1017" t="n">
        <v>-0.3034</v>
      </c>
      <c r="K1017" t="n">
        <v>0.105</v>
      </c>
      <c r="L1017" t="n">
        <v>0.895</v>
      </c>
      <c r="M1017" t="n">
        <v>0</v>
      </c>
    </row>
    <row r="1018" spans="1:13">
      <c r="A1018" s="1">
        <f>HYPERLINK("http://www.twitter.com/NathanBLawrence/status/991144048185499653", "991144048185499653")</f>
        <v/>
      </c>
      <c r="B1018" s="2" t="n">
        <v>43221.10798611111</v>
      </c>
      <c r="C1018" t="n">
        <v>0</v>
      </c>
      <c r="D1018" t="n">
        <v>130</v>
      </c>
      <c r="E1018" t="s">
        <v>1029</v>
      </c>
      <c r="F1018" t="s"/>
      <c r="G1018" t="s"/>
      <c r="H1018" t="s"/>
      <c r="I1018" t="s"/>
      <c r="J1018" t="n">
        <v>0</v>
      </c>
      <c r="K1018" t="n">
        <v>0</v>
      </c>
      <c r="L1018" t="n">
        <v>1</v>
      </c>
      <c r="M1018" t="n">
        <v>0</v>
      </c>
    </row>
    <row r="1019" spans="1:13">
      <c r="A1019" s="1">
        <f>HYPERLINK("http://www.twitter.com/NathanBLawrence/status/991142901785812992", "991142901785812992")</f>
        <v/>
      </c>
      <c r="B1019" s="2" t="n">
        <v>43221.10481481482</v>
      </c>
      <c r="C1019" t="n">
        <v>0</v>
      </c>
      <c r="D1019" t="n">
        <v>87</v>
      </c>
      <c r="E1019" t="s">
        <v>1030</v>
      </c>
      <c r="F1019">
        <f>HYPERLINK("http://pbs.twimg.com/media/DYhblMzX4AAwxtd.jpg", "http://pbs.twimg.com/media/DYhblMzX4AAwxtd.jpg")</f>
        <v/>
      </c>
      <c r="G1019" t="s"/>
      <c r="H1019" t="s"/>
      <c r="I1019" t="s"/>
      <c r="J1019" t="n">
        <v>0</v>
      </c>
      <c r="K1019" t="n">
        <v>0</v>
      </c>
      <c r="L1019" t="n">
        <v>1</v>
      </c>
      <c r="M1019" t="n">
        <v>0</v>
      </c>
    </row>
    <row r="1020" spans="1:13">
      <c r="A1020" s="1">
        <f>HYPERLINK("http://www.twitter.com/NathanBLawrence/status/991135075910737921", "991135075910737921")</f>
        <v/>
      </c>
      <c r="B1020" s="2" t="n">
        <v>43221.08322916667</v>
      </c>
      <c r="C1020" t="n">
        <v>0</v>
      </c>
      <c r="D1020" t="n">
        <v>3902</v>
      </c>
      <c r="E1020" t="s">
        <v>1031</v>
      </c>
      <c r="F1020" t="s"/>
      <c r="G1020" t="s"/>
      <c r="H1020" t="s"/>
      <c r="I1020" t="s"/>
      <c r="J1020" t="n">
        <v>0.5514</v>
      </c>
      <c r="K1020" t="n">
        <v>0</v>
      </c>
      <c r="L1020" t="n">
        <v>0.771</v>
      </c>
      <c r="M1020" t="n">
        <v>0.229</v>
      </c>
    </row>
    <row r="1021" spans="1:13">
      <c r="A1021" s="1">
        <f>HYPERLINK("http://www.twitter.com/NathanBLawrence/status/991118830498926592", "991118830498926592")</f>
        <v/>
      </c>
      <c r="B1021" s="2" t="n">
        <v>43221.03839120371</v>
      </c>
      <c r="C1021" t="n">
        <v>0</v>
      </c>
      <c r="D1021" t="n">
        <v>16</v>
      </c>
      <c r="E1021" t="s">
        <v>1032</v>
      </c>
      <c r="F1021">
        <f>HYPERLINK("http://pbs.twimg.com/media/DcEkqsDWsAEqtr0.jpg", "http://pbs.twimg.com/media/DcEkqsDWsAEqtr0.jpg")</f>
        <v/>
      </c>
      <c r="G1021" t="s"/>
      <c r="H1021" t="s"/>
      <c r="I1021" t="s"/>
      <c r="J1021" t="n">
        <v>0</v>
      </c>
      <c r="K1021" t="n">
        <v>0</v>
      </c>
      <c r="L1021" t="n">
        <v>1</v>
      </c>
      <c r="M1021" t="n">
        <v>0</v>
      </c>
    </row>
    <row r="1022" spans="1:13">
      <c r="A1022" s="1">
        <f>HYPERLINK("http://www.twitter.com/NathanBLawrence/status/991118018435526656", "991118018435526656")</f>
        <v/>
      </c>
      <c r="B1022" s="2" t="n">
        <v>43221.0361574074</v>
      </c>
      <c r="C1022" t="n">
        <v>0</v>
      </c>
      <c r="D1022" t="n">
        <v>2461</v>
      </c>
      <c r="E1022" t="s">
        <v>1033</v>
      </c>
      <c r="F1022" t="s"/>
      <c r="G1022" t="s"/>
      <c r="H1022" t="s"/>
      <c r="I1022" t="s"/>
      <c r="J1022" t="n">
        <v>0</v>
      </c>
      <c r="K1022" t="n">
        <v>0</v>
      </c>
      <c r="L1022" t="n">
        <v>1</v>
      </c>
      <c r="M1022" t="n">
        <v>0</v>
      </c>
    </row>
    <row r="1023" spans="1:13">
      <c r="A1023" s="1">
        <f>HYPERLINK("http://www.twitter.com/NathanBLawrence/status/991117743192772609", "991117743192772609")</f>
        <v/>
      </c>
      <c r="B1023" s="2" t="n">
        <v>43221.03539351852</v>
      </c>
      <c r="C1023" t="n">
        <v>0</v>
      </c>
      <c r="D1023" t="n">
        <v>709</v>
      </c>
      <c r="E1023" t="s">
        <v>1034</v>
      </c>
      <c r="F1023">
        <f>HYPERLINK("https://video.twimg.com/ext_tw_video/991098136851496960/pu/vid/720x1280/ZrV3fVOGsV6SJPJp.mp4?tag=3", "https://video.twimg.com/ext_tw_video/991098136851496960/pu/vid/720x1280/ZrV3fVOGsV6SJPJp.mp4?tag=3")</f>
        <v/>
      </c>
      <c r="G1023" t="s"/>
      <c r="H1023" t="s"/>
      <c r="I1023" t="s"/>
      <c r="J1023" t="n">
        <v>0</v>
      </c>
      <c r="K1023" t="n">
        <v>0</v>
      </c>
      <c r="L1023" t="n">
        <v>1</v>
      </c>
      <c r="M1023" t="n">
        <v>0</v>
      </c>
    </row>
    <row r="1024" spans="1:13">
      <c r="A1024" s="1">
        <f>HYPERLINK("http://www.twitter.com/NathanBLawrence/status/991116783040987138", "991116783040987138")</f>
        <v/>
      </c>
      <c r="B1024" s="2" t="n">
        <v>43221.03274305556</v>
      </c>
      <c r="C1024" t="n">
        <v>0</v>
      </c>
      <c r="D1024" t="n">
        <v>14124</v>
      </c>
      <c r="E1024" t="s">
        <v>1035</v>
      </c>
      <c r="F1024" t="s"/>
      <c r="G1024" t="s"/>
      <c r="H1024" t="s"/>
      <c r="I1024" t="s"/>
      <c r="J1024" t="n">
        <v>-0.188</v>
      </c>
      <c r="K1024" t="n">
        <v>0.126</v>
      </c>
      <c r="L1024" t="n">
        <v>0.777</v>
      </c>
      <c r="M1024" t="n">
        <v>0.097</v>
      </c>
    </row>
    <row r="1025" spans="1:13">
      <c r="A1025" s="1">
        <f>HYPERLINK("http://www.twitter.com/NathanBLawrence/status/991116537363927041", "991116537363927041")</f>
        <v/>
      </c>
      <c r="B1025" s="2" t="n">
        <v>43221.03207175926</v>
      </c>
      <c r="C1025" t="n">
        <v>0</v>
      </c>
      <c r="D1025" t="n">
        <v>25</v>
      </c>
      <c r="E1025" t="s">
        <v>1036</v>
      </c>
      <c r="F1025">
        <f>HYPERLINK("http://pbs.twimg.com/media/DcEfmzlV0AA85hV.jpg", "http://pbs.twimg.com/media/DcEfmzlV0AA85hV.jpg")</f>
        <v/>
      </c>
      <c r="G1025" t="s"/>
      <c r="H1025" t="s"/>
      <c r="I1025" t="s"/>
      <c r="J1025" t="n">
        <v>0</v>
      </c>
      <c r="K1025" t="n">
        <v>0</v>
      </c>
      <c r="L1025" t="n">
        <v>1</v>
      </c>
      <c r="M1025" t="n">
        <v>0</v>
      </c>
    </row>
    <row r="1026" spans="1:13">
      <c r="A1026" s="1">
        <f>HYPERLINK("http://www.twitter.com/NathanBLawrence/status/991111014816124928", "991111014816124928")</f>
        <v/>
      </c>
      <c r="B1026" s="2" t="n">
        <v>43221.0168287037</v>
      </c>
      <c r="C1026" t="n">
        <v>0</v>
      </c>
      <c r="D1026" t="n">
        <v>80</v>
      </c>
      <c r="E1026" t="s">
        <v>1037</v>
      </c>
      <c r="F1026" t="s"/>
      <c r="G1026" t="s"/>
      <c r="H1026" t="s"/>
      <c r="I1026" t="s"/>
      <c r="J1026" t="n">
        <v>-0.6705</v>
      </c>
      <c r="K1026" t="n">
        <v>0.27</v>
      </c>
      <c r="L1026" t="n">
        <v>0.648</v>
      </c>
      <c r="M1026" t="n">
        <v>0.082</v>
      </c>
    </row>
    <row r="1027" spans="1:13">
      <c r="A1027" s="1">
        <f>HYPERLINK("http://www.twitter.com/NathanBLawrence/status/991110740332498944", "991110740332498944")</f>
        <v/>
      </c>
      <c r="B1027" s="2" t="n">
        <v>43221.01607638889</v>
      </c>
      <c r="C1027" t="n">
        <v>0</v>
      </c>
      <c r="D1027" t="n">
        <v>488</v>
      </c>
      <c r="E1027" t="s">
        <v>1038</v>
      </c>
      <c r="F1027">
        <f>HYPERLINK("http://pbs.twimg.com/media/DcDf313W4AAA-ia.jpg", "http://pbs.twimg.com/media/DcDf313W4AAA-ia.jpg")</f>
        <v/>
      </c>
      <c r="G1027" t="s"/>
      <c r="H1027" t="s"/>
      <c r="I1027" t="s"/>
      <c r="J1027" t="n">
        <v>0</v>
      </c>
      <c r="K1027" t="n">
        <v>0</v>
      </c>
      <c r="L1027" t="n">
        <v>1</v>
      </c>
      <c r="M1027" t="n">
        <v>0</v>
      </c>
    </row>
    <row r="1028" spans="1:13">
      <c r="A1028" s="1">
        <f>HYPERLINK("http://www.twitter.com/NathanBLawrence/status/991109353687126017", "991109353687126017")</f>
        <v/>
      </c>
      <c r="B1028" s="2" t="n">
        <v>43221.01224537037</v>
      </c>
      <c r="C1028" t="n">
        <v>0</v>
      </c>
      <c r="D1028" t="n">
        <v>3281</v>
      </c>
      <c r="E1028" t="s">
        <v>1039</v>
      </c>
      <c r="F1028" t="s"/>
      <c r="G1028" t="s"/>
      <c r="H1028" t="s"/>
      <c r="I1028" t="s"/>
      <c r="J1028" t="n">
        <v>0</v>
      </c>
      <c r="K1028" t="n">
        <v>0</v>
      </c>
      <c r="L1028" t="n">
        <v>1</v>
      </c>
      <c r="M1028" t="n">
        <v>0</v>
      </c>
    </row>
    <row r="1029" spans="1:13">
      <c r="A1029" s="1">
        <f>HYPERLINK("http://www.twitter.com/NathanBLawrence/status/991109025025740800", "991109025025740800")</f>
        <v/>
      </c>
      <c r="B1029" s="2" t="n">
        <v>43221.0113425926</v>
      </c>
      <c r="C1029" t="n">
        <v>0</v>
      </c>
      <c r="D1029" t="n">
        <v>7</v>
      </c>
      <c r="E1029" t="s">
        <v>1040</v>
      </c>
      <c r="F1029">
        <f>HYPERLINK("http://pbs.twimg.com/media/DcCsIkEXcAEW6HE.jpg", "http://pbs.twimg.com/media/DcCsIkEXcAEW6HE.jpg")</f>
        <v/>
      </c>
      <c r="G1029" t="s"/>
      <c r="H1029" t="s"/>
      <c r="I1029" t="s"/>
      <c r="J1029" t="n">
        <v>0</v>
      </c>
      <c r="K1029" t="n">
        <v>0</v>
      </c>
      <c r="L1029" t="n">
        <v>1</v>
      </c>
      <c r="M1029" t="n">
        <v>0</v>
      </c>
    </row>
    <row r="1030" spans="1:13">
      <c r="A1030" s="1">
        <f>HYPERLINK("http://www.twitter.com/NathanBLawrence/status/991108782213169152", "991108782213169152")</f>
        <v/>
      </c>
      <c r="B1030" s="2" t="n">
        <v>43221.0106712963</v>
      </c>
      <c r="C1030" t="n">
        <v>0</v>
      </c>
      <c r="D1030" t="n">
        <v>923</v>
      </c>
      <c r="E1030" t="s">
        <v>1041</v>
      </c>
      <c r="F1030">
        <f>HYPERLINK("http://pbs.twimg.com/media/DcCrmy2X4AAQS_M.jpg", "http://pbs.twimg.com/media/DcCrmy2X4AAQS_M.jpg")</f>
        <v/>
      </c>
      <c r="G1030" t="s"/>
      <c r="H1030" t="s"/>
      <c r="I1030" t="s"/>
      <c r="J1030" t="n">
        <v>0.4588</v>
      </c>
      <c r="K1030" t="n">
        <v>0</v>
      </c>
      <c r="L1030" t="n">
        <v>0.875</v>
      </c>
      <c r="M1030" t="n">
        <v>0.125</v>
      </c>
    </row>
    <row r="1031" spans="1:13">
      <c r="A1031" s="1">
        <f>HYPERLINK("http://www.twitter.com/NathanBLawrence/status/991107606256156676", "991107606256156676")</f>
        <v/>
      </c>
      <c r="B1031" s="2" t="n">
        <v>43221.00741898148</v>
      </c>
      <c r="C1031" t="n">
        <v>0</v>
      </c>
      <c r="D1031" t="n">
        <v>439</v>
      </c>
      <c r="E1031" t="s">
        <v>1042</v>
      </c>
      <c r="F1031">
        <f>HYPERLINK("http://pbs.twimg.com/media/DcCm_meUQAEskSK.jpg", "http://pbs.twimg.com/media/DcCm_meUQAEskSK.jpg")</f>
        <v/>
      </c>
      <c r="G1031" t="s"/>
      <c r="H1031" t="s"/>
      <c r="I1031" t="s"/>
      <c r="J1031" t="n">
        <v>-0.4588</v>
      </c>
      <c r="K1031" t="n">
        <v>0.111</v>
      </c>
      <c r="L1031" t="n">
        <v>0.889</v>
      </c>
      <c r="M1031" t="n">
        <v>0</v>
      </c>
    </row>
    <row r="1032" spans="1:13">
      <c r="A1032" s="1">
        <f>HYPERLINK("http://www.twitter.com/NathanBLawrence/status/990981459384168448", "990981459384168448")</f>
        <v/>
      </c>
      <c r="B1032" s="2" t="n">
        <v>43220.6593287037</v>
      </c>
      <c r="C1032" t="n">
        <v>0</v>
      </c>
      <c r="D1032" t="n">
        <v>386</v>
      </c>
      <c r="E1032" t="s">
        <v>1043</v>
      </c>
      <c r="F1032">
        <f>HYPERLINK("https://video.twimg.com/ext_tw_video/990122031503949824/pu/vid/1280x720/lNXbYhM7kgTBWnoJ.mp4?tag=3", "https://video.twimg.com/ext_tw_video/990122031503949824/pu/vid/1280x720/lNXbYhM7kgTBWnoJ.mp4?tag=3")</f>
        <v/>
      </c>
      <c r="G1032" t="s"/>
      <c r="H1032" t="s"/>
      <c r="I1032" t="s"/>
      <c r="J1032" t="n">
        <v>0.4927</v>
      </c>
      <c r="K1032" t="n">
        <v>0</v>
      </c>
      <c r="L1032" t="n">
        <v>0.862</v>
      </c>
      <c r="M1032" t="n">
        <v>0.138</v>
      </c>
    </row>
    <row r="1033" spans="1:13">
      <c r="A1033" s="1">
        <f>HYPERLINK("http://www.twitter.com/NathanBLawrence/status/990981264143417346", "990981264143417346")</f>
        <v/>
      </c>
      <c r="B1033" s="2" t="n">
        <v>43220.65878472223</v>
      </c>
      <c r="C1033" t="n">
        <v>0</v>
      </c>
      <c r="D1033" t="n">
        <v>65</v>
      </c>
      <c r="E1033" t="s">
        <v>1044</v>
      </c>
      <c r="F1033">
        <f>HYPERLINK("http://pbs.twimg.com/media/DcCoz51WAAAHYvt.jpg", "http://pbs.twimg.com/media/DcCoz51WAAAHYvt.jpg")</f>
        <v/>
      </c>
      <c r="G1033" t="s"/>
      <c r="H1033" t="s"/>
      <c r="I1033" t="s"/>
      <c r="J1033" t="n">
        <v>0</v>
      </c>
      <c r="K1033" t="n">
        <v>0</v>
      </c>
      <c r="L1033" t="n">
        <v>1</v>
      </c>
      <c r="M1033" t="n">
        <v>0</v>
      </c>
    </row>
    <row r="1034" spans="1:13">
      <c r="A1034" s="1">
        <f>HYPERLINK("http://www.twitter.com/NathanBLawrence/status/990981058232496128", "990981058232496128")</f>
        <v/>
      </c>
      <c r="B1034" s="2" t="n">
        <v>43220.65821759259</v>
      </c>
      <c r="C1034" t="n">
        <v>0</v>
      </c>
      <c r="D1034" t="n">
        <v>8585</v>
      </c>
      <c r="E1034" t="s">
        <v>1045</v>
      </c>
      <c r="F1034">
        <f>HYPERLINK("http://pbs.twimg.com/media/Db7RzmhUwAAgYXc.jpg", "http://pbs.twimg.com/media/Db7RzmhUwAAgYXc.jpg")</f>
        <v/>
      </c>
      <c r="G1034" t="s"/>
      <c r="H1034" t="s"/>
      <c r="I1034" t="s"/>
      <c r="J1034" t="n">
        <v>0.8687</v>
      </c>
      <c r="K1034" t="n">
        <v>0</v>
      </c>
      <c r="L1034" t="n">
        <v>0.648</v>
      </c>
      <c r="M1034" t="n">
        <v>0.352</v>
      </c>
    </row>
    <row r="1035" spans="1:13">
      <c r="A1035" s="1">
        <f>HYPERLINK("http://www.twitter.com/NathanBLawrence/status/990980522166939648", "990980522166939648")</f>
        <v/>
      </c>
      <c r="B1035" s="2" t="n">
        <v>43220.65673611111</v>
      </c>
      <c r="C1035" t="n">
        <v>0</v>
      </c>
      <c r="D1035" t="n">
        <v>2768</v>
      </c>
      <c r="E1035" t="s">
        <v>1046</v>
      </c>
      <c r="F1035" t="s"/>
      <c r="G1035" t="s"/>
      <c r="H1035" t="s"/>
      <c r="I1035" t="s"/>
      <c r="J1035" t="n">
        <v>0.6597</v>
      </c>
      <c r="K1035" t="n">
        <v>0</v>
      </c>
      <c r="L1035" t="n">
        <v>0.779</v>
      </c>
      <c r="M1035" t="n">
        <v>0.221</v>
      </c>
    </row>
    <row r="1036" spans="1:13">
      <c r="A1036" s="1">
        <f>HYPERLINK("http://www.twitter.com/NathanBLawrence/status/990979880211927041", "990979880211927041")</f>
        <v/>
      </c>
      <c r="B1036" s="2" t="n">
        <v>43220.65496527778</v>
      </c>
      <c r="C1036" t="n">
        <v>0</v>
      </c>
      <c r="D1036" t="n">
        <v>782</v>
      </c>
      <c r="E1036" t="s">
        <v>1047</v>
      </c>
      <c r="F1036">
        <f>HYPERLINK("https://video.twimg.com/amplify_video/990962338797948928/vid/1280x720/jCxys53m-K3N2HkR.mp4?tag=2", "https://video.twimg.com/amplify_video/990962338797948928/vid/1280x720/jCxys53m-K3N2HkR.mp4?tag=2")</f>
        <v/>
      </c>
      <c r="G1036" t="s"/>
      <c r="H1036" t="s"/>
      <c r="I1036" t="s"/>
      <c r="J1036" t="n">
        <v>0.4767</v>
      </c>
      <c r="K1036" t="n">
        <v>0.08599999999999999</v>
      </c>
      <c r="L1036" t="n">
        <v>0.706</v>
      </c>
      <c r="M1036" t="n">
        <v>0.208</v>
      </c>
    </row>
    <row r="1037" spans="1:13">
      <c r="A1037" s="1">
        <f>HYPERLINK("http://www.twitter.com/NathanBLawrence/status/990979740285710336", "990979740285710336")</f>
        <v/>
      </c>
      <c r="B1037" s="2" t="n">
        <v>43220.65458333334</v>
      </c>
      <c r="C1037" t="n">
        <v>0</v>
      </c>
      <c r="D1037" t="n">
        <v>71</v>
      </c>
      <c r="E1037" t="s">
        <v>1048</v>
      </c>
      <c r="F1037" t="s"/>
      <c r="G1037" t="s"/>
      <c r="H1037" t="s"/>
      <c r="I1037" t="s"/>
      <c r="J1037" t="n">
        <v>0</v>
      </c>
      <c r="K1037" t="n">
        <v>0</v>
      </c>
      <c r="L1037" t="n">
        <v>1</v>
      </c>
      <c r="M1037" t="n">
        <v>0</v>
      </c>
    </row>
    <row r="1038" spans="1:13">
      <c r="A1038" s="1">
        <f>HYPERLINK("http://www.twitter.com/NathanBLawrence/status/990979670345682944", "990979670345682944")</f>
        <v/>
      </c>
      <c r="B1038" s="2" t="n">
        <v>43220.65438657408</v>
      </c>
      <c r="C1038" t="n">
        <v>0</v>
      </c>
      <c r="D1038" t="n">
        <v>107</v>
      </c>
      <c r="E1038" t="s">
        <v>1049</v>
      </c>
      <c r="F1038" t="s"/>
      <c r="G1038" t="s"/>
      <c r="H1038" t="s"/>
      <c r="I1038" t="s"/>
      <c r="J1038" t="n">
        <v>0.5473</v>
      </c>
      <c r="K1038" t="n">
        <v>0.067</v>
      </c>
      <c r="L1038" t="n">
        <v>0.741</v>
      </c>
      <c r="M1038" t="n">
        <v>0.192</v>
      </c>
    </row>
    <row r="1039" spans="1:13">
      <c r="A1039" s="1">
        <f>HYPERLINK("http://www.twitter.com/NathanBLawrence/status/990979556839514114", "990979556839514114")</f>
        <v/>
      </c>
      <c r="B1039" s="2" t="n">
        <v>43220.65407407407</v>
      </c>
      <c r="C1039" t="n">
        <v>0</v>
      </c>
      <c r="D1039" t="n">
        <v>777</v>
      </c>
      <c r="E1039" t="s">
        <v>1050</v>
      </c>
      <c r="F1039">
        <f>HYPERLINK("http://pbs.twimg.com/media/DcCTUrtV4AAy2rA.jpg", "http://pbs.twimg.com/media/DcCTUrtV4AAy2rA.jpg")</f>
        <v/>
      </c>
      <c r="G1039" t="s"/>
      <c r="H1039" t="s"/>
      <c r="I1039" t="s"/>
      <c r="J1039" t="n">
        <v>0.6369</v>
      </c>
      <c r="K1039" t="n">
        <v>0</v>
      </c>
      <c r="L1039" t="n">
        <v>0.625</v>
      </c>
      <c r="M1039" t="n">
        <v>0.375</v>
      </c>
    </row>
    <row r="1040" spans="1:13">
      <c r="A1040" s="1">
        <f>HYPERLINK("http://www.twitter.com/NathanBLawrence/status/990979028613033984", "990979028613033984")</f>
        <v/>
      </c>
      <c r="B1040" s="2" t="n">
        <v>43220.65261574074</v>
      </c>
      <c r="C1040" t="n">
        <v>0</v>
      </c>
      <c r="D1040" t="n">
        <v>220</v>
      </c>
      <c r="E1040" t="s">
        <v>1051</v>
      </c>
      <c r="F1040" t="s"/>
      <c r="G1040" t="s"/>
      <c r="H1040" t="s"/>
      <c r="I1040" t="s"/>
      <c r="J1040" t="n">
        <v>0.25</v>
      </c>
      <c r="K1040" t="n">
        <v>0</v>
      </c>
      <c r="L1040" t="n">
        <v>0.917</v>
      </c>
      <c r="M1040" t="n">
        <v>0.083</v>
      </c>
    </row>
    <row r="1041" spans="1:13">
      <c r="A1041" s="1">
        <f>HYPERLINK("http://www.twitter.com/NathanBLawrence/status/990978812904202241", "990978812904202241")</f>
        <v/>
      </c>
      <c r="B1041" s="2" t="n">
        <v>43220.65202546296</v>
      </c>
      <c r="C1041" t="n">
        <v>0</v>
      </c>
      <c r="D1041" t="n">
        <v>1</v>
      </c>
      <c r="E1041" t="s">
        <v>1052</v>
      </c>
      <c r="F1041">
        <f>HYPERLINK("http://pbs.twimg.com/media/DcCmtJYUwAYVN_6.jpg", "http://pbs.twimg.com/media/DcCmtJYUwAYVN_6.jpg")</f>
        <v/>
      </c>
      <c r="G1041" t="s"/>
      <c r="H1041" t="s"/>
      <c r="I1041" t="s"/>
      <c r="J1041" t="n">
        <v>0</v>
      </c>
      <c r="K1041" t="n">
        <v>0</v>
      </c>
      <c r="L1041" t="n">
        <v>1</v>
      </c>
      <c r="M1041" t="n">
        <v>0</v>
      </c>
    </row>
    <row r="1042" spans="1:13">
      <c r="A1042" s="1">
        <f>HYPERLINK("http://www.twitter.com/NathanBLawrence/status/990978617063755779", "990978617063755779")</f>
        <v/>
      </c>
      <c r="B1042" s="2" t="n">
        <v>43220.65148148148</v>
      </c>
      <c r="C1042" t="n">
        <v>0</v>
      </c>
      <c r="D1042" t="n">
        <v>10175</v>
      </c>
      <c r="E1042" t="s">
        <v>1053</v>
      </c>
      <c r="F1042" t="s"/>
      <c r="G1042" t="s"/>
      <c r="H1042" t="s"/>
      <c r="I1042" t="s"/>
      <c r="J1042" t="n">
        <v>0</v>
      </c>
      <c r="K1042" t="n">
        <v>0</v>
      </c>
      <c r="L1042" t="n">
        <v>1</v>
      </c>
      <c r="M1042" t="n">
        <v>0</v>
      </c>
    </row>
    <row r="1043" spans="1:13">
      <c r="A1043" s="1">
        <f>HYPERLINK("http://www.twitter.com/NathanBLawrence/status/990977806631882752", "990977806631882752")</f>
        <v/>
      </c>
      <c r="B1043" s="2" t="n">
        <v>43220.64924768519</v>
      </c>
      <c r="C1043" t="n">
        <v>0</v>
      </c>
      <c r="D1043" t="n">
        <v>35</v>
      </c>
      <c r="E1043" t="s">
        <v>1054</v>
      </c>
      <c r="F1043" t="s"/>
      <c r="G1043" t="s"/>
      <c r="H1043" t="s"/>
      <c r="I1043" t="s"/>
      <c r="J1043" t="n">
        <v>-0.4522</v>
      </c>
      <c r="K1043" t="n">
        <v>0.135</v>
      </c>
      <c r="L1043" t="n">
        <v>0.865</v>
      </c>
      <c r="M1043" t="n">
        <v>0</v>
      </c>
    </row>
    <row r="1044" spans="1:13">
      <c r="A1044" s="1">
        <f>HYPERLINK("http://www.twitter.com/NathanBLawrence/status/990974783272771586", "990974783272771586")</f>
        <v/>
      </c>
      <c r="B1044" s="2" t="n">
        <v>43220.64090277778</v>
      </c>
      <c r="C1044" t="n">
        <v>0</v>
      </c>
      <c r="D1044" t="n">
        <v>19</v>
      </c>
      <c r="E1044" t="s">
        <v>1055</v>
      </c>
      <c r="F1044" t="s"/>
      <c r="G1044" t="s"/>
      <c r="H1044" t="s"/>
      <c r="I1044" t="s"/>
      <c r="J1044" t="n">
        <v>0.5859</v>
      </c>
      <c r="K1044" t="n">
        <v>0</v>
      </c>
      <c r="L1044" t="n">
        <v>0.868</v>
      </c>
      <c r="M1044" t="n">
        <v>0.132</v>
      </c>
    </row>
    <row r="1045" spans="1:13">
      <c r="A1045" s="1">
        <f>HYPERLINK("http://www.twitter.com/NathanBLawrence/status/990973697572966400", "990973697572966400")</f>
        <v/>
      </c>
      <c r="B1045" s="2" t="n">
        <v>43220.63790509259</v>
      </c>
      <c r="C1045" t="n">
        <v>0</v>
      </c>
      <c r="D1045" t="n">
        <v>2290</v>
      </c>
      <c r="E1045" t="s">
        <v>1056</v>
      </c>
      <c r="F1045" t="s"/>
      <c r="G1045" t="s"/>
      <c r="H1045" t="s"/>
      <c r="I1045" t="s"/>
      <c r="J1045" t="n">
        <v>-0.7269</v>
      </c>
      <c r="K1045" t="n">
        <v>0.319</v>
      </c>
      <c r="L1045" t="n">
        <v>0.681</v>
      </c>
      <c r="M1045" t="n">
        <v>0</v>
      </c>
    </row>
    <row r="1046" spans="1:13">
      <c r="A1046" s="1">
        <f>HYPERLINK("http://www.twitter.com/NathanBLawrence/status/990973107400859648", "990973107400859648")</f>
        <v/>
      </c>
      <c r="B1046" s="2" t="n">
        <v>43220.63627314815</v>
      </c>
      <c r="C1046" t="n">
        <v>0</v>
      </c>
      <c r="D1046" t="n">
        <v>445</v>
      </c>
      <c r="E1046" t="s">
        <v>1057</v>
      </c>
      <c r="F1046">
        <f>HYPERLINK("https://video.twimg.com/ext_tw_video/990656618311376896/pu/vid/1280x720/Mm7A5vAvkhnwlBni.mp4?tag=3", "https://video.twimg.com/ext_tw_video/990656618311376896/pu/vid/1280x720/Mm7A5vAvkhnwlBni.mp4?tag=3")</f>
        <v/>
      </c>
      <c r="G1046" t="s"/>
      <c r="H1046" t="s"/>
      <c r="I1046" t="s"/>
      <c r="J1046" t="n">
        <v>-0.7096</v>
      </c>
      <c r="K1046" t="n">
        <v>0.305</v>
      </c>
      <c r="L1046" t="n">
        <v>0.695</v>
      </c>
      <c r="M1046" t="n">
        <v>0</v>
      </c>
    </row>
    <row r="1047" spans="1:13">
      <c r="A1047" s="1">
        <f>HYPERLINK("http://www.twitter.com/NathanBLawrence/status/990973005026209792", "990973005026209792")</f>
        <v/>
      </c>
      <c r="B1047" s="2" t="n">
        <v>43220.63599537037</v>
      </c>
      <c r="C1047" t="n">
        <v>0</v>
      </c>
      <c r="D1047" t="n">
        <v>1869</v>
      </c>
      <c r="E1047" t="s">
        <v>1058</v>
      </c>
      <c r="F1047" t="s"/>
      <c r="G1047" t="s"/>
      <c r="H1047" t="s"/>
      <c r="I1047" t="s"/>
      <c r="J1047" t="n">
        <v>0.7906</v>
      </c>
      <c r="K1047" t="n">
        <v>0</v>
      </c>
      <c r="L1047" t="n">
        <v>0.759</v>
      </c>
      <c r="M1047" t="n">
        <v>0.241</v>
      </c>
    </row>
    <row r="1048" spans="1:13">
      <c r="A1048" s="1">
        <f>HYPERLINK("http://www.twitter.com/NathanBLawrence/status/990972955474694145", "990972955474694145")</f>
        <v/>
      </c>
      <c r="B1048" s="2" t="n">
        <v>43220.63585648148</v>
      </c>
      <c r="C1048" t="n">
        <v>0</v>
      </c>
      <c r="D1048" t="n">
        <v>777</v>
      </c>
      <c r="E1048" t="s">
        <v>1059</v>
      </c>
      <c r="F1048" t="s"/>
      <c r="G1048" t="s"/>
      <c r="H1048" t="s"/>
      <c r="I1048" t="s"/>
      <c r="J1048" t="n">
        <v>0</v>
      </c>
      <c r="K1048" t="n">
        <v>0</v>
      </c>
      <c r="L1048" t="n">
        <v>1</v>
      </c>
      <c r="M1048" t="n">
        <v>0</v>
      </c>
    </row>
    <row r="1049" spans="1:13">
      <c r="A1049" s="1">
        <f>HYPERLINK("http://www.twitter.com/NathanBLawrence/status/990972917189152770", "990972917189152770")</f>
        <v/>
      </c>
      <c r="B1049" s="2" t="n">
        <v>43220.63575231482</v>
      </c>
      <c r="C1049" t="n">
        <v>0</v>
      </c>
      <c r="D1049" t="n">
        <v>1937</v>
      </c>
      <c r="E1049" t="s">
        <v>1060</v>
      </c>
      <c r="F1049">
        <f>HYPERLINK("https://video.twimg.com/ext_tw_video/989652103197933568/pu/vid/240x240/svQS7NbQV_mTISv7.mp4?tag=3", "https://video.twimg.com/ext_tw_video/989652103197933568/pu/vid/240x240/svQS7NbQV_mTISv7.mp4?tag=3")</f>
        <v/>
      </c>
      <c r="G1049" t="s"/>
      <c r="H1049" t="s"/>
      <c r="I1049" t="s"/>
      <c r="J1049" t="n">
        <v>0.6166</v>
      </c>
      <c r="K1049" t="n">
        <v>0.096</v>
      </c>
      <c r="L1049" t="n">
        <v>0.605</v>
      </c>
      <c r="M1049" t="n">
        <v>0.299</v>
      </c>
    </row>
    <row r="1050" spans="1:13">
      <c r="A1050" s="1">
        <f>HYPERLINK("http://www.twitter.com/NathanBLawrence/status/990972425339797504", "990972425339797504")</f>
        <v/>
      </c>
      <c r="B1050" s="2" t="n">
        <v>43220.63439814815</v>
      </c>
      <c r="C1050" t="n">
        <v>0</v>
      </c>
      <c r="D1050" t="n">
        <v>4</v>
      </c>
      <c r="E1050" t="s">
        <v>1061</v>
      </c>
      <c r="F1050" t="s"/>
      <c r="G1050" t="s"/>
      <c r="H1050" t="s"/>
      <c r="I1050" t="s"/>
      <c r="J1050" t="n">
        <v>-0.5574</v>
      </c>
      <c r="K1050" t="n">
        <v>0.204</v>
      </c>
      <c r="L1050" t="n">
        <v>0.796</v>
      </c>
      <c r="M1050" t="n">
        <v>0</v>
      </c>
    </row>
    <row r="1051" spans="1:13">
      <c r="A1051" s="1">
        <f>HYPERLINK("http://www.twitter.com/NathanBLawrence/status/990970745894440960", "990970745894440960")</f>
        <v/>
      </c>
      <c r="B1051" s="2" t="n">
        <v>43220.62975694444</v>
      </c>
      <c r="C1051" t="n">
        <v>0</v>
      </c>
      <c r="D1051" t="n">
        <v>3035</v>
      </c>
      <c r="E1051" t="s">
        <v>1062</v>
      </c>
      <c r="F1051" t="s"/>
      <c r="G1051" t="s"/>
      <c r="H1051" t="s"/>
      <c r="I1051" t="s"/>
      <c r="J1051" t="n">
        <v>0</v>
      </c>
      <c r="K1051" t="n">
        <v>0</v>
      </c>
      <c r="L1051" t="n">
        <v>1</v>
      </c>
      <c r="M1051" t="n">
        <v>0</v>
      </c>
    </row>
    <row r="1052" spans="1:13">
      <c r="A1052" s="1">
        <f>HYPERLINK("http://www.twitter.com/NathanBLawrence/status/990970392595587072", "990970392595587072")</f>
        <v/>
      </c>
      <c r="B1052" s="2" t="n">
        <v>43220.62878472222</v>
      </c>
      <c r="C1052" t="n">
        <v>0</v>
      </c>
      <c r="D1052" t="n">
        <v>4488</v>
      </c>
      <c r="E1052" t="s">
        <v>1063</v>
      </c>
      <c r="F1052" t="s"/>
      <c r="G1052" t="s"/>
      <c r="H1052" t="s"/>
      <c r="I1052" t="s"/>
      <c r="J1052" t="n">
        <v>0</v>
      </c>
      <c r="K1052" t="n">
        <v>0</v>
      </c>
      <c r="L1052" t="n">
        <v>1</v>
      </c>
      <c r="M1052" t="n">
        <v>0</v>
      </c>
    </row>
    <row r="1053" spans="1:13">
      <c r="A1053" s="1">
        <f>HYPERLINK("http://www.twitter.com/NathanBLawrence/status/990969948347486208", "990969948347486208")</f>
        <v/>
      </c>
      <c r="B1053" s="2" t="n">
        <v>43220.62755787037</v>
      </c>
      <c r="C1053" t="n">
        <v>0</v>
      </c>
      <c r="D1053" t="n">
        <v>186</v>
      </c>
      <c r="E1053" t="s">
        <v>1064</v>
      </c>
      <c r="F1053" t="s"/>
      <c r="G1053" t="s"/>
      <c r="H1053" t="s"/>
      <c r="I1053" t="s"/>
      <c r="J1053" t="n">
        <v>-0.2263</v>
      </c>
      <c r="K1053" t="n">
        <v>0.142</v>
      </c>
      <c r="L1053" t="n">
        <v>0.751</v>
      </c>
      <c r="M1053" t="n">
        <v>0.107</v>
      </c>
    </row>
    <row r="1054" spans="1:13">
      <c r="A1054" s="1">
        <f>HYPERLINK("http://www.twitter.com/NathanBLawrence/status/990969880466735104", "990969880466735104")</f>
        <v/>
      </c>
      <c r="B1054" s="2" t="n">
        <v>43220.62737268519</v>
      </c>
      <c r="C1054" t="n">
        <v>0</v>
      </c>
      <c r="D1054" t="n">
        <v>708</v>
      </c>
      <c r="E1054" t="s">
        <v>1065</v>
      </c>
      <c r="F1054" t="s"/>
      <c r="G1054" t="s"/>
      <c r="H1054" t="s"/>
      <c r="I1054" t="s"/>
      <c r="J1054" t="n">
        <v>0.7088</v>
      </c>
      <c r="K1054" t="n">
        <v>0</v>
      </c>
      <c r="L1054" t="n">
        <v>0.731</v>
      </c>
      <c r="M1054" t="n">
        <v>0.269</v>
      </c>
    </row>
    <row r="1055" spans="1:13">
      <c r="A1055" s="1">
        <f>HYPERLINK("http://www.twitter.com/NathanBLawrence/status/990969369651044352", "990969369651044352")</f>
        <v/>
      </c>
      <c r="B1055" s="2" t="n">
        <v>43220.62596064815</v>
      </c>
      <c r="C1055" t="n">
        <v>0</v>
      </c>
      <c r="D1055" t="n">
        <v>997</v>
      </c>
      <c r="E1055" t="s">
        <v>1066</v>
      </c>
      <c r="F1055" t="s"/>
      <c r="G1055" t="s"/>
      <c r="H1055" t="s"/>
      <c r="I1055" t="s"/>
      <c r="J1055" t="n">
        <v>0</v>
      </c>
      <c r="K1055" t="n">
        <v>0</v>
      </c>
      <c r="L1055" t="n">
        <v>1</v>
      </c>
      <c r="M1055" t="n">
        <v>0</v>
      </c>
    </row>
    <row r="1056" spans="1:13">
      <c r="A1056" s="1">
        <f>HYPERLINK("http://www.twitter.com/NathanBLawrence/status/990968958365913089", "990968958365913089")</f>
        <v/>
      </c>
      <c r="B1056" s="2" t="n">
        <v>43220.62482638889</v>
      </c>
      <c r="C1056" t="n">
        <v>0</v>
      </c>
      <c r="D1056" t="n">
        <v>2109</v>
      </c>
      <c r="E1056" t="s">
        <v>1067</v>
      </c>
      <c r="F1056" t="s"/>
      <c r="G1056" t="s"/>
      <c r="H1056" t="s"/>
      <c r="I1056" t="s"/>
      <c r="J1056" t="n">
        <v>0.5859</v>
      </c>
      <c r="K1056" t="n">
        <v>0</v>
      </c>
      <c r="L1056" t="n">
        <v>0.806</v>
      </c>
      <c r="M1056" t="n">
        <v>0.194</v>
      </c>
    </row>
    <row r="1057" spans="1:13">
      <c r="A1057" s="1">
        <f>HYPERLINK("http://www.twitter.com/NathanBLawrence/status/990968781483671553", "990968781483671553")</f>
        <v/>
      </c>
      <c r="B1057" s="2" t="n">
        <v>43220.62434027778</v>
      </c>
      <c r="C1057" t="n">
        <v>0</v>
      </c>
      <c r="D1057" t="n">
        <v>1498</v>
      </c>
      <c r="E1057" t="s">
        <v>1068</v>
      </c>
      <c r="F1057" t="s"/>
      <c r="G1057" t="s"/>
      <c r="H1057" t="s"/>
      <c r="I1057" t="s"/>
      <c r="J1057" t="n">
        <v>0.2709</v>
      </c>
      <c r="K1057" t="n">
        <v>0.083</v>
      </c>
      <c r="L1057" t="n">
        <v>0.751</v>
      </c>
      <c r="M1057" t="n">
        <v>0.166</v>
      </c>
    </row>
    <row r="1058" spans="1:13">
      <c r="A1058" s="1">
        <f>HYPERLINK("http://www.twitter.com/NathanBLawrence/status/990968693495615488", "990968693495615488")</f>
        <v/>
      </c>
      <c r="B1058" s="2" t="n">
        <v>43220.62409722222</v>
      </c>
      <c r="C1058" t="n">
        <v>0</v>
      </c>
      <c r="D1058" t="n">
        <v>28</v>
      </c>
      <c r="E1058" t="s">
        <v>1069</v>
      </c>
      <c r="F1058">
        <f>HYPERLINK("http://pbs.twimg.com/media/DcCMpv9XkAAdFWK.jpg", "http://pbs.twimg.com/media/DcCMpv9XkAAdFWK.jpg")</f>
        <v/>
      </c>
      <c r="G1058" t="s"/>
      <c r="H1058" t="s"/>
      <c r="I1058" t="s"/>
      <c r="J1058" t="n">
        <v>0</v>
      </c>
      <c r="K1058" t="n">
        <v>0</v>
      </c>
      <c r="L1058" t="n">
        <v>1</v>
      </c>
      <c r="M1058" t="n">
        <v>0</v>
      </c>
    </row>
    <row r="1059" spans="1:13">
      <c r="A1059" s="1">
        <f>HYPERLINK("http://www.twitter.com/NathanBLawrence/status/990968620376313859", "990968620376313859")</f>
        <v/>
      </c>
      <c r="B1059" s="2" t="n">
        <v>43220.62390046296</v>
      </c>
      <c r="C1059" t="n">
        <v>0</v>
      </c>
      <c r="D1059" t="n">
        <v>81</v>
      </c>
      <c r="E1059" t="s">
        <v>1070</v>
      </c>
      <c r="F1059">
        <f>HYPERLINK("http://pbs.twimg.com/media/DcBy9PyU0AIeVio.jpg", "http://pbs.twimg.com/media/DcBy9PyU0AIeVio.jpg")</f>
        <v/>
      </c>
      <c r="G1059" t="s"/>
      <c r="H1059" t="s"/>
      <c r="I1059" t="s"/>
      <c r="J1059" t="n">
        <v>0.92</v>
      </c>
      <c r="K1059" t="n">
        <v>0</v>
      </c>
      <c r="L1059" t="n">
        <v>0.516</v>
      </c>
      <c r="M1059" t="n">
        <v>0.484</v>
      </c>
    </row>
    <row r="1060" spans="1:13">
      <c r="A1060" s="1">
        <f>HYPERLINK("http://www.twitter.com/NathanBLawrence/status/990967981747433472", "990967981747433472")</f>
        <v/>
      </c>
      <c r="B1060" s="2" t="n">
        <v>43220.62212962963</v>
      </c>
      <c r="C1060" t="n">
        <v>0</v>
      </c>
      <c r="D1060" t="n">
        <v>693</v>
      </c>
      <c r="E1060" t="s">
        <v>1071</v>
      </c>
      <c r="F1060" t="s"/>
      <c r="G1060" t="s"/>
      <c r="H1060" t="s"/>
      <c r="I1060" t="s"/>
      <c r="J1060" t="n">
        <v>-0.7531</v>
      </c>
      <c r="K1060" t="n">
        <v>0.253</v>
      </c>
      <c r="L1060" t="n">
        <v>0.747</v>
      </c>
      <c r="M1060" t="n">
        <v>0</v>
      </c>
    </row>
    <row r="1061" spans="1:13">
      <c r="A1061" s="1">
        <f>HYPERLINK("http://www.twitter.com/NathanBLawrence/status/990967868790575105", "990967868790575105")</f>
        <v/>
      </c>
      <c r="B1061" s="2" t="n">
        <v>43220.62181712963</v>
      </c>
      <c r="C1061" t="n">
        <v>0</v>
      </c>
      <c r="D1061" t="n">
        <v>1</v>
      </c>
      <c r="E1061" t="s">
        <v>1072</v>
      </c>
      <c r="F1061" t="s"/>
      <c r="G1061" t="s"/>
      <c r="H1061" t="s"/>
      <c r="I1061" t="s"/>
      <c r="J1061" t="n">
        <v>0.6114000000000001</v>
      </c>
      <c r="K1061" t="n">
        <v>0</v>
      </c>
      <c r="L1061" t="n">
        <v>0.867</v>
      </c>
      <c r="M1061" t="n">
        <v>0.133</v>
      </c>
    </row>
    <row r="1062" spans="1:13">
      <c r="A1062" s="1">
        <f>HYPERLINK("http://www.twitter.com/NathanBLawrence/status/990967770992009217", "990967770992009217")</f>
        <v/>
      </c>
      <c r="B1062" s="2" t="n">
        <v>43220.62155092593</v>
      </c>
      <c r="C1062" t="n">
        <v>0</v>
      </c>
      <c r="D1062" t="n">
        <v>1347</v>
      </c>
      <c r="E1062" t="s">
        <v>1073</v>
      </c>
      <c r="F1062" t="s"/>
      <c r="G1062" t="s"/>
      <c r="H1062" t="s"/>
      <c r="I1062" t="s"/>
      <c r="J1062" t="n">
        <v>0.6249</v>
      </c>
      <c r="K1062" t="n">
        <v>0.132</v>
      </c>
      <c r="L1062" t="n">
        <v>0.623</v>
      </c>
      <c r="M1062" t="n">
        <v>0.245</v>
      </c>
    </row>
    <row r="1063" spans="1:13">
      <c r="A1063" s="1">
        <f>HYPERLINK("http://www.twitter.com/NathanBLawrence/status/990946222822383616", "990946222822383616")</f>
        <v/>
      </c>
      <c r="B1063" s="2" t="n">
        <v>43220.56209490741</v>
      </c>
      <c r="C1063" t="n">
        <v>0</v>
      </c>
      <c r="D1063" t="n">
        <v>4</v>
      </c>
      <c r="E1063" t="s">
        <v>1074</v>
      </c>
      <c r="F1063">
        <f>HYPERLINK("http://pbs.twimg.com/media/DcCIMCoXkAMh9Yn.jpg", "http://pbs.twimg.com/media/DcCIMCoXkAMh9Yn.jpg")</f>
        <v/>
      </c>
      <c r="G1063" t="s"/>
      <c r="H1063" t="s"/>
      <c r="I1063" t="s"/>
      <c r="J1063" t="n">
        <v>0</v>
      </c>
      <c r="K1063" t="n">
        <v>0</v>
      </c>
      <c r="L1063" t="n">
        <v>1</v>
      </c>
      <c r="M1063" t="n">
        <v>0</v>
      </c>
    </row>
    <row r="1064" spans="1:13">
      <c r="A1064" s="1">
        <f>HYPERLINK("http://www.twitter.com/NathanBLawrence/status/990943113467310081", "990943113467310081")</f>
        <v/>
      </c>
      <c r="B1064" s="2" t="n">
        <v>43220.55350694444</v>
      </c>
      <c r="C1064" t="n">
        <v>0</v>
      </c>
      <c r="D1064" t="n">
        <v>973</v>
      </c>
      <c r="E1064" t="s">
        <v>1075</v>
      </c>
      <c r="F1064">
        <f>HYPERLINK("http://pbs.twimg.com/media/DcCBXUIVQAE2V36.jpg", "http://pbs.twimg.com/media/DcCBXUIVQAE2V36.jpg")</f>
        <v/>
      </c>
      <c r="G1064" t="s"/>
      <c r="H1064" t="s"/>
      <c r="I1064" t="s"/>
      <c r="J1064" t="n">
        <v>0.5848</v>
      </c>
      <c r="K1064" t="n">
        <v>0</v>
      </c>
      <c r="L1064" t="n">
        <v>0.77</v>
      </c>
      <c r="M1064" t="n">
        <v>0.23</v>
      </c>
    </row>
    <row r="1065" spans="1:13">
      <c r="A1065" s="1">
        <f>HYPERLINK("http://www.twitter.com/NathanBLawrence/status/990938877484511232", "990938877484511232")</f>
        <v/>
      </c>
      <c r="B1065" s="2" t="n">
        <v>43220.54181712963</v>
      </c>
      <c r="C1065" t="n">
        <v>0</v>
      </c>
      <c r="D1065" t="n">
        <v>476</v>
      </c>
      <c r="E1065" t="s">
        <v>1076</v>
      </c>
      <c r="F1065">
        <f>HYPERLINK("http://pbs.twimg.com/media/DcB_20OVMAAsIhb.jpg", "http://pbs.twimg.com/media/DcB_20OVMAAsIhb.jpg")</f>
        <v/>
      </c>
      <c r="G1065" t="s"/>
      <c r="H1065" t="s"/>
      <c r="I1065" t="s"/>
      <c r="J1065" t="n">
        <v>0.34</v>
      </c>
      <c r="K1065" t="n">
        <v>0</v>
      </c>
      <c r="L1065" t="n">
        <v>0.888</v>
      </c>
      <c r="M1065" t="n">
        <v>0.112</v>
      </c>
    </row>
    <row r="1066" spans="1:13">
      <c r="A1066" s="1">
        <f>HYPERLINK("http://www.twitter.com/NathanBLawrence/status/990938226683731968", "990938226683731968")</f>
        <v/>
      </c>
      <c r="B1066" s="2" t="n">
        <v>43220.54002314815</v>
      </c>
      <c r="C1066" t="n">
        <v>0</v>
      </c>
      <c r="D1066" t="n">
        <v>2321</v>
      </c>
      <c r="E1066" t="s">
        <v>1077</v>
      </c>
      <c r="F1066" t="s"/>
      <c r="G1066" t="s"/>
      <c r="H1066" t="s"/>
      <c r="I1066" t="s"/>
      <c r="J1066" t="n">
        <v>-0.34</v>
      </c>
      <c r="K1066" t="n">
        <v>0.139</v>
      </c>
      <c r="L1066" t="n">
        <v>0.779</v>
      </c>
      <c r="M1066" t="n">
        <v>0.082</v>
      </c>
    </row>
    <row r="1067" spans="1:13">
      <c r="A1067" s="1">
        <f>HYPERLINK("http://www.twitter.com/NathanBLawrence/status/990937871002587136", "990937871002587136")</f>
        <v/>
      </c>
      <c r="B1067" s="2" t="n">
        <v>43220.53903935185</v>
      </c>
      <c r="C1067" t="n">
        <v>0</v>
      </c>
      <c r="D1067" t="n">
        <v>215</v>
      </c>
      <c r="E1067" t="s">
        <v>1078</v>
      </c>
      <c r="F1067">
        <f>HYPERLINK("https://video.twimg.com/ext_tw_video/990719362234396672/pu/vid/1280x720/6Qs4C-4ZMv_1WL84.mp4?tag=3", "https://video.twimg.com/ext_tw_video/990719362234396672/pu/vid/1280x720/6Qs4C-4ZMv_1WL84.mp4?tag=3")</f>
        <v/>
      </c>
      <c r="G1067" t="s"/>
      <c r="H1067" t="s"/>
      <c r="I1067" t="s"/>
      <c r="J1067" t="n">
        <v>0.4404</v>
      </c>
      <c r="K1067" t="n">
        <v>0.098</v>
      </c>
      <c r="L1067" t="n">
        <v>0.702</v>
      </c>
      <c r="M1067" t="n">
        <v>0.2</v>
      </c>
    </row>
    <row r="1068" spans="1:13">
      <c r="A1068" s="1">
        <f>HYPERLINK("http://www.twitter.com/NathanBLawrence/status/990933719430156288", "990933719430156288")</f>
        <v/>
      </c>
      <c r="B1068" s="2" t="n">
        <v>43220.5275925926</v>
      </c>
      <c r="C1068" t="n">
        <v>0</v>
      </c>
      <c r="D1068" t="n">
        <v>1902</v>
      </c>
      <c r="E1068" t="s">
        <v>1079</v>
      </c>
      <c r="F1068">
        <f>HYPERLINK("http://pbs.twimg.com/media/DcBzVp6U0AARHFG.jpg", "http://pbs.twimg.com/media/DcBzVp6U0AARHFG.jpg")</f>
        <v/>
      </c>
      <c r="G1068" t="s"/>
      <c r="H1068" t="s"/>
      <c r="I1068" t="s"/>
      <c r="J1068" t="n">
        <v>0.6588000000000001</v>
      </c>
      <c r="K1068" t="n">
        <v>0</v>
      </c>
      <c r="L1068" t="n">
        <v>0.774</v>
      </c>
      <c r="M1068" t="n">
        <v>0.226</v>
      </c>
    </row>
    <row r="1069" spans="1:13">
      <c r="A1069" s="1">
        <f>HYPERLINK("http://www.twitter.com/NathanBLawrence/status/990801058183172096", "990801058183172096")</f>
        <v/>
      </c>
      <c r="B1069" s="2" t="n">
        <v>43220.16151620371</v>
      </c>
      <c r="C1069" t="n">
        <v>0</v>
      </c>
      <c r="D1069" t="n">
        <v>22841</v>
      </c>
      <c r="E1069" t="s">
        <v>1080</v>
      </c>
      <c r="F1069" t="s"/>
      <c r="G1069" t="s"/>
      <c r="H1069" t="s"/>
      <c r="I1069" t="s"/>
      <c r="J1069" t="n">
        <v>-0.7184</v>
      </c>
      <c r="K1069" t="n">
        <v>0.25</v>
      </c>
      <c r="L1069" t="n">
        <v>0.75</v>
      </c>
      <c r="M1069" t="n">
        <v>0</v>
      </c>
    </row>
    <row r="1070" spans="1:13">
      <c r="A1070" s="1">
        <f>HYPERLINK("http://www.twitter.com/NathanBLawrence/status/990798861206740992", "990798861206740992")</f>
        <v/>
      </c>
      <c r="B1070" s="2" t="n">
        <v>43220.15545138889</v>
      </c>
      <c r="C1070" t="n">
        <v>0</v>
      </c>
      <c r="D1070" t="n">
        <v>449</v>
      </c>
      <c r="E1070" t="s">
        <v>1081</v>
      </c>
      <c r="F1070">
        <f>HYPERLINK("http://pbs.twimg.com/media/Db9_o0TU0AAMBPk.jpg", "http://pbs.twimg.com/media/Db9_o0TU0AAMBPk.jpg")</f>
        <v/>
      </c>
      <c r="G1070" t="s"/>
      <c r="H1070" t="s"/>
      <c r="I1070" t="s"/>
      <c r="J1070" t="n">
        <v>0</v>
      </c>
      <c r="K1070" t="n">
        <v>0</v>
      </c>
      <c r="L1070" t="n">
        <v>1</v>
      </c>
      <c r="M1070" t="n">
        <v>0</v>
      </c>
    </row>
    <row r="1071" spans="1:13">
      <c r="A1071" s="1">
        <f>HYPERLINK("http://www.twitter.com/NathanBLawrence/status/990798397354532867", "990798397354532867")</f>
        <v/>
      </c>
      <c r="B1071" s="2" t="n">
        <v>43220.15416666667</v>
      </c>
      <c r="C1071" t="n">
        <v>0</v>
      </c>
      <c r="D1071" t="n">
        <v>146</v>
      </c>
      <c r="E1071" t="s">
        <v>1082</v>
      </c>
      <c r="F1071" t="s"/>
      <c r="G1071" t="s"/>
      <c r="H1071" t="s"/>
      <c r="I1071" t="s"/>
      <c r="J1071" t="n">
        <v>0.128</v>
      </c>
      <c r="K1071" t="n">
        <v>0.153</v>
      </c>
      <c r="L1071" t="n">
        <v>0.67</v>
      </c>
      <c r="M1071" t="n">
        <v>0.177</v>
      </c>
    </row>
    <row r="1072" spans="1:13">
      <c r="A1072" s="1">
        <f>HYPERLINK("http://www.twitter.com/NathanBLawrence/status/990798078016937984", "990798078016937984")</f>
        <v/>
      </c>
      <c r="B1072" s="2" t="n">
        <v>43220.15328703704</v>
      </c>
      <c r="C1072" t="n">
        <v>0</v>
      </c>
      <c r="D1072" t="n">
        <v>13756</v>
      </c>
      <c r="E1072" t="s">
        <v>1083</v>
      </c>
      <c r="F1072" t="s"/>
      <c r="G1072" t="s"/>
      <c r="H1072" t="s"/>
      <c r="I1072" t="s"/>
      <c r="J1072" t="n">
        <v>0.4003</v>
      </c>
      <c r="K1072" t="n">
        <v>0.158</v>
      </c>
      <c r="L1072" t="n">
        <v>0.586</v>
      </c>
      <c r="M1072" t="n">
        <v>0.256</v>
      </c>
    </row>
    <row r="1073" spans="1:13">
      <c r="A1073" s="1">
        <f>HYPERLINK("http://www.twitter.com/NathanBLawrence/status/990759750395625473", "990759750395625473")</f>
        <v/>
      </c>
      <c r="B1073" s="2" t="n">
        <v>43220.04752314815</v>
      </c>
      <c r="C1073" t="n">
        <v>0</v>
      </c>
      <c r="D1073" t="n">
        <v>2550</v>
      </c>
      <c r="E1073" t="s">
        <v>1084</v>
      </c>
      <c r="F1073" t="s"/>
      <c r="G1073" t="s"/>
      <c r="H1073" t="s"/>
      <c r="I1073" t="s"/>
      <c r="J1073" t="n">
        <v>-0.4588</v>
      </c>
      <c r="K1073" t="n">
        <v>0.154</v>
      </c>
      <c r="L1073" t="n">
        <v>0.846</v>
      </c>
      <c r="M1073" t="n">
        <v>0</v>
      </c>
    </row>
    <row r="1074" spans="1:13">
      <c r="A1074" s="1">
        <f>HYPERLINK("http://www.twitter.com/NathanBLawrence/status/990759500184506368", "990759500184506368")</f>
        <v/>
      </c>
      <c r="B1074" s="2" t="n">
        <v>43220.0468287037</v>
      </c>
      <c r="C1074" t="n">
        <v>0</v>
      </c>
      <c r="D1074" t="n">
        <v>4</v>
      </c>
      <c r="E1074" t="s">
        <v>1085</v>
      </c>
      <c r="F1074" t="s"/>
      <c r="G1074" t="s"/>
      <c r="H1074" t="s"/>
      <c r="I1074" t="s"/>
      <c r="J1074" t="n">
        <v>0</v>
      </c>
      <c r="K1074" t="n">
        <v>0</v>
      </c>
      <c r="L1074" t="n">
        <v>1</v>
      </c>
      <c r="M1074" t="n">
        <v>0</v>
      </c>
    </row>
    <row r="1075" spans="1:13">
      <c r="A1075" s="1">
        <f>HYPERLINK("http://www.twitter.com/NathanBLawrence/status/990759133195489280", "990759133195489280")</f>
        <v/>
      </c>
      <c r="B1075" s="2" t="n">
        <v>43220.04582175926</v>
      </c>
      <c r="C1075" t="n">
        <v>0</v>
      </c>
      <c r="D1075" t="n">
        <v>347</v>
      </c>
      <c r="E1075" t="s">
        <v>1086</v>
      </c>
      <c r="F1075">
        <f>HYPERLINK("http://pbs.twimg.com/media/Db9vZ4DW0AUtUU4.jpg", "http://pbs.twimg.com/media/Db9vZ4DW0AUtUU4.jpg")</f>
        <v/>
      </c>
      <c r="G1075">
        <f>HYPERLINK("http://pbs.twimg.com/media/Db9vaP9W0AIKqlz.jpg", "http://pbs.twimg.com/media/Db9vaP9W0AIKqlz.jpg")</f>
        <v/>
      </c>
      <c r="H1075">
        <f>HYPERLINK("http://pbs.twimg.com/media/Db9vaZmWsAEcJKf.jpg", "http://pbs.twimg.com/media/Db9vaZmWsAEcJKf.jpg")</f>
        <v/>
      </c>
      <c r="I1075">
        <f>HYPERLINK("http://pbs.twimg.com/media/Db9vajWWkAAxqNl.jpg", "http://pbs.twimg.com/media/Db9vajWWkAAxqNl.jpg")</f>
        <v/>
      </c>
      <c r="J1075" t="n">
        <v>0.4939</v>
      </c>
      <c r="K1075" t="n">
        <v>0</v>
      </c>
      <c r="L1075" t="n">
        <v>0.868</v>
      </c>
      <c r="M1075" t="n">
        <v>0.132</v>
      </c>
    </row>
    <row r="1076" spans="1:13">
      <c r="A1076" s="1">
        <f>HYPERLINK("http://www.twitter.com/NathanBLawrence/status/990759046201466883", "990759046201466883")</f>
        <v/>
      </c>
      <c r="B1076" s="2" t="n">
        <v>43220.04557870371</v>
      </c>
      <c r="C1076" t="n">
        <v>0</v>
      </c>
      <c r="D1076" t="n">
        <v>192</v>
      </c>
      <c r="E1076" t="s">
        <v>1087</v>
      </c>
      <c r="F1076">
        <f>HYPERLINK("http://pbs.twimg.com/media/Db-Jh07WAAAfm5C.jpg", "http://pbs.twimg.com/media/Db-Jh07WAAAfm5C.jpg")</f>
        <v/>
      </c>
      <c r="G1076" t="s"/>
      <c r="H1076" t="s"/>
      <c r="I1076" t="s"/>
      <c r="J1076" t="n">
        <v>0</v>
      </c>
      <c r="K1076" t="n">
        <v>0</v>
      </c>
      <c r="L1076" t="n">
        <v>1</v>
      </c>
      <c r="M1076" t="n">
        <v>0</v>
      </c>
    </row>
    <row r="1077" spans="1:13">
      <c r="A1077" s="1">
        <f>HYPERLINK("http://www.twitter.com/NathanBLawrence/status/990754709966348289", "990754709966348289")</f>
        <v/>
      </c>
      <c r="B1077" s="2" t="n">
        <v>43220.03361111111</v>
      </c>
      <c r="C1077" t="n">
        <v>0</v>
      </c>
      <c r="D1077" t="n">
        <v>6786</v>
      </c>
      <c r="E1077" t="s">
        <v>1088</v>
      </c>
      <c r="F1077">
        <f>HYPERLINK("https://video.twimg.com/ext_tw_video/990732779024502784/pu/vid/326x180/0IHZdoSrFHqxlFuO.mp4?tag=3", "https://video.twimg.com/ext_tw_video/990732779024502784/pu/vid/326x180/0IHZdoSrFHqxlFuO.mp4?tag=3")</f>
        <v/>
      </c>
      <c r="G1077" t="s"/>
      <c r="H1077" t="s"/>
      <c r="I1077" t="s"/>
      <c r="J1077" t="n">
        <v>-0.128</v>
      </c>
      <c r="K1077" t="n">
        <v>0.064</v>
      </c>
      <c r="L1077" t="n">
        <v>0.9360000000000001</v>
      </c>
      <c r="M1077" t="n">
        <v>0</v>
      </c>
    </row>
    <row r="1078" spans="1:13">
      <c r="A1078" s="1">
        <f>HYPERLINK("http://www.twitter.com/NathanBLawrence/status/990754379987931137", "990754379987931137")</f>
        <v/>
      </c>
      <c r="B1078" s="2" t="n">
        <v>43220.03270833333</v>
      </c>
      <c r="C1078" t="n">
        <v>0</v>
      </c>
      <c r="D1078" t="n">
        <v>16703</v>
      </c>
      <c r="E1078" t="s">
        <v>1089</v>
      </c>
      <c r="F1078" t="s"/>
      <c r="G1078" t="s"/>
      <c r="H1078" t="s"/>
      <c r="I1078" t="s"/>
      <c r="J1078" t="n">
        <v>-0.25</v>
      </c>
      <c r="K1078" t="n">
        <v>0.083</v>
      </c>
      <c r="L1078" t="n">
        <v>0.917</v>
      </c>
      <c r="M1078" t="n">
        <v>0</v>
      </c>
    </row>
    <row r="1079" spans="1:13">
      <c r="A1079" s="1">
        <f>HYPERLINK("http://www.twitter.com/NathanBLawrence/status/990753589521014784", "990753589521014784")</f>
        <v/>
      </c>
      <c r="B1079" s="2" t="n">
        <v>43220.03052083333</v>
      </c>
      <c r="C1079" t="n">
        <v>0</v>
      </c>
      <c r="D1079" t="n">
        <v>20</v>
      </c>
      <c r="E1079" t="s">
        <v>1090</v>
      </c>
      <c r="F1079">
        <f>HYPERLINK("http://pbs.twimg.com/media/Db_Y9veVwAADA1a.jpg", "http://pbs.twimg.com/media/Db_Y9veVwAADA1a.jpg")</f>
        <v/>
      </c>
      <c r="G1079" t="s"/>
      <c r="H1079" t="s"/>
      <c r="I1079" t="s"/>
      <c r="J1079" t="n">
        <v>0.7778</v>
      </c>
      <c r="K1079" t="n">
        <v>0</v>
      </c>
      <c r="L1079" t="n">
        <v>0.756</v>
      </c>
      <c r="M1079" t="n">
        <v>0.244</v>
      </c>
    </row>
    <row r="1080" spans="1:13">
      <c r="A1080" s="1">
        <f>HYPERLINK("http://www.twitter.com/NathanBLawrence/status/990752401912197121", "990752401912197121")</f>
        <v/>
      </c>
      <c r="B1080" s="2" t="n">
        <v>43220.02724537037</v>
      </c>
      <c r="C1080" t="n">
        <v>0</v>
      </c>
      <c r="D1080" t="n">
        <v>204</v>
      </c>
      <c r="E1080" t="s">
        <v>1091</v>
      </c>
      <c r="F1080">
        <f>HYPERLINK("http://pbs.twimg.com/media/Db_YTMSW4AAYcdP.jpg", "http://pbs.twimg.com/media/Db_YTMSW4AAYcdP.jpg")</f>
        <v/>
      </c>
      <c r="G1080" t="s"/>
      <c r="H1080" t="s"/>
      <c r="I1080" t="s"/>
      <c r="J1080" t="n">
        <v>0</v>
      </c>
      <c r="K1080" t="n">
        <v>0</v>
      </c>
      <c r="L1080" t="n">
        <v>1</v>
      </c>
      <c r="M1080" t="n">
        <v>0</v>
      </c>
    </row>
    <row r="1081" spans="1:13">
      <c r="A1081" s="1">
        <f>HYPERLINK("http://www.twitter.com/NathanBLawrence/status/990751386945146880", "990751386945146880")</f>
        <v/>
      </c>
      <c r="B1081" s="2" t="n">
        <v>43220.02444444445</v>
      </c>
      <c r="C1081" t="n">
        <v>0</v>
      </c>
      <c r="D1081" t="n">
        <v>1</v>
      </c>
      <c r="E1081" t="s">
        <v>1092</v>
      </c>
      <c r="F1081" t="s"/>
      <c r="G1081" t="s"/>
      <c r="H1081" t="s"/>
      <c r="I1081" t="s"/>
      <c r="J1081" t="n">
        <v>0</v>
      </c>
      <c r="K1081" t="n">
        <v>0</v>
      </c>
      <c r="L1081" t="n">
        <v>1</v>
      </c>
      <c r="M1081" t="n">
        <v>0</v>
      </c>
    </row>
    <row r="1082" spans="1:13">
      <c r="A1082" s="1">
        <f>HYPERLINK("http://www.twitter.com/NathanBLawrence/status/990748329704345602", "990748329704345602")</f>
        <v/>
      </c>
      <c r="B1082" s="2" t="n">
        <v>43220.01600694445</v>
      </c>
      <c r="C1082" t="n">
        <v>0</v>
      </c>
      <c r="D1082" t="n">
        <v>1581</v>
      </c>
      <c r="E1082" t="s">
        <v>1093</v>
      </c>
      <c r="F1082">
        <f>HYPERLINK("http://pbs.twimg.com/media/DbTrfW5X0AAeBas.jpg", "http://pbs.twimg.com/media/DbTrfW5X0AAeBas.jpg")</f>
        <v/>
      </c>
      <c r="G1082">
        <f>HYPERLINK("http://pbs.twimg.com/media/DbTrfWzX4AAIg98.jpg", "http://pbs.twimg.com/media/DbTrfWzX4AAIg98.jpg")</f>
        <v/>
      </c>
      <c r="H1082">
        <f>HYPERLINK("http://pbs.twimg.com/media/DbTrfW0WAAA0xMR.jpg", "http://pbs.twimg.com/media/DbTrfW0WAAA0xMR.jpg")</f>
        <v/>
      </c>
      <c r="I1082" t="s"/>
      <c r="J1082" t="n">
        <v>0</v>
      </c>
      <c r="K1082" t="n">
        <v>0</v>
      </c>
      <c r="L1082" t="n">
        <v>1</v>
      </c>
      <c r="M1082" t="n">
        <v>0</v>
      </c>
    </row>
    <row r="1083" spans="1:13">
      <c r="A1083" s="1">
        <f>HYPERLINK("http://www.twitter.com/NathanBLawrence/status/990748120849018880", "990748120849018880")</f>
        <v/>
      </c>
      <c r="B1083" s="2" t="n">
        <v>43220.01542824074</v>
      </c>
      <c r="C1083" t="n">
        <v>0</v>
      </c>
      <c r="D1083" t="n">
        <v>3</v>
      </c>
      <c r="E1083" t="s">
        <v>1094</v>
      </c>
      <c r="F1083" t="s"/>
      <c r="G1083" t="s"/>
      <c r="H1083" t="s"/>
      <c r="I1083" t="s"/>
      <c r="J1083" t="n">
        <v>0</v>
      </c>
      <c r="K1083" t="n">
        <v>0</v>
      </c>
      <c r="L1083" t="n">
        <v>1</v>
      </c>
      <c r="M1083" t="n">
        <v>0</v>
      </c>
    </row>
    <row r="1084" spans="1:13">
      <c r="A1084" s="1">
        <f>HYPERLINK("http://www.twitter.com/NathanBLawrence/status/990745704904712192", "990745704904712192")</f>
        <v/>
      </c>
      <c r="B1084" s="2" t="n">
        <v>43220.00876157408</v>
      </c>
      <c r="C1084" t="n">
        <v>0</v>
      </c>
      <c r="D1084" t="n">
        <v>306</v>
      </c>
      <c r="E1084" t="s">
        <v>1095</v>
      </c>
      <c r="F1084" t="s"/>
      <c r="G1084" t="s"/>
      <c r="H1084" t="s"/>
      <c r="I1084" t="s"/>
      <c r="J1084" t="n">
        <v>0</v>
      </c>
      <c r="K1084" t="n">
        <v>0</v>
      </c>
      <c r="L1084" t="n">
        <v>1</v>
      </c>
      <c r="M1084" t="n">
        <v>0</v>
      </c>
    </row>
    <row r="1085" spans="1:13">
      <c r="A1085" s="1">
        <f>HYPERLINK("http://www.twitter.com/NathanBLawrence/status/990744633708830720", "990744633708830720")</f>
        <v/>
      </c>
      <c r="B1085" s="2" t="n">
        <v>43220.00581018518</v>
      </c>
      <c r="C1085" t="n">
        <v>0</v>
      </c>
      <c r="D1085" t="n">
        <v>191</v>
      </c>
      <c r="E1085" t="s">
        <v>1096</v>
      </c>
      <c r="F1085" t="s"/>
      <c r="G1085" t="s"/>
      <c r="H1085" t="s"/>
      <c r="I1085" t="s"/>
      <c r="J1085" t="n">
        <v>0</v>
      </c>
      <c r="K1085" t="n">
        <v>0</v>
      </c>
      <c r="L1085" t="n">
        <v>1</v>
      </c>
      <c r="M1085" t="n">
        <v>0</v>
      </c>
    </row>
    <row r="1086" spans="1:13">
      <c r="A1086" s="1">
        <f>HYPERLINK("http://www.twitter.com/NathanBLawrence/status/990744512279515137", "990744512279515137")</f>
        <v/>
      </c>
      <c r="B1086" s="2" t="n">
        <v>43220.00547453704</v>
      </c>
      <c r="C1086" t="n">
        <v>0</v>
      </c>
      <c r="D1086" t="n">
        <v>360</v>
      </c>
      <c r="E1086" t="s">
        <v>1097</v>
      </c>
      <c r="F1086">
        <f>HYPERLINK("http://pbs.twimg.com/media/Db-9qM8U0AEn2Zw.jpg", "http://pbs.twimg.com/media/Db-9qM8U0AEn2Zw.jpg")</f>
        <v/>
      </c>
      <c r="G1086" t="s"/>
      <c r="H1086" t="s"/>
      <c r="I1086" t="s"/>
      <c r="J1086" t="n">
        <v>0.34</v>
      </c>
      <c r="K1086" t="n">
        <v>0</v>
      </c>
      <c r="L1086" t="n">
        <v>0.726</v>
      </c>
      <c r="M1086" t="n">
        <v>0.274</v>
      </c>
    </row>
    <row r="1087" spans="1:13">
      <c r="A1087" s="1">
        <f>HYPERLINK("http://www.twitter.com/NathanBLawrence/status/990744304653099008", "990744304653099008")</f>
        <v/>
      </c>
      <c r="B1087" s="2" t="n">
        <v>43220.0049074074</v>
      </c>
      <c r="C1087" t="n">
        <v>0</v>
      </c>
      <c r="D1087" t="n">
        <v>963</v>
      </c>
      <c r="E1087" t="s">
        <v>1098</v>
      </c>
      <c r="F1087" t="s"/>
      <c r="G1087" t="s"/>
      <c r="H1087" t="s"/>
      <c r="I1087" t="s"/>
      <c r="J1087" t="n">
        <v>-0.6124000000000001</v>
      </c>
      <c r="K1087" t="n">
        <v>0.263</v>
      </c>
      <c r="L1087" t="n">
        <v>0.737</v>
      </c>
      <c r="M1087" t="n">
        <v>0</v>
      </c>
    </row>
    <row r="1088" spans="1:13">
      <c r="A1088" s="1">
        <f>HYPERLINK("http://www.twitter.com/NathanBLawrence/status/990708713769127937", "990708713769127937")</f>
        <v/>
      </c>
      <c r="B1088" s="2" t="n">
        <v>43219.90668981482</v>
      </c>
      <c r="C1088" t="n">
        <v>0</v>
      </c>
      <c r="D1088" t="n">
        <v>579</v>
      </c>
      <c r="E1088" t="s">
        <v>1099</v>
      </c>
      <c r="F1088">
        <f>HYPERLINK("http://pbs.twimg.com/media/Db-y72EU0AAiGv-.jpg", "http://pbs.twimg.com/media/Db-y72EU0AAiGv-.jpg")</f>
        <v/>
      </c>
      <c r="G1088" t="s"/>
      <c r="H1088" t="s"/>
      <c r="I1088" t="s"/>
      <c r="J1088" t="n">
        <v>-0.4215</v>
      </c>
      <c r="K1088" t="n">
        <v>0.155</v>
      </c>
      <c r="L1088" t="n">
        <v>0.777</v>
      </c>
      <c r="M1088" t="n">
        <v>0.068</v>
      </c>
    </row>
    <row r="1089" spans="1:13">
      <c r="A1089" s="1">
        <f>HYPERLINK("http://www.twitter.com/NathanBLawrence/status/990708385745195008", "990708385745195008")</f>
        <v/>
      </c>
      <c r="B1089" s="2" t="n">
        <v>43219.90578703704</v>
      </c>
      <c r="C1089" t="n">
        <v>0</v>
      </c>
      <c r="D1089" t="n">
        <v>4137</v>
      </c>
      <c r="E1089" t="s">
        <v>1100</v>
      </c>
      <c r="F1089" t="s"/>
      <c r="G1089" t="s"/>
      <c r="H1089" t="s"/>
      <c r="I1089" t="s"/>
      <c r="J1089" t="n">
        <v>-0.4466</v>
      </c>
      <c r="K1089" t="n">
        <v>0.109</v>
      </c>
      <c r="L1089" t="n">
        <v>0.891</v>
      </c>
      <c r="M1089" t="n">
        <v>0</v>
      </c>
    </row>
    <row r="1090" spans="1:13">
      <c r="A1090" s="1">
        <f>HYPERLINK("http://www.twitter.com/NathanBLawrence/status/990708046115549184", "990708046115549184")</f>
        <v/>
      </c>
      <c r="B1090" s="2" t="n">
        <v>43219.90484953704</v>
      </c>
      <c r="C1090" t="n">
        <v>0</v>
      </c>
      <c r="D1090" t="n">
        <v>4</v>
      </c>
      <c r="E1090" t="s">
        <v>1101</v>
      </c>
      <c r="F1090" t="s"/>
      <c r="G1090" t="s"/>
      <c r="H1090" t="s"/>
      <c r="I1090" t="s"/>
      <c r="J1090" t="n">
        <v>0</v>
      </c>
      <c r="K1090" t="n">
        <v>0</v>
      </c>
      <c r="L1090" t="n">
        <v>1</v>
      </c>
      <c r="M1090" t="n">
        <v>0</v>
      </c>
    </row>
    <row r="1091" spans="1:13">
      <c r="A1091" s="1">
        <f>HYPERLINK("http://www.twitter.com/NathanBLawrence/status/990707780012204032", "990707780012204032")</f>
        <v/>
      </c>
      <c r="B1091" s="2" t="n">
        <v>43219.9041087963</v>
      </c>
      <c r="C1091" t="n">
        <v>0</v>
      </c>
      <c r="D1091" t="n">
        <v>21107</v>
      </c>
      <c r="E1091" t="s">
        <v>1102</v>
      </c>
      <c r="F1091" t="s"/>
      <c r="G1091" t="s"/>
      <c r="H1091" t="s"/>
      <c r="I1091" t="s"/>
      <c r="J1091" t="n">
        <v>0.9042</v>
      </c>
      <c r="K1091" t="n">
        <v>0</v>
      </c>
      <c r="L1091" t="n">
        <v>0.629</v>
      </c>
      <c r="M1091" t="n">
        <v>0.371</v>
      </c>
    </row>
    <row r="1092" spans="1:13">
      <c r="A1092" s="1">
        <f>HYPERLINK("http://www.twitter.com/NathanBLawrence/status/990706380918190081", "990706380918190081")</f>
        <v/>
      </c>
      <c r="B1092" s="2" t="n">
        <v>43219.90025462963</v>
      </c>
      <c r="C1092" t="n">
        <v>0</v>
      </c>
      <c r="D1092" t="n">
        <v>11</v>
      </c>
      <c r="E1092" t="s">
        <v>1103</v>
      </c>
      <c r="F1092" t="s"/>
      <c r="G1092" t="s"/>
      <c r="H1092" t="s"/>
      <c r="I1092" t="s"/>
      <c r="J1092" t="n">
        <v>-0.5574</v>
      </c>
      <c r="K1092" t="n">
        <v>0.175</v>
      </c>
      <c r="L1092" t="n">
        <v>0.825</v>
      </c>
      <c r="M1092" t="n">
        <v>0</v>
      </c>
    </row>
    <row r="1093" spans="1:13">
      <c r="A1093" s="1">
        <f>HYPERLINK("http://www.twitter.com/NathanBLawrence/status/990706033516564486", "990706033516564486")</f>
        <v/>
      </c>
      <c r="B1093" s="2" t="n">
        <v>43219.89929398148</v>
      </c>
      <c r="C1093" t="n">
        <v>0</v>
      </c>
      <c r="D1093" t="n">
        <v>451</v>
      </c>
      <c r="E1093" t="s">
        <v>1104</v>
      </c>
      <c r="F1093">
        <f>HYPERLINK("http://pbs.twimg.com/media/Db-XALeX0AAJ5we.jpg", "http://pbs.twimg.com/media/Db-XALeX0AAJ5we.jpg")</f>
        <v/>
      </c>
      <c r="G1093" t="s"/>
      <c r="H1093" t="s"/>
      <c r="I1093" t="s"/>
      <c r="J1093" t="n">
        <v>0.8655</v>
      </c>
      <c r="K1093" t="n">
        <v>0</v>
      </c>
      <c r="L1093" t="n">
        <v>0.479</v>
      </c>
      <c r="M1093" t="n">
        <v>0.521</v>
      </c>
    </row>
    <row r="1094" spans="1:13">
      <c r="A1094" s="1">
        <f>HYPERLINK("http://www.twitter.com/NathanBLawrence/status/990705798899814400", "990705798899814400")</f>
        <v/>
      </c>
      <c r="B1094" s="2" t="n">
        <v>43219.89864583333</v>
      </c>
      <c r="C1094" t="n">
        <v>0</v>
      </c>
      <c r="D1094" t="n">
        <v>373</v>
      </c>
      <c r="E1094" t="s">
        <v>1105</v>
      </c>
      <c r="F1094">
        <f>HYPERLINK("http://pbs.twimg.com/media/Db-o87xXcAA-sWA.jpg", "http://pbs.twimg.com/media/Db-o87xXcAA-sWA.jpg")</f>
        <v/>
      </c>
      <c r="G1094" t="s"/>
      <c r="H1094" t="s"/>
      <c r="I1094" t="s"/>
      <c r="J1094" t="n">
        <v>0.9008</v>
      </c>
      <c r="K1094" t="n">
        <v>0</v>
      </c>
      <c r="L1094" t="n">
        <v>0.592</v>
      </c>
      <c r="M1094" t="n">
        <v>0.408</v>
      </c>
    </row>
    <row r="1095" spans="1:13">
      <c r="A1095" s="1">
        <f>HYPERLINK("http://www.twitter.com/NathanBLawrence/status/990705539503001600", "990705539503001600")</f>
        <v/>
      </c>
      <c r="B1095" s="2" t="n">
        <v>43219.89792824074</v>
      </c>
      <c r="C1095" t="n">
        <v>0</v>
      </c>
      <c r="D1095" t="n">
        <v>9765</v>
      </c>
      <c r="E1095" t="s">
        <v>1106</v>
      </c>
      <c r="F1095">
        <f>HYPERLINK("http://pbs.twimg.com/media/Db84utJV4AEfNiu.jpg", "http://pbs.twimg.com/media/Db84utJV4AEfNiu.jpg")</f>
        <v/>
      </c>
      <c r="G1095">
        <f>HYPERLINK("http://pbs.twimg.com/media/Db84us1V0AANbOZ.jpg", "http://pbs.twimg.com/media/Db84us1V0AANbOZ.jpg")</f>
        <v/>
      </c>
      <c r="H1095" t="s"/>
      <c r="I1095" t="s"/>
      <c r="J1095" t="n">
        <v>0.6249</v>
      </c>
      <c r="K1095" t="n">
        <v>0</v>
      </c>
      <c r="L1095" t="n">
        <v>0.843</v>
      </c>
      <c r="M1095" t="n">
        <v>0.157</v>
      </c>
    </row>
    <row r="1096" spans="1:13">
      <c r="A1096" s="1">
        <f>HYPERLINK("http://www.twitter.com/NathanBLawrence/status/990705365829476353", "990705365829476353")</f>
        <v/>
      </c>
      <c r="B1096" s="2" t="n">
        <v>43219.89745370371</v>
      </c>
      <c r="C1096" t="n">
        <v>0</v>
      </c>
      <c r="D1096" t="n">
        <v>1</v>
      </c>
      <c r="E1096" t="s">
        <v>1107</v>
      </c>
      <c r="F1096" t="s"/>
      <c r="G1096" t="s"/>
      <c r="H1096" t="s"/>
      <c r="I1096" t="s"/>
      <c r="J1096" t="n">
        <v>-0.4019</v>
      </c>
      <c r="K1096" t="n">
        <v>0.114</v>
      </c>
      <c r="L1096" t="n">
        <v>0.886</v>
      </c>
      <c r="M1096" t="n">
        <v>0</v>
      </c>
    </row>
    <row r="1097" spans="1:13">
      <c r="A1097" s="1">
        <f>HYPERLINK("http://www.twitter.com/NathanBLawrence/status/990704633650786304", "990704633650786304")</f>
        <v/>
      </c>
      <c r="B1097" s="2" t="n">
        <v>43219.89542824074</v>
      </c>
      <c r="C1097" t="n">
        <v>0</v>
      </c>
      <c r="D1097" t="n">
        <v>279</v>
      </c>
      <c r="E1097" t="s">
        <v>1108</v>
      </c>
      <c r="F1097">
        <f>HYPERLINK("http://pbs.twimg.com/media/Db-sn1_VwAATjou.jpg", "http://pbs.twimg.com/media/Db-sn1_VwAATjou.jpg")</f>
        <v/>
      </c>
      <c r="G1097" t="s"/>
      <c r="H1097" t="s"/>
      <c r="I1097" t="s"/>
      <c r="J1097" t="n">
        <v>0.873</v>
      </c>
      <c r="K1097" t="n">
        <v>0</v>
      </c>
      <c r="L1097" t="n">
        <v>0.609</v>
      </c>
      <c r="M1097" t="n">
        <v>0.391</v>
      </c>
    </row>
    <row r="1098" spans="1:13">
      <c r="A1098" s="1">
        <f>HYPERLINK("http://www.twitter.com/NathanBLawrence/status/990704539295735809", "990704539295735809")</f>
        <v/>
      </c>
      <c r="B1098" s="2" t="n">
        <v>43219.89517361111</v>
      </c>
      <c r="C1098" t="n">
        <v>0</v>
      </c>
      <c r="D1098" t="n">
        <v>27</v>
      </c>
      <c r="E1098" t="s">
        <v>1109</v>
      </c>
      <c r="F1098" t="s"/>
      <c r="G1098" t="s"/>
      <c r="H1098" t="s"/>
      <c r="I1098" t="s"/>
      <c r="J1098" t="n">
        <v>0</v>
      </c>
      <c r="K1098" t="n">
        <v>0</v>
      </c>
      <c r="L1098" t="n">
        <v>1</v>
      </c>
      <c r="M1098" t="n">
        <v>0</v>
      </c>
    </row>
    <row r="1099" spans="1:13">
      <c r="A1099" s="1">
        <f>HYPERLINK("http://www.twitter.com/NathanBLawrence/status/990701501810081794", "990701501810081794")</f>
        <v/>
      </c>
      <c r="B1099" s="2" t="n">
        <v>43219.88679398148</v>
      </c>
      <c r="C1099" t="n">
        <v>0</v>
      </c>
      <c r="D1099" t="n">
        <v>328</v>
      </c>
      <c r="E1099" t="s">
        <v>1110</v>
      </c>
      <c r="F1099" t="s"/>
      <c r="G1099" t="s"/>
      <c r="H1099" t="s"/>
      <c r="I1099" t="s"/>
      <c r="J1099" t="n">
        <v>0</v>
      </c>
      <c r="K1099" t="n">
        <v>0</v>
      </c>
      <c r="L1099" t="n">
        <v>1</v>
      </c>
      <c r="M1099" t="n">
        <v>0</v>
      </c>
    </row>
    <row r="1100" spans="1:13">
      <c r="A1100" s="1">
        <f>HYPERLINK("http://www.twitter.com/NathanBLawrence/status/990701370884882432", "990701370884882432")</f>
        <v/>
      </c>
      <c r="B1100" s="2" t="n">
        <v>43219.88642361111</v>
      </c>
      <c r="C1100" t="n">
        <v>0</v>
      </c>
      <c r="D1100" t="n">
        <v>496</v>
      </c>
      <c r="E1100" t="s">
        <v>1111</v>
      </c>
      <c r="F1100">
        <f>HYPERLINK("http://pbs.twimg.com/media/Db-jt6qWsAEsqK6.jpg", "http://pbs.twimg.com/media/Db-jt6qWsAEsqK6.jpg")</f>
        <v/>
      </c>
      <c r="G1100" t="s"/>
      <c r="H1100" t="s"/>
      <c r="I1100" t="s"/>
      <c r="J1100" t="n">
        <v>0.9445</v>
      </c>
      <c r="K1100" t="n">
        <v>0</v>
      </c>
      <c r="L1100" t="n">
        <v>0.481</v>
      </c>
      <c r="M1100" t="n">
        <v>0.519</v>
      </c>
    </row>
    <row r="1101" spans="1:13">
      <c r="A1101" s="1">
        <f>HYPERLINK("http://www.twitter.com/NathanBLawrence/status/990701109768581122", "990701109768581122")</f>
        <v/>
      </c>
      <c r="B1101" s="2" t="n">
        <v>43219.88570601852</v>
      </c>
      <c r="C1101" t="n">
        <v>0</v>
      </c>
      <c r="D1101" t="n">
        <v>6928</v>
      </c>
      <c r="E1101" t="s">
        <v>1112</v>
      </c>
      <c r="F1101" t="s"/>
      <c r="G1101" t="s"/>
      <c r="H1101" t="s"/>
      <c r="I1101" t="s"/>
      <c r="J1101" t="n">
        <v>-0.4588</v>
      </c>
      <c r="K1101" t="n">
        <v>0.125</v>
      </c>
      <c r="L1101" t="n">
        <v>0.875</v>
      </c>
      <c r="M1101" t="n">
        <v>0</v>
      </c>
    </row>
    <row r="1102" spans="1:13">
      <c r="A1102" s="1">
        <f>HYPERLINK("http://www.twitter.com/NathanBLawrence/status/990700980948922368", "990700980948922368")</f>
        <v/>
      </c>
      <c r="B1102" s="2" t="n">
        <v>43219.88534722223</v>
      </c>
      <c r="C1102" t="n">
        <v>0</v>
      </c>
      <c r="D1102" t="n">
        <v>6599</v>
      </c>
      <c r="E1102" t="s">
        <v>1113</v>
      </c>
      <c r="F1102" t="s"/>
      <c r="G1102" t="s"/>
      <c r="H1102" t="s"/>
      <c r="I1102" t="s"/>
      <c r="J1102" t="n">
        <v>0.7718</v>
      </c>
      <c r="K1102" t="n">
        <v>0.097</v>
      </c>
      <c r="L1102" t="n">
        <v>0.627</v>
      </c>
      <c r="M1102" t="n">
        <v>0.276</v>
      </c>
    </row>
    <row r="1103" spans="1:13">
      <c r="A1103" s="1">
        <f>HYPERLINK("http://www.twitter.com/NathanBLawrence/status/990680071571730433", "990680071571730433")</f>
        <v/>
      </c>
      <c r="B1103" s="2" t="n">
        <v>43219.82765046296</v>
      </c>
      <c r="C1103" t="n">
        <v>0</v>
      </c>
      <c r="D1103" t="n">
        <v>6064</v>
      </c>
      <c r="E1103" t="s">
        <v>1114</v>
      </c>
      <c r="F1103">
        <f>HYPERLINK("http://pbs.twimg.com/media/Db7CZwuV4AIt0yq.jpg", "http://pbs.twimg.com/media/Db7CZwuV4AIt0yq.jpg")</f>
        <v/>
      </c>
      <c r="G1103" t="s"/>
      <c r="H1103" t="s"/>
      <c r="I1103" t="s"/>
      <c r="J1103" t="n">
        <v>0</v>
      </c>
      <c r="K1103" t="n">
        <v>0</v>
      </c>
      <c r="L1103" t="n">
        <v>1</v>
      </c>
      <c r="M1103" t="n">
        <v>0</v>
      </c>
    </row>
    <row r="1104" spans="1:13">
      <c r="A1104" s="1">
        <f>HYPERLINK("http://www.twitter.com/NathanBLawrence/status/990679664954929154", "990679664954929154")</f>
        <v/>
      </c>
      <c r="B1104" s="2" t="n">
        <v>43219.82652777778</v>
      </c>
      <c r="C1104" t="n">
        <v>0</v>
      </c>
      <c r="D1104" t="n">
        <v>1513</v>
      </c>
      <c r="E1104" t="s">
        <v>1115</v>
      </c>
      <c r="F1104" t="s"/>
      <c r="G1104" t="s"/>
      <c r="H1104" t="s"/>
      <c r="I1104" t="s"/>
      <c r="J1104" t="n">
        <v>0</v>
      </c>
      <c r="K1104" t="n">
        <v>0</v>
      </c>
      <c r="L1104" t="n">
        <v>1</v>
      </c>
      <c r="M1104" t="n">
        <v>0</v>
      </c>
    </row>
    <row r="1105" spans="1:13">
      <c r="A1105" s="1">
        <f>HYPERLINK("http://www.twitter.com/NathanBLawrence/status/990678439488311298", "990678439488311298")</f>
        <v/>
      </c>
      <c r="B1105" s="2" t="n">
        <v>43219.82314814815</v>
      </c>
      <c r="C1105" t="n">
        <v>0</v>
      </c>
      <c r="D1105" t="n">
        <v>5002</v>
      </c>
      <c r="E1105" t="s">
        <v>1116</v>
      </c>
      <c r="F1105" t="s"/>
      <c r="G1105" t="s"/>
      <c r="H1105" t="s"/>
      <c r="I1105" t="s"/>
      <c r="J1105" t="n">
        <v>0.8779</v>
      </c>
      <c r="K1105" t="n">
        <v>0</v>
      </c>
      <c r="L1105" t="n">
        <v>0.613</v>
      </c>
      <c r="M1105" t="n">
        <v>0.387</v>
      </c>
    </row>
    <row r="1106" spans="1:13">
      <c r="A1106" s="1">
        <f>HYPERLINK("http://www.twitter.com/NathanBLawrence/status/990677231478374406", "990677231478374406")</f>
        <v/>
      </c>
      <c r="B1106" s="2" t="n">
        <v>43219.81981481481</v>
      </c>
      <c r="C1106" t="n">
        <v>0</v>
      </c>
      <c r="D1106" t="n">
        <v>1962</v>
      </c>
      <c r="E1106" t="s">
        <v>1117</v>
      </c>
      <c r="F1106">
        <f>HYPERLINK("https://video.twimg.com/amplify_video/990641755283435520/vid/1280x720/jZl-OqOEkbO-PRcT.mp4?tag=2", "https://video.twimg.com/amplify_video/990641755283435520/vid/1280x720/jZl-OqOEkbO-PRcT.mp4?tag=2")</f>
        <v/>
      </c>
      <c r="G1106" t="s"/>
      <c r="H1106" t="s"/>
      <c r="I1106" t="s"/>
      <c r="J1106" t="n">
        <v>0.4344</v>
      </c>
      <c r="K1106" t="n">
        <v>0</v>
      </c>
      <c r="L1106" t="n">
        <v>0.863</v>
      </c>
      <c r="M1106" t="n">
        <v>0.137</v>
      </c>
    </row>
    <row r="1107" spans="1:13">
      <c r="A1107" s="1">
        <f>HYPERLINK("http://www.twitter.com/NathanBLawrence/status/990439456372068354", "990439456372068354")</f>
        <v/>
      </c>
      <c r="B1107" s="2" t="n">
        <v>43219.16368055555</v>
      </c>
      <c r="C1107" t="n">
        <v>0</v>
      </c>
      <c r="D1107" t="n">
        <v>1803</v>
      </c>
      <c r="E1107" t="s">
        <v>1118</v>
      </c>
      <c r="F1107">
        <f>HYPERLINK("https://video.twimg.com/ext_tw_video/990338243223867393/pu/vid/720x1280/t4CwHW0mzMsnFRmX.mp4?tag=3", "https://video.twimg.com/ext_tw_video/990338243223867393/pu/vid/720x1280/t4CwHW0mzMsnFRmX.mp4?tag=3")</f>
        <v/>
      </c>
      <c r="G1107" t="s"/>
      <c r="H1107" t="s"/>
      <c r="I1107" t="s"/>
      <c r="J1107" t="n">
        <v>0</v>
      </c>
      <c r="K1107" t="n">
        <v>0</v>
      </c>
      <c r="L1107" t="n">
        <v>1</v>
      </c>
      <c r="M1107" t="n">
        <v>0</v>
      </c>
    </row>
    <row r="1108" spans="1:13">
      <c r="A1108" s="1">
        <f>HYPERLINK("http://www.twitter.com/NathanBLawrence/status/990439361064898560", "990439361064898560")</f>
        <v/>
      </c>
      <c r="B1108" s="2" t="n">
        <v>43219.16341435185</v>
      </c>
      <c r="C1108" t="n">
        <v>0</v>
      </c>
      <c r="D1108" t="n">
        <v>3330</v>
      </c>
      <c r="E1108" t="s">
        <v>1119</v>
      </c>
      <c r="F1108" t="s"/>
      <c r="G1108" t="s"/>
      <c r="H1108" t="s"/>
      <c r="I1108" t="s"/>
      <c r="J1108" t="n">
        <v>-0.1779</v>
      </c>
      <c r="K1108" t="n">
        <v>0.129</v>
      </c>
      <c r="L1108" t="n">
        <v>0.773</v>
      </c>
      <c r="M1108" t="n">
        <v>0.099</v>
      </c>
    </row>
    <row r="1109" spans="1:13">
      <c r="A1109" s="1">
        <f>HYPERLINK("http://www.twitter.com/NathanBLawrence/status/990436818050076677", "990436818050076677")</f>
        <v/>
      </c>
      <c r="B1109" s="2" t="n">
        <v>43219.15640046296</v>
      </c>
      <c r="C1109" t="n">
        <v>0</v>
      </c>
      <c r="D1109" t="n">
        <v>13</v>
      </c>
      <c r="E1109" t="s">
        <v>1120</v>
      </c>
      <c r="F1109">
        <f>HYPERLINK("http://pbs.twimg.com/media/Db663YZXcAAMoGr.jpg", "http://pbs.twimg.com/media/Db663YZXcAAMoGr.jpg")</f>
        <v/>
      </c>
      <c r="G1109" t="s"/>
      <c r="H1109" t="s"/>
      <c r="I1109" t="s"/>
      <c r="J1109" t="n">
        <v>0.2732</v>
      </c>
      <c r="K1109" t="n">
        <v>0</v>
      </c>
      <c r="L1109" t="n">
        <v>0.9</v>
      </c>
      <c r="M1109" t="n">
        <v>0.1</v>
      </c>
    </row>
    <row r="1110" spans="1:13">
      <c r="A1110" s="1">
        <f>HYPERLINK("http://www.twitter.com/NathanBLawrence/status/990436537920884737", "990436537920884737")</f>
        <v/>
      </c>
      <c r="B1110" s="2" t="n">
        <v>43219.155625</v>
      </c>
      <c r="C1110" t="n">
        <v>0</v>
      </c>
      <c r="D1110" t="n">
        <v>395</v>
      </c>
      <c r="E1110" t="s">
        <v>1121</v>
      </c>
      <c r="F1110">
        <f>HYPERLINK("http://pbs.twimg.com/media/Db3sx5IVQAAH7ml.jpg", "http://pbs.twimg.com/media/Db3sx5IVQAAH7ml.jpg")</f>
        <v/>
      </c>
      <c r="G1110" t="s"/>
      <c r="H1110" t="s"/>
      <c r="I1110" t="s"/>
      <c r="J1110" t="n">
        <v>0</v>
      </c>
      <c r="K1110" t="n">
        <v>0</v>
      </c>
      <c r="L1110" t="n">
        <v>1</v>
      </c>
      <c r="M1110" t="n">
        <v>0</v>
      </c>
    </row>
    <row r="1111" spans="1:13">
      <c r="A1111" s="1">
        <f>HYPERLINK("http://www.twitter.com/NathanBLawrence/status/990435896917942272", "990435896917942272")</f>
        <v/>
      </c>
      <c r="B1111" s="2" t="n">
        <v>43219.15385416667</v>
      </c>
      <c r="C1111" t="n">
        <v>0</v>
      </c>
      <c r="D1111" t="n">
        <v>1</v>
      </c>
      <c r="E1111" t="s">
        <v>1122</v>
      </c>
      <c r="F1111" t="s"/>
      <c r="G1111" t="s"/>
      <c r="H1111" t="s"/>
      <c r="I1111" t="s"/>
      <c r="J1111" t="n">
        <v>0</v>
      </c>
      <c r="K1111" t="n">
        <v>0</v>
      </c>
      <c r="L1111" t="n">
        <v>1</v>
      </c>
      <c r="M1111" t="n">
        <v>0</v>
      </c>
    </row>
    <row r="1112" spans="1:13">
      <c r="A1112" s="1">
        <f>HYPERLINK("http://www.twitter.com/NathanBLawrence/status/990435872423243781", "990435872423243781")</f>
        <v/>
      </c>
      <c r="B1112" s="2" t="n">
        <v>43219.1537962963</v>
      </c>
      <c r="C1112" t="n">
        <v>0</v>
      </c>
      <c r="D1112" t="n">
        <v>4</v>
      </c>
      <c r="E1112" t="s">
        <v>1123</v>
      </c>
      <c r="F1112" t="s"/>
      <c r="G1112" t="s"/>
      <c r="H1112" t="s"/>
      <c r="I1112" t="s"/>
      <c r="J1112" t="n">
        <v>-0.1531</v>
      </c>
      <c r="K1112" t="n">
        <v>0.261</v>
      </c>
      <c r="L1112" t="n">
        <v>0.5679999999999999</v>
      </c>
      <c r="M1112" t="n">
        <v>0.17</v>
      </c>
    </row>
    <row r="1113" spans="1:13">
      <c r="A1113" s="1">
        <f>HYPERLINK("http://www.twitter.com/NathanBLawrence/status/990435470806081536", "990435470806081536")</f>
        <v/>
      </c>
      <c r="B1113" s="2" t="n">
        <v>43219.15268518519</v>
      </c>
      <c r="C1113" t="n">
        <v>0</v>
      </c>
      <c r="D1113" t="n">
        <v>46</v>
      </c>
      <c r="E1113" t="s">
        <v>1124</v>
      </c>
      <c r="F1113">
        <f>HYPERLINK("http://pbs.twimg.com/media/Db67IsnU8AARVOW.jpg", "http://pbs.twimg.com/media/Db67IsnU8AARVOW.jpg")</f>
        <v/>
      </c>
      <c r="G1113" t="s"/>
      <c r="H1113" t="s"/>
      <c r="I1113" t="s"/>
      <c r="J1113" t="n">
        <v>0</v>
      </c>
      <c r="K1113" t="n">
        <v>0</v>
      </c>
      <c r="L1113" t="n">
        <v>1</v>
      </c>
      <c r="M1113" t="n">
        <v>0</v>
      </c>
    </row>
    <row r="1114" spans="1:13">
      <c r="A1114" s="1">
        <f>HYPERLINK("http://www.twitter.com/NathanBLawrence/status/990435334646353921", "990435334646353921")</f>
        <v/>
      </c>
      <c r="B1114" s="2" t="n">
        <v>43219.15230324074</v>
      </c>
      <c r="C1114" t="n">
        <v>0</v>
      </c>
      <c r="D1114" t="n">
        <v>58</v>
      </c>
      <c r="E1114" t="s">
        <v>1125</v>
      </c>
      <c r="F1114">
        <f>HYPERLINK("http://pbs.twimg.com/media/Db661eYW0AAaf7Q.jpg", "http://pbs.twimg.com/media/Db661eYW0AAaf7Q.jpg")</f>
        <v/>
      </c>
      <c r="G1114" t="s"/>
      <c r="H1114" t="s"/>
      <c r="I1114" t="s"/>
      <c r="J1114" t="n">
        <v>0.4574</v>
      </c>
      <c r="K1114" t="n">
        <v>0</v>
      </c>
      <c r="L1114" t="n">
        <v>0.893</v>
      </c>
      <c r="M1114" t="n">
        <v>0.107</v>
      </c>
    </row>
    <row r="1115" spans="1:13">
      <c r="A1115" s="1">
        <f>HYPERLINK("http://www.twitter.com/NathanBLawrence/status/990435052625547264", "990435052625547264")</f>
        <v/>
      </c>
      <c r="B1115" s="2" t="n">
        <v>43219.15152777778</v>
      </c>
      <c r="C1115" t="n">
        <v>0</v>
      </c>
      <c r="D1115" t="n">
        <v>342</v>
      </c>
      <c r="E1115" t="s">
        <v>1126</v>
      </c>
      <c r="F1115">
        <f>HYPERLINK("http://pbs.twimg.com/media/Db6SBJBXkAAc-HV.jpg", "http://pbs.twimg.com/media/Db6SBJBXkAAc-HV.jpg")</f>
        <v/>
      </c>
      <c r="G1115">
        <f>HYPERLINK("http://pbs.twimg.com/media/Db6SBJBX0AABWfN.jpg", "http://pbs.twimg.com/media/Db6SBJBX0AABWfN.jpg")</f>
        <v/>
      </c>
      <c r="H1115" t="s"/>
      <c r="I1115" t="s"/>
      <c r="J1115" t="n">
        <v>0</v>
      </c>
      <c r="K1115" t="n">
        <v>0</v>
      </c>
      <c r="L1115" t="n">
        <v>1</v>
      </c>
      <c r="M1115" t="n">
        <v>0</v>
      </c>
    </row>
    <row r="1116" spans="1:13">
      <c r="A1116" s="1">
        <f>HYPERLINK("http://www.twitter.com/NathanBLawrence/status/990434794730409984", "990434794730409984")</f>
        <v/>
      </c>
      <c r="B1116" s="2" t="n">
        <v>43219.15082175926</v>
      </c>
      <c r="C1116" t="n">
        <v>0</v>
      </c>
      <c r="D1116" t="n">
        <v>322</v>
      </c>
      <c r="E1116" t="s">
        <v>1127</v>
      </c>
      <c r="F1116">
        <f>HYPERLINK("http://pbs.twimg.com/media/Db6tLfhWkAAQGjO.jpg", "http://pbs.twimg.com/media/Db6tLfhWkAAQGjO.jpg")</f>
        <v/>
      </c>
      <c r="G1116" t="s"/>
      <c r="H1116" t="s"/>
      <c r="I1116" t="s"/>
      <c r="J1116" t="n">
        <v>0.2263</v>
      </c>
      <c r="K1116" t="n">
        <v>0.054</v>
      </c>
      <c r="L1116" t="n">
        <v>0.86</v>
      </c>
      <c r="M1116" t="n">
        <v>0.08599999999999999</v>
      </c>
    </row>
    <row r="1117" spans="1:13">
      <c r="A1117" s="1">
        <f>HYPERLINK("http://www.twitter.com/NathanBLawrence/status/990433980192260096", "990433980192260096")</f>
        <v/>
      </c>
      <c r="B1117" s="2" t="n">
        <v>43219.14856481482</v>
      </c>
      <c r="C1117" t="n">
        <v>0</v>
      </c>
      <c r="D1117" t="n">
        <v>303</v>
      </c>
      <c r="E1117" t="s">
        <v>1128</v>
      </c>
      <c r="F1117" t="s"/>
      <c r="G1117" t="s"/>
      <c r="H1117" t="s"/>
      <c r="I1117" t="s"/>
      <c r="J1117" t="n">
        <v>0.296</v>
      </c>
      <c r="K1117" t="n">
        <v>0</v>
      </c>
      <c r="L1117" t="n">
        <v>0.804</v>
      </c>
      <c r="M1117" t="n">
        <v>0.196</v>
      </c>
    </row>
    <row r="1118" spans="1:13">
      <c r="A1118" s="1">
        <f>HYPERLINK("http://www.twitter.com/NathanBLawrence/status/990433828928880640", "990433828928880640")</f>
        <v/>
      </c>
      <c r="B1118" s="2" t="n">
        <v>43219.14814814815</v>
      </c>
      <c r="C1118" t="n">
        <v>0</v>
      </c>
      <c r="D1118" t="n">
        <v>683</v>
      </c>
      <c r="E1118" t="s">
        <v>1129</v>
      </c>
      <c r="F1118">
        <f>HYPERLINK("http://pbs.twimg.com/media/Db6v4ElV0AEd7s-.jpg", "http://pbs.twimg.com/media/Db6v4ElV0AEd7s-.jpg")</f>
        <v/>
      </c>
      <c r="G1118" t="s"/>
      <c r="H1118" t="s"/>
      <c r="I1118" t="s"/>
      <c r="J1118" t="n">
        <v>0</v>
      </c>
      <c r="K1118" t="n">
        <v>0</v>
      </c>
      <c r="L1118" t="n">
        <v>1</v>
      </c>
      <c r="M1118" t="n">
        <v>0</v>
      </c>
    </row>
    <row r="1119" spans="1:13">
      <c r="A1119" s="1">
        <f>HYPERLINK("http://www.twitter.com/NathanBLawrence/status/990414073186652160", "990414073186652160")</f>
        <v/>
      </c>
      <c r="B1119" s="2" t="n">
        <v>43219.09363425926</v>
      </c>
      <c r="C1119" t="n">
        <v>0</v>
      </c>
      <c r="D1119" t="n">
        <v>661</v>
      </c>
      <c r="E1119" t="s">
        <v>1130</v>
      </c>
      <c r="F1119" t="s"/>
      <c r="G1119" t="s"/>
      <c r="H1119" t="s"/>
      <c r="I1119" t="s"/>
      <c r="J1119" t="n">
        <v>0</v>
      </c>
      <c r="K1119" t="n">
        <v>0</v>
      </c>
      <c r="L1119" t="n">
        <v>1</v>
      </c>
      <c r="M1119" t="n">
        <v>0</v>
      </c>
    </row>
    <row r="1120" spans="1:13">
      <c r="A1120" s="1">
        <f>HYPERLINK("http://www.twitter.com/NathanBLawrence/status/990347462387863553", "990347462387863553")</f>
        <v/>
      </c>
      <c r="B1120" s="2" t="n">
        <v>43218.90982638889</v>
      </c>
      <c r="C1120" t="n">
        <v>0</v>
      </c>
      <c r="D1120" t="n">
        <v>61</v>
      </c>
      <c r="E1120" t="s">
        <v>1131</v>
      </c>
      <c r="F1120" t="s"/>
      <c r="G1120" t="s"/>
      <c r="H1120" t="s"/>
      <c r="I1120" t="s"/>
      <c r="J1120" t="n">
        <v>0.5563</v>
      </c>
      <c r="K1120" t="n">
        <v>0</v>
      </c>
      <c r="L1120" t="n">
        <v>0.854</v>
      </c>
      <c r="M1120" t="n">
        <v>0.146</v>
      </c>
    </row>
    <row r="1121" spans="1:13">
      <c r="A1121" s="1">
        <f>HYPERLINK("http://www.twitter.com/NathanBLawrence/status/990346290126098432", "990346290126098432")</f>
        <v/>
      </c>
      <c r="B1121" s="2" t="n">
        <v>43218.90658564815</v>
      </c>
      <c r="C1121" t="n">
        <v>0</v>
      </c>
      <c r="D1121" t="n">
        <v>481</v>
      </c>
      <c r="E1121" t="s">
        <v>1132</v>
      </c>
      <c r="F1121" t="s"/>
      <c r="G1121" t="s"/>
      <c r="H1121" t="s"/>
      <c r="I1121" t="s"/>
      <c r="J1121" t="n">
        <v>0.8689</v>
      </c>
      <c r="K1121" t="n">
        <v>0</v>
      </c>
      <c r="L1121" t="n">
        <v>0.338</v>
      </c>
      <c r="M1121" t="n">
        <v>0.662</v>
      </c>
    </row>
    <row r="1122" spans="1:13">
      <c r="A1122" s="1">
        <f>HYPERLINK("http://www.twitter.com/NathanBLawrence/status/990345825149693952", "990345825149693952")</f>
        <v/>
      </c>
      <c r="B1122" s="2" t="n">
        <v>43218.9053125</v>
      </c>
      <c r="C1122" t="n">
        <v>0</v>
      </c>
      <c r="D1122" t="n">
        <v>279</v>
      </c>
      <c r="E1122" t="s">
        <v>1133</v>
      </c>
      <c r="F1122">
        <f>HYPERLINK("http://pbs.twimg.com/media/Db46lqkU0AALprq.jpg", "http://pbs.twimg.com/media/Db46lqkU0AALprq.jpg")</f>
        <v/>
      </c>
      <c r="G1122" t="s"/>
      <c r="H1122" t="s"/>
      <c r="I1122" t="s"/>
      <c r="J1122" t="n">
        <v>0.9112</v>
      </c>
      <c r="K1122" t="n">
        <v>0</v>
      </c>
      <c r="L1122" t="n">
        <v>0.58</v>
      </c>
      <c r="M1122" t="n">
        <v>0.42</v>
      </c>
    </row>
    <row r="1123" spans="1:13">
      <c r="A1123" s="1">
        <f>HYPERLINK("http://www.twitter.com/NathanBLawrence/status/990344727164747777", "990344727164747777")</f>
        <v/>
      </c>
      <c r="B1123" s="2" t="n">
        <v>43218.9022800926</v>
      </c>
      <c r="C1123" t="n">
        <v>0</v>
      </c>
      <c r="D1123" t="n">
        <v>686</v>
      </c>
      <c r="E1123" t="s">
        <v>1134</v>
      </c>
      <c r="F1123">
        <f>HYPERLINK("http://pbs.twimg.com/media/Db5Uq66W4AADZdt.jpg", "http://pbs.twimg.com/media/Db5Uq66W4AADZdt.jpg")</f>
        <v/>
      </c>
      <c r="G1123" t="s"/>
      <c r="H1123" t="s"/>
      <c r="I1123" t="s"/>
      <c r="J1123" t="n">
        <v>0</v>
      </c>
      <c r="K1123" t="n">
        <v>0</v>
      </c>
      <c r="L1123" t="n">
        <v>1</v>
      </c>
      <c r="M1123" t="n">
        <v>0</v>
      </c>
    </row>
    <row r="1124" spans="1:13">
      <c r="A1124" s="1">
        <f>HYPERLINK("http://www.twitter.com/NathanBLawrence/status/990344072253575168", "990344072253575168")</f>
        <v/>
      </c>
      <c r="B1124" s="2" t="n">
        <v>43218.90047453704</v>
      </c>
      <c r="C1124" t="n">
        <v>0</v>
      </c>
      <c r="D1124" t="n">
        <v>1171</v>
      </c>
      <c r="E1124" t="s">
        <v>1135</v>
      </c>
      <c r="F1124" t="s"/>
      <c r="G1124" t="s"/>
      <c r="H1124" t="s"/>
      <c r="I1124" t="s"/>
      <c r="J1124" t="n">
        <v>-0.2263</v>
      </c>
      <c r="K1124" t="n">
        <v>0.127</v>
      </c>
      <c r="L1124" t="n">
        <v>0.777</v>
      </c>
      <c r="M1124" t="n">
        <v>0.095</v>
      </c>
    </row>
    <row r="1125" spans="1:13">
      <c r="A1125" s="1">
        <f>HYPERLINK("http://www.twitter.com/NathanBLawrence/status/990343895249715200", "990343895249715200")</f>
        <v/>
      </c>
      <c r="B1125" s="2" t="n">
        <v>43218.89997685186</v>
      </c>
      <c r="C1125" t="n">
        <v>0</v>
      </c>
      <c r="D1125" t="n">
        <v>28</v>
      </c>
      <c r="E1125" t="s">
        <v>1136</v>
      </c>
      <c r="F1125" t="s"/>
      <c r="G1125" t="s"/>
      <c r="H1125" t="s"/>
      <c r="I1125" t="s"/>
      <c r="J1125" t="n">
        <v>-0.7506</v>
      </c>
      <c r="K1125" t="n">
        <v>0.274</v>
      </c>
      <c r="L1125" t="n">
        <v>0.726</v>
      </c>
      <c r="M1125" t="n">
        <v>0</v>
      </c>
    </row>
    <row r="1126" spans="1:13">
      <c r="A1126" s="1">
        <f>HYPERLINK("http://www.twitter.com/NathanBLawrence/status/990343007189782529", "990343007189782529")</f>
        <v/>
      </c>
      <c r="B1126" s="2" t="n">
        <v>43218.89753472222</v>
      </c>
      <c r="C1126" t="n">
        <v>0</v>
      </c>
      <c r="D1126" t="n">
        <v>171</v>
      </c>
      <c r="E1126" t="s">
        <v>1137</v>
      </c>
      <c r="F1126">
        <f>HYPERLINK("http://pbs.twimg.com/media/Db5c_InW4AAgbvJ.jpg", "http://pbs.twimg.com/media/Db5c_InW4AAgbvJ.jpg")</f>
        <v/>
      </c>
      <c r="G1126" t="s"/>
      <c r="H1126" t="s"/>
      <c r="I1126" t="s"/>
      <c r="J1126" t="n">
        <v>0</v>
      </c>
      <c r="K1126" t="n">
        <v>0</v>
      </c>
      <c r="L1126" t="n">
        <v>1</v>
      </c>
      <c r="M1126" t="n">
        <v>0</v>
      </c>
    </row>
    <row r="1127" spans="1:13">
      <c r="A1127" s="1">
        <f>HYPERLINK("http://www.twitter.com/NathanBLawrence/status/990342936255754240", "990342936255754240")</f>
        <v/>
      </c>
      <c r="B1127" s="2" t="n">
        <v>43218.89733796296</v>
      </c>
      <c r="C1127" t="n">
        <v>0</v>
      </c>
      <c r="D1127" t="n">
        <v>1137</v>
      </c>
      <c r="E1127" t="s">
        <v>1138</v>
      </c>
      <c r="F1127" t="s"/>
      <c r="G1127" t="s"/>
      <c r="H1127" t="s"/>
      <c r="I1127" t="s"/>
      <c r="J1127" t="n">
        <v>0</v>
      </c>
      <c r="K1127" t="n">
        <v>0</v>
      </c>
      <c r="L1127" t="n">
        <v>1</v>
      </c>
      <c r="M1127" t="n">
        <v>0</v>
      </c>
    </row>
    <row r="1128" spans="1:13">
      <c r="A1128" s="1">
        <f>HYPERLINK("http://www.twitter.com/NathanBLawrence/status/990340265801146369", "990340265801146369")</f>
        <v/>
      </c>
      <c r="B1128" s="2" t="n">
        <v>43218.88996527778</v>
      </c>
      <c r="C1128" t="n">
        <v>0</v>
      </c>
      <c r="D1128" t="n">
        <v>477</v>
      </c>
      <c r="E1128" t="s">
        <v>1139</v>
      </c>
      <c r="F1128" t="s"/>
      <c r="G1128" t="s"/>
      <c r="H1128" t="s"/>
      <c r="I1128" t="s"/>
      <c r="J1128" t="n">
        <v>-0.3612</v>
      </c>
      <c r="K1128" t="n">
        <v>0.094</v>
      </c>
      <c r="L1128" t="n">
        <v>0.906</v>
      </c>
      <c r="M1128" t="n">
        <v>0</v>
      </c>
    </row>
    <row r="1129" spans="1:13">
      <c r="A1129" s="1">
        <f>HYPERLINK("http://www.twitter.com/NathanBLawrence/status/990340233681043456", "990340233681043456")</f>
        <v/>
      </c>
      <c r="B1129" s="2" t="n">
        <v>43218.88987268518</v>
      </c>
      <c r="C1129" t="n">
        <v>0</v>
      </c>
      <c r="D1129" t="n">
        <v>538</v>
      </c>
      <c r="E1129" t="s">
        <v>1140</v>
      </c>
      <c r="F1129" t="s"/>
      <c r="G1129" t="s"/>
      <c r="H1129" t="s"/>
      <c r="I1129" t="s"/>
      <c r="J1129" t="n">
        <v>0.7644</v>
      </c>
      <c r="K1129" t="n">
        <v>0</v>
      </c>
      <c r="L1129" t="n">
        <v>0.721</v>
      </c>
      <c r="M1129" t="n">
        <v>0.279</v>
      </c>
    </row>
    <row r="1130" spans="1:13">
      <c r="A1130" s="1">
        <f>HYPERLINK("http://www.twitter.com/NathanBLawrence/status/990339627247656960", "990339627247656960")</f>
        <v/>
      </c>
      <c r="B1130" s="2" t="n">
        <v>43218.88820601852</v>
      </c>
      <c r="C1130" t="n">
        <v>0</v>
      </c>
      <c r="D1130" t="n">
        <v>837</v>
      </c>
      <c r="E1130" t="s">
        <v>1141</v>
      </c>
      <c r="F1130" t="s"/>
      <c r="G1130" t="s"/>
      <c r="H1130" t="s"/>
      <c r="I1130" t="s"/>
      <c r="J1130" t="n">
        <v>0</v>
      </c>
      <c r="K1130" t="n">
        <v>0</v>
      </c>
      <c r="L1130" t="n">
        <v>1</v>
      </c>
      <c r="M1130" t="n">
        <v>0</v>
      </c>
    </row>
    <row r="1131" spans="1:13">
      <c r="A1131" s="1">
        <f>HYPERLINK("http://www.twitter.com/NathanBLawrence/status/990219373695598592", "990219373695598592")</f>
        <v/>
      </c>
      <c r="B1131" s="2" t="n">
        <v>43218.55636574074</v>
      </c>
      <c r="C1131" t="n">
        <v>0</v>
      </c>
      <c r="D1131" t="n">
        <v>1381</v>
      </c>
      <c r="E1131" t="s">
        <v>1142</v>
      </c>
      <c r="F1131">
        <f>HYPERLINK("http://pbs.twimg.com/media/Db117q6VAAA3nlV.jpg", "http://pbs.twimg.com/media/Db117q6VAAA3nlV.jpg")</f>
        <v/>
      </c>
      <c r="G1131" t="s"/>
      <c r="H1131" t="s"/>
      <c r="I1131" t="s"/>
      <c r="J1131" t="n">
        <v>0.913</v>
      </c>
      <c r="K1131" t="n">
        <v>0</v>
      </c>
      <c r="L1131" t="n">
        <v>0.593</v>
      </c>
      <c r="M1131" t="n">
        <v>0.407</v>
      </c>
    </row>
    <row r="1132" spans="1:13">
      <c r="A1132" s="1">
        <f>HYPERLINK("http://www.twitter.com/NathanBLawrence/status/990218542372007936", "990218542372007936")</f>
        <v/>
      </c>
      <c r="B1132" s="2" t="n">
        <v>43218.55407407408</v>
      </c>
      <c r="C1132" t="n">
        <v>0</v>
      </c>
      <c r="D1132" t="n">
        <v>978</v>
      </c>
      <c r="E1132" t="s">
        <v>1143</v>
      </c>
      <c r="F1132" t="s"/>
      <c r="G1132" t="s"/>
      <c r="H1132" t="s"/>
      <c r="I1132" t="s"/>
      <c r="J1132" t="n">
        <v>0</v>
      </c>
      <c r="K1132" t="n">
        <v>0</v>
      </c>
      <c r="L1132" t="n">
        <v>1</v>
      </c>
      <c r="M1132" t="n">
        <v>0</v>
      </c>
    </row>
    <row r="1133" spans="1:13">
      <c r="A1133" s="1">
        <f>HYPERLINK("http://www.twitter.com/NathanBLawrence/status/990218122857721857", "990218122857721857")</f>
        <v/>
      </c>
      <c r="B1133" s="2" t="n">
        <v>43218.55291666667</v>
      </c>
      <c r="C1133" t="n">
        <v>0</v>
      </c>
      <c r="D1133" t="n">
        <v>442</v>
      </c>
      <c r="E1133" t="s">
        <v>1144</v>
      </c>
      <c r="F1133" t="s"/>
      <c r="G1133" t="s"/>
      <c r="H1133" t="s"/>
      <c r="I1133" t="s"/>
      <c r="J1133" t="n">
        <v>0.5574</v>
      </c>
      <c r="K1133" t="n">
        <v>0</v>
      </c>
      <c r="L1133" t="n">
        <v>0.8159999999999999</v>
      </c>
      <c r="M1133" t="n">
        <v>0.184</v>
      </c>
    </row>
    <row r="1134" spans="1:13">
      <c r="A1134" s="1">
        <f>HYPERLINK("http://www.twitter.com/NathanBLawrence/status/990217724180692992", "990217724180692992")</f>
        <v/>
      </c>
      <c r="B1134" s="2" t="n">
        <v>43218.55181712963</v>
      </c>
      <c r="C1134" t="n">
        <v>0</v>
      </c>
      <c r="D1134" t="n">
        <v>9617</v>
      </c>
      <c r="E1134" t="s">
        <v>1145</v>
      </c>
      <c r="F1134">
        <f>HYPERLINK("https://video.twimg.com/amplify_video/989952836703346689/vid/1280x720/CpW3Wk46ZPMCOSxR.mp4?tag=2", "https://video.twimg.com/amplify_video/989952836703346689/vid/1280x720/CpW3Wk46ZPMCOSxR.mp4?tag=2")</f>
        <v/>
      </c>
      <c r="G1134" t="s"/>
      <c r="H1134" t="s"/>
      <c r="I1134" t="s"/>
      <c r="J1134" t="n">
        <v>0.6808</v>
      </c>
      <c r="K1134" t="n">
        <v>0</v>
      </c>
      <c r="L1134" t="n">
        <v>0.752</v>
      </c>
      <c r="M1134" t="n">
        <v>0.248</v>
      </c>
    </row>
    <row r="1135" spans="1:13">
      <c r="A1135" s="1">
        <f>HYPERLINK("http://www.twitter.com/NathanBLawrence/status/990217629125226496", "990217629125226496")</f>
        <v/>
      </c>
      <c r="B1135" s="2" t="n">
        <v>43218.55155092593</v>
      </c>
      <c r="C1135" t="n">
        <v>0</v>
      </c>
      <c r="D1135" t="n">
        <v>2322</v>
      </c>
      <c r="E1135" t="s">
        <v>1146</v>
      </c>
      <c r="F1135" t="s"/>
      <c r="G1135" t="s"/>
      <c r="H1135" t="s"/>
      <c r="I1135" t="s"/>
      <c r="J1135" t="n">
        <v>0.34</v>
      </c>
      <c r="K1135" t="n">
        <v>0.094</v>
      </c>
      <c r="L1135" t="n">
        <v>0.743</v>
      </c>
      <c r="M1135" t="n">
        <v>0.163</v>
      </c>
    </row>
    <row r="1136" spans="1:13">
      <c r="A1136" s="1">
        <f>HYPERLINK("http://www.twitter.com/NathanBLawrence/status/990217559613018112", "990217559613018112")</f>
        <v/>
      </c>
      <c r="B1136" s="2" t="n">
        <v>43218.55136574074</v>
      </c>
      <c r="C1136" t="n">
        <v>0</v>
      </c>
      <c r="D1136" t="n">
        <v>332</v>
      </c>
      <c r="E1136" t="s">
        <v>1147</v>
      </c>
      <c r="F1136" t="s"/>
      <c r="G1136" t="s"/>
      <c r="H1136" t="s"/>
      <c r="I1136" t="s"/>
      <c r="J1136" t="n">
        <v>-0.3612</v>
      </c>
      <c r="K1136" t="n">
        <v>0.185</v>
      </c>
      <c r="L1136" t="n">
        <v>0.8149999999999999</v>
      </c>
      <c r="M1136" t="n">
        <v>0</v>
      </c>
    </row>
    <row r="1137" spans="1:13">
      <c r="A1137" s="1">
        <f>HYPERLINK("http://www.twitter.com/NathanBLawrence/status/990216890470555648", "990216890470555648")</f>
        <v/>
      </c>
      <c r="B1137" s="2" t="n">
        <v>43218.54951388889</v>
      </c>
      <c r="C1137" t="n">
        <v>0</v>
      </c>
      <c r="D1137" t="n">
        <v>24</v>
      </c>
      <c r="E1137" t="s">
        <v>1148</v>
      </c>
      <c r="F1137">
        <f>HYPERLINK("http://pbs.twimg.com/media/Db18oKrU0AEPLq4.jpg", "http://pbs.twimg.com/media/Db18oKrU0AEPLq4.jpg")</f>
        <v/>
      </c>
      <c r="G1137" t="s"/>
      <c r="H1137" t="s"/>
      <c r="I1137" t="s"/>
      <c r="J1137" t="n">
        <v>0.4019</v>
      </c>
      <c r="K1137" t="n">
        <v>0</v>
      </c>
      <c r="L1137" t="n">
        <v>0.87</v>
      </c>
      <c r="M1137" t="n">
        <v>0.13</v>
      </c>
    </row>
    <row r="1138" spans="1:13">
      <c r="A1138" s="1">
        <f>HYPERLINK("http://www.twitter.com/NathanBLawrence/status/990216718264958976", "990216718264958976")</f>
        <v/>
      </c>
      <c r="B1138" s="2" t="n">
        <v>43218.54903935185</v>
      </c>
      <c r="C1138" t="n">
        <v>0</v>
      </c>
      <c r="D1138" t="n">
        <v>2997</v>
      </c>
      <c r="E1138" t="s">
        <v>1149</v>
      </c>
      <c r="F1138" t="s"/>
      <c r="G1138" t="s"/>
      <c r="H1138" t="s"/>
      <c r="I1138" t="s"/>
      <c r="J1138" t="n">
        <v>0</v>
      </c>
      <c r="K1138" t="n">
        <v>0</v>
      </c>
      <c r="L1138" t="n">
        <v>1</v>
      </c>
      <c r="M1138" t="n">
        <v>0</v>
      </c>
    </row>
    <row r="1139" spans="1:13">
      <c r="A1139" s="1">
        <f>HYPERLINK("http://www.twitter.com/NathanBLawrence/status/990216173915725824", "990216173915725824")</f>
        <v/>
      </c>
      <c r="B1139" s="2" t="n">
        <v>43218.54753472222</v>
      </c>
      <c r="C1139" t="n">
        <v>0</v>
      </c>
      <c r="D1139" t="n">
        <v>1531</v>
      </c>
      <c r="E1139" t="s">
        <v>1150</v>
      </c>
      <c r="F1139">
        <f>HYPERLINK("http://pbs.twimg.com/media/Db3vf7JX4AAAYVQ.jpg", "http://pbs.twimg.com/media/Db3vf7JX4AAAYVQ.jpg")</f>
        <v/>
      </c>
      <c r="G1139" t="s"/>
      <c r="H1139" t="s"/>
      <c r="I1139" t="s"/>
      <c r="J1139" t="n">
        <v>-0.8258</v>
      </c>
      <c r="K1139" t="n">
        <v>0.311</v>
      </c>
      <c r="L1139" t="n">
        <v>0.6889999999999999</v>
      </c>
      <c r="M1139" t="n">
        <v>0</v>
      </c>
    </row>
    <row r="1140" spans="1:13">
      <c r="A1140" s="1">
        <f>HYPERLINK("http://www.twitter.com/NathanBLawrence/status/990212187854647298", "990212187854647298")</f>
        <v/>
      </c>
      <c r="B1140" s="2" t="n">
        <v>43218.53653935185</v>
      </c>
      <c r="C1140" t="n">
        <v>0</v>
      </c>
      <c r="D1140" t="n">
        <v>142</v>
      </c>
      <c r="E1140" t="s">
        <v>1151</v>
      </c>
      <c r="F1140">
        <f>HYPERLINK("http://pbs.twimg.com/media/Db0LlcVXcAE8A7D.jpg", "http://pbs.twimg.com/media/Db0LlcVXcAE8A7D.jpg")</f>
        <v/>
      </c>
      <c r="G1140" t="s"/>
      <c r="H1140" t="s"/>
      <c r="I1140" t="s"/>
      <c r="J1140" t="n">
        <v>0.7262999999999999</v>
      </c>
      <c r="K1140" t="n">
        <v>0</v>
      </c>
      <c r="L1140" t="n">
        <v>0.724</v>
      </c>
      <c r="M1140" t="n">
        <v>0.276</v>
      </c>
    </row>
    <row r="1141" spans="1:13">
      <c r="A1141" s="1">
        <f>HYPERLINK("http://www.twitter.com/NathanBLawrence/status/990037999919476736", "990037999919476736")</f>
        <v/>
      </c>
      <c r="B1141" s="2" t="n">
        <v>43218.05586805556</v>
      </c>
      <c r="C1141" t="n">
        <v>0</v>
      </c>
      <c r="D1141" t="n">
        <v>771</v>
      </c>
      <c r="E1141" t="s">
        <v>1152</v>
      </c>
      <c r="F1141">
        <f>HYPERLINK("http://pbs.twimg.com/media/Db0DXW2UwAAgZvd.jpg", "http://pbs.twimg.com/media/Db0DXW2UwAAgZvd.jpg")</f>
        <v/>
      </c>
      <c r="G1141" t="s"/>
      <c r="H1141" t="s"/>
      <c r="I1141" t="s"/>
      <c r="J1141" t="n">
        <v>0</v>
      </c>
      <c r="K1141" t="n">
        <v>0</v>
      </c>
      <c r="L1141" t="n">
        <v>1</v>
      </c>
      <c r="M1141" t="n">
        <v>0</v>
      </c>
    </row>
    <row r="1142" spans="1:13">
      <c r="A1142" s="1">
        <f>HYPERLINK("http://www.twitter.com/NathanBLawrence/status/990035887500283906", "990035887500283906")</f>
        <v/>
      </c>
      <c r="B1142" s="2" t="n">
        <v>43218.0500462963</v>
      </c>
      <c r="C1142" t="n">
        <v>0</v>
      </c>
      <c r="D1142" t="n">
        <v>725</v>
      </c>
      <c r="E1142" t="s">
        <v>1153</v>
      </c>
      <c r="F1142">
        <f>HYPERLINK("http://pbs.twimg.com/media/DbzXCJwVMAAJV1-.jpg", "http://pbs.twimg.com/media/DbzXCJwVMAAJV1-.jpg")</f>
        <v/>
      </c>
      <c r="G1142" t="s"/>
      <c r="H1142" t="s"/>
      <c r="I1142" t="s"/>
      <c r="J1142" t="n">
        <v>0</v>
      </c>
      <c r="K1142" t="n">
        <v>0</v>
      </c>
      <c r="L1142" t="n">
        <v>1</v>
      </c>
      <c r="M1142" t="n">
        <v>0</v>
      </c>
    </row>
    <row r="1143" spans="1:13">
      <c r="A1143" s="1">
        <f>HYPERLINK("http://www.twitter.com/NathanBLawrence/status/989876763596554241", "989876763596554241")</f>
        <v/>
      </c>
      <c r="B1143" s="2" t="n">
        <v>43217.61094907407</v>
      </c>
      <c r="C1143" t="n">
        <v>0</v>
      </c>
      <c r="D1143" t="n">
        <v>18</v>
      </c>
      <c r="E1143" t="s">
        <v>1154</v>
      </c>
      <c r="F1143">
        <f>HYPERLINK("http://pbs.twimg.com/media/DbyS9yVVAAABTyd.jpg", "http://pbs.twimg.com/media/DbyS9yVVAAABTyd.jpg")</f>
        <v/>
      </c>
      <c r="G1143" t="s"/>
      <c r="H1143" t="s"/>
      <c r="I1143" t="s"/>
      <c r="J1143" t="n">
        <v>0</v>
      </c>
      <c r="K1143" t="n">
        <v>0</v>
      </c>
      <c r="L1143" t="n">
        <v>1</v>
      </c>
      <c r="M1143" t="n">
        <v>0</v>
      </c>
    </row>
    <row r="1144" spans="1:13">
      <c r="A1144" s="1">
        <f>HYPERLINK("http://www.twitter.com/NathanBLawrence/status/989876579554811904", "989876579554811904")</f>
        <v/>
      </c>
      <c r="B1144" s="2" t="n">
        <v>43217.61043981482</v>
      </c>
      <c r="C1144" t="n">
        <v>0</v>
      </c>
      <c r="D1144" t="n">
        <v>562</v>
      </c>
      <c r="E1144" t="s">
        <v>1155</v>
      </c>
      <c r="F1144" t="s"/>
      <c r="G1144" t="s"/>
      <c r="H1144" t="s"/>
      <c r="I1144" t="s"/>
      <c r="J1144" t="n">
        <v>0</v>
      </c>
      <c r="K1144" t="n">
        <v>0</v>
      </c>
      <c r="L1144" t="n">
        <v>1</v>
      </c>
      <c r="M1144" t="n">
        <v>0</v>
      </c>
    </row>
    <row r="1145" spans="1:13">
      <c r="A1145" s="1">
        <f>HYPERLINK("http://www.twitter.com/NathanBLawrence/status/989876524244439040", "989876524244439040")</f>
        <v/>
      </c>
      <c r="B1145" s="2" t="n">
        <v>43217.61028935185</v>
      </c>
      <c r="C1145" t="n">
        <v>0</v>
      </c>
      <c r="D1145" t="n">
        <v>56</v>
      </c>
      <c r="E1145" t="s">
        <v>1156</v>
      </c>
      <c r="F1145">
        <f>HYPERLINK("http://pbs.twimg.com/media/Dbw_-ZOVAAE0Vqi.jpg", "http://pbs.twimg.com/media/Dbw_-ZOVAAE0Vqi.jpg")</f>
        <v/>
      </c>
      <c r="G1145" t="s"/>
      <c r="H1145" t="s"/>
      <c r="I1145" t="s"/>
      <c r="J1145" t="n">
        <v>0</v>
      </c>
      <c r="K1145" t="n">
        <v>0</v>
      </c>
      <c r="L1145" t="n">
        <v>1</v>
      </c>
      <c r="M1145" t="n">
        <v>0</v>
      </c>
    </row>
    <row r="1146" spans="1:13">
      <c r="A1146" s="1">
        <f>HYPERLINK("http://www.twitter.com/NathanBLawrence/status/989876086606581760", "989876086606581760")</f>
        <v/>
      </c>
      <c r="B1146" s="2" t="n">
        <v>43217.60907407408</v>
      </c>
      <c r="C1146" t="n">
        <v>0</v>
      </c>
      <c r="D1146" t="n">
        <v>412</v>
      </c>
      <c r="E1146" t="s">
        <v>1157</v>
      </c>
      <c r="F1146" t="s"/>
      <c r="G1146" t="s"/>
      <c r="H1146" t="s"/>
      <c r="I1146" t="s"/>
      <c r="J1146" t="n">
        <v>0.4767</v>
      </c>
      <c r="K1146" t="n">
        <v>0</v>
      </c>
      <c r="L1146" t="n">
        <v>0.78</v>
      </c>
      <c r="M1146" t="n">
        <v>0.22</v>
      </c>
    </row>
    <row r="1147" spans="1:13">
      <c r="A1147" s="1">
        <f>HYPERLINK("http://www.twitter.com/NathanBLawrence/status/989875721349758976", "989875721349758976")</f>
        <v/>
      </c>
      <c r="B1147" s="2" t="n">
        <v>43217.60806712963</v>
      </c>
      <c r="C1147" t="n">
        <v>0</v>
      </c>
      <c r="D1147" t="n">
        <v>59</v>
      </c>
      <c r="E1147" t="s">
        <v>1158</v>
      </c>
      <c r="F1147" t="s"/>
      <c r="G1147" t="s"/>
      <c r="H1147" t="s"/>
      <c r="I1147" t="s"/>
      <c r="J1147" t="n">
        <v>-0.357</v>
      </c>
      <c r="K1147" t="n">
        <v>0.15</v>
      </c>
      <c r="L1147" t="n">
        <v>0.85</v>
      </c>
      <c r="M1147" t="n">
        <v>0</v>
      </c>
    </row>
    <row r="1148" spans="1:13">
      <c r="A1148" s="1">
        <f>HYPERLINK("http://www.twitter.com/NathanBLawrence/status/989875478281547776", "989875478281547776")</f>
        <v/>
      </c>
      <c r="B1148" s="2" t="n">
        <v>43217.60739583334</v>
      </c>
      <c r="C1148" t="n">
        <v>0</v>
      </c>
      <c r="D1148" t="n">
        <v>964</v>
      </c>
      <c r="E1148" t="s">
        <v>1159</v>
      </c>
      <c r="F1148" t="s"/>
      <c r="G1148" t="s"/>
      <c r="H1148" t="s"/>
      <c r="I1148" t="s"/>
      <c r="J1148" t="n">
        <v>0</v>
      </c>
      <c r="K1148" t="n">
        <v>0</v>
      </c>
      <c r="L1148" t="n">
        <v>1</v>
      </c>
      <c r="M1148" t="n">
        <v>0</v>
      </c>
    </row>
    <row r="1149" spans="1:13">
      <c r="A1149" s="1">
        <f>HYPERLINK("http://www.twitter.com/NathanBLawrence/status/989875390897369088", "989875390897369088")</f>
        <v/>
      </c>
      <c r="B1149" s="2" t="n">
        <v>43217.60715277777</v>
      </c>
      <c r="C1149" t="n">
        <v>0</v>
      </c>
      <c r="D1149" t="n">
        <v>2050</v>
      </c>
      <c r="E1149" t="s">
        <v>1160</v>
      </c>
      <c r="F1149">
        <f>HYPERLINK("https://video.twimg.com/amplify_video/989777781377683457/vid/720x720/oXjHYU-onVOvm4Qg.mp4?tag=2", "https://video.twimg.com/amplify_video/989777781377683457/vid/720x720/oXjHYU-onVOvm4Qg.mp4?tag=2")</f>
        <v/>
      </c>
      <c r="G1149" t="s"/>
      <c r="H1149" t="s"/>
      <c r="I1149" t="s"/>
      <c r="J1149" t="n">
        <v>0</v>
      </c>
      <c r="K1149" t="n">
        <v>0</v>
      </c>
      <c r="L1149" t="n">
        <v>1</v>
      </c>
      <c r="M1149" t="n">
        <v>0</v>
      </c>
    </row>
    <row r="1150" spans="1:13">
      <c r="A1150" s="1">
        <f>HYPERLINK("http://www.twitter.com/NathanBLawrence/status/989875219706929155", "989875219706929155")</f>
        <v/>
      </c>
      <c r="B1150" s="2" t="n">
        <v>43217.60668981481</v>
      </c>
      <c r="C1150" t="n">
        <v>0</v>
      </c>
      <c r="D1150" t="n">
        <v>34</v>
      </c>
      <c r="E1150" t="s">
        <v>1161</v>
      </c>
      <c r="F1150">
        <f>HYPERLINK("http://pbs.twimg.com/media/Dby59-FVMAUFb9A.jpg", "http://pbs.twimg.com/media/Dby59-FVMAUFb9A.jpg")</f>
        <v/>
      </c>
      <c r="G1150" t="s"/>
      <c r="H1150" t="s"/>
      <c r="I1150" t="s"/>
      <c r="J1150" t="n">
        <v>-0.296</v>
      </c>
      <c r="K1150" t="n">
        <v>0.081</v>
      </c>
      <c r="L1150" t="n">
        <v>0.919</v>
      </c>
      <c r="M1150" t="n">
        <v>0</v>
      </c>
    </row>
    <row r="1151" spans="1:13">
      <c r="A1151" s="1">
        <f>HYPERLINK("http://www.twitter.com/NathanBLawrence/status/989873609513619456", "989873609513619456")</f>
        <v/>
      </c>
      <c r="B1151" s="2" t="n">
        <v>43217.60224537037</v>
      </c>
      <c r="C1151" t="n">
        <v>0</v>
      </c>
      <c r="D1151" t="n">
        <v>16</v>
      </c>
      <c r="E1151" t="s">
        <v>1162</v>
      </c>
      <c r="F1151" t="s"/>
      <c r="G1151" t="s"/>
      <c r="H1151" t="s"/>
      <c r="I1151" t="s"/>
      <c r="J1151" t="n">
        <v>0.34</v>
      </c>
      <c r="K1151" t="n">
        <v>0</v>
      </c>
      <c r="L1151" t="n">
        <v>0.882</v>
      </c>
      <c r="M1151" t="n">
        <v>0.118</v>
      </c>
    </row>
    <row r="1152" spans="1:13">
      <c r="A1152" s="1">
        <f>HYPERLINK("http://www.twitter.com/NathanBLawrence/status/989873476969402369", "989873476969402369")</f>
        <v/>
      </c>
      <c r="B1152" s="2" t="n">
        <v>43217.601875</v>
      </c>
      <c r="C1152" t="n">
        <v>0</v>
      </c>
      <c r="D1152" t="n">
        <v>33448</v>
      </c>
      <c r="E1152" t="s">
        <v>1163</v>
      </c>
      <c r="F1152" t="s"/>
      <c r="G1152" t="s"/>
      <c r="H1152" t="s"/>
      <c r="I1152" t="s"/>
      <c r="J1152" t="n">
        <v>0.4767</v>
      </c>
      <c r="K1152" t="n">
        <v>0</v>
      </c>
      <c r="L1152" t="n">
        <v>0.846</v>
      </c>
      <c r="M1152" t="n">
        <v>0.154</v>
      </c>
    </row>
    <row r="1153" spans="1:13">
      <c r="A1153" s="1">
        <f>HYPERLINK("http://www.twitter.com/NathanBLawrence/status/989872672577290240", "989872672577290240")</f>
        <v/>
      </c>
      <c r="B1153" s="2" t="n">
        <v>43217.59965277778</v>
      </c>
      <c r="C1153" t="n">
        <v>0</v>
      </c>
      <c r="D1153" t="n">
        <v>2409</v>
      </c>
      <c r="E1153" t="s">
        <v>1164</v>
      </c>
      <c r="F1153">
        <f>HYPERLINK("http://pbs.twimg.com/media/DbqrotnVQAExbOu.jpg", "http://pbs.twimg.com/media/DbqrotnVQAExbOu.jpg")</f>
        <v/>
      </c>
      <c r="G1153" t="s"/>
      <c r="H1153" t="s"/>
      <c r="I1153" t="s"/>
      <c r="J1153" t="n">
        <v>0</v>
      </c>
      <c r="K1153" t="n">
        <v>0</v>
      </c>
      <c r="L1153" t="n">
        <v>1</v>
      </c>
      <c r="M1153" t="n">
        <v>0</v>
      </c>
    </row>
    <row r="1154" spans="1:13">
      <c r="A1154" s="1">
        <f>HYPERLINK("http://www.twitter.com/NathanBLawrence/status/989872492809539584", "989872492809539584")</f>
        <v/>
      </c>
      <c r="B1154" s="2" t="n">
        <v>43217.59915509259</v>
      </c>
      <c r="C1154" t="n">
        <v>0</v>
      </c>
      <c r="D1154" t="n">
        <v>16566</v>
      </c>
      <c r="E1154" t="s">
        <v>1165</v>
      </c>
      <c r="F1154">
        <f>HYPERLINK("https://video.twimg.com/ext_tw_video/989822618705498112/pu/vid/640x360/6RRcy1S5BIvHCRUe.mp4?tag=3", "https://video.twimg.com/ext_tw_video/989822618705498112/pu/vid/640x360/6RRcy1S5BIvHCRUe.mp4?tag=3")</f>
        <v/>
      </c>
      <c r="G1154" t="s"/>
      <c r="H1154" t="s"/>
      <c r="I1154" t="s"/>
      <c r="J1154" t="n">
        <v>0.3818</v>
      </c>
      <c r="K1154" t="n">
        <v>0</v>
      </c>
      <c r="L1154" t="n">
        <v>0.867</v>
      </c>
      <c r="M1154" t="n">
        <v>0.133</v>
      </c>
    </row>
    <row r="1155" spans="1:13">
      <c r="A1155" s="1">
        <f>HYPERLINK("http://www.twitter.com/NathanBLawrence/status/989871108953436160", "989871108953436160")</f>
        <v/>
      </c>
      <c r="B1155" s="2" t="n">
        <v>43217.59533564815</v>
      </c>
      <c r="C1155" t="n">
        <v>0</v>
      </c>
      <c r="D1155" t="n">
        <v>731</v>
      </c>
      <c r="E1155" t="s">
        <v>1166</v>
      </c>
      <c r="F1155">
        <f>HYPERLINK("http://pbs.twimg.com/media/DbyGOhAW4AACT0f.jpg", "http://pbs.twimg.com/media/DbyGOhAW4AACT0f.jpg")</f>
        <v/>
      </c>
      <c r="G1155" t="s"/>
      <c r="H1155" t="s"/>
      <c r="I1155" t="s"/>
      <c r="J1155" t="n">
        <v>0.0772</v>
      </c>
      <c r="K1155" t="n">
        <v>0</v>
      </c>
      <c r="L1155" t="n">
        <v>0.9419999999999999</v>
      </c>
      <c r="M1155" t="n">
        <v>0.058</v>
      </c>
    </row>
    <row r="1156" spans="1:13">
      <c r="A1156" s="1">
        <f>HYPERLINK("http://www.twitter.com/NathanBLawrence/status/989870164605841408", "989870164605841408")</f>
        <v/>
      </c>
      <c r="B1156" s="2" t="n">
        <v>43217.59273148148</v>
      </c>
      <c r="C1156" t="n">
        <v>0</v>
      </c>
      <c r="D1156" t="n">
        <v>1051</v>
      </c>
      <c r="E1156" t="s">
        <v>1167</v>
      </c>
      <c r="F1156" t="s"/>
      <c r="G1156" t="s"/>
      <c r="H1156" t="s"/>
      <c r="I1156" t="s"/>
      <c r="J1156" t="n">
        <v>0.6249</v>
      </c>
      <c r="K1156" t="n">
        <v>0</v>
      </c>
      <c r="L1156" t="n">
        <v>0.83</v>
      </c>
      <c r="M1156" t="n">
        <v>0.17</v>
      </c>
    </row>
    <row r="1157" spans="1:13">
      <c r="A1157" s="1">
        <f>HYPERLINK("http://www.twitter.com/NathanBLawrence/status/989864688539389952", "989864688539389952")</f>
        <v/>
      </c>
      <c r="B1157" s="2" t="n">
        <v>43217.57762731481</v>
      </c>
      <c r="C1157" t="n">
        <v>0</v>
      </c>
      <c r="D1157" t="n">
        <v>32</v>
      </c>
      <c r="E1157" t="s">
        <v>1168</v>
      </c>
      <c r="F1157" t="s"/>
      <c r="G1157" t="s"/>
      <c r="H1157" t="s"/>
      <c r="I1157" t="s"/>
      <c r="J1157" t="n">
        <v>0</v>
      </c>
      <c r="K1157" t="n">
        <v>0</v>
      </c>
      <c r="L1157" t="n">
        <v>1</v>
      </c>
      <c r="M1157" t="n">
        <v>0</v>
      </c>
    </row>
    <row r="1158" spans="1:13">
      <c r="A1158" s="1">
        <f>HYPERLINK("http://www.twitter.com/NathanBLawrence/status/989863779495182337", "989863779495182337")</f>
        <v/>
      </c>
      <c r="B1158" s="2" t="n">
        <v>43217.57511574074</v>
      </c>
      <c r="C1158" t="n">
        <v>0</v>
      </c>
      <c r="D1158" t="n">
        <v>138</v>
      </c>
      <c r="E1158" t="s">
        <v>1169</v>
      </c>
      <c r="F1158" t="s"/>
      <c r="G1158" t="s"/>
      <c r="H1158" t="s"/>
      <c r="I1158" t="s"/>
      <c r="J1158" t="n">
        <v>-0.4019</v>
      </c>
      <c r="K1158" t="n">
        <v>0.13</v>
      </c>
      <c r="L1158" t="n">
        <v>0.87</v>
      </c>
      <c r="M1158" t="n">
        <v>0</v>
      </c>
    </row>
    <row r="1159" spans="1:13">
      <c r="A1159" s="1">
        <f>HYPERLINK("http://www.twitter.com/NathanBLawrence/status/989861724932268033", "989861724932268033")</f>
        <v/>
      </c>
      <c r="B1159" s="2" t="n">
        <v>43217.56944444445</v>
      </c>
      <c r="C1159" t="n">
        <v>0</v>
      </c>
      <c r="D1159" t="n">
        <v>120</v>
      </c>
      <c r="E1159" t="s">
        <v>1170</v>
      </c>
      <c r="F1159" t="s"/>
      <c r="G1159" t="s"/>
      <c r="H1159" t="s"/>
      <c r="I1159" t="s"/>
      <c r="J1159" t="n">
        <v>-0.25</v>
      </c>
      <c r="K1159" t="n">
        <v>0.133</v>
      </c>
      <c r="L1159" t="n">
        <v>0.867</v>
      </c>
      <c r="M1159" t="n">
        <v>0</v>
      </c>
    </row>
    <row r="1160" spans="1:13">
      <c r="A1160" s="1">
        <f>HYPERLINK("http://www.twitter.com/NathanBLawrence/status/989707039910825984", "989707039910825984")</f>
        <v/>
      </c>
      <c r="B1160" s="2" t="n">
        <v>43217.14259259259</v>
      </c>
      <c r="C1160" t="n">
        <v>0</v>
      </c>
      <c r="D1160" t="n">
        <v>13452</v>
      </c>
      <c r="E1160" t="s">
        <v>1171</v>
      </c>
      <c r="F1160">
        <f>HYPERLINK("https://video.twimg.com/ext_tw_video/989680960080875521/pu/vid/1280x720/G4AwHKXqFEURsjrw.mp4?tag=3", "https://video.twimg.com/ext_tw_video/989680960080875521/pu/vid/1280x720/G4AwHKXqFEURsjrw.mp4?tag=3")</f>
        <v/>
      </c>
      <c r="G1160" t="s"/>
      <c r="H1160" t="s"/>
      <c r="I1160" t="s"/>
      <c r="J1160" t="n">
        <v>0</v>
      </c>
      <c r="K1160" t="n">
        <v>0</v>
      </c>
      <c r="L1160" t="n">
        <v>1</v>
      </c>
      <c r="M1160" t="n">
        <v>0</v>
      </c>
    </row>
    <row r="1161" spans="1:13">
      <c r="A1161" s="1">
        <f>HYPERLINK("http://www.twitter.com/NathanBLawrence/status/989701615031668737", "989701615031668737")</f>
        <v/>
      </c>
      <c r="B1161" s="2" t="n">
        <v>43217.12762731482</v>
      </c>
      <c r="C1161" t="n">
        <v>0</v>
      </c>
      <c r="D1161" t="n">
        <v>4</v>
      </c>
      <c r="E1161" t="s">
        <v>1172</v>
      </c>
      <c r="F1161">
        <f>HYPERLINK("http://pbs.twimg.com/media/DbwdK1IVQAEdGN4.jpg", "http://pbs.twimg.com/media/DbwdK1IVQAEdGN4.jpg")</f>
        <v/>
      </c>
      <c r="G1161" t="s"/>
      <c r="H1161" t="s"/>
      <c r="I1161" t="s"/>
      <c r="J1161" t="n">
        <v>0</v>
      </c>
      <c r="K1161" t="n">
        <v>0</v>
      </c>
      <c r="L1161" t="n">
        <v>1</v>
      </c>
      <c r="M1161" t="n">
        <v>0</v>
      </c>
    </row>
    <row r="1162" spans="1:13">
      <c r="A1162" s="1">
        <f>HYPERLINK("http://www.twitter.com/NathanBLawrence/status/989701416095805440", "989701416095805440")</f>
        <v/>
      </c>
      <c r="B1162" s="2" t="n">
        <v>43217.12708333333</v>
      </c>
      <c r="C1162" t="n">
        <v>0</v>
      </c>
      <c r="D1162" t="n">
        <v>1</v>
      </c>
      <c r="E1162" t="s">
        <v>1173</v>
      </c>
      <c r="F1162" t="s"/>
      <c r="G1162" t="s"/>
      <c r="H1162" t="s"/>
      <c r="I1162" t="s"/>
      <c r="J1162" t="n">
        <v>0</v>
      </c>
      <c r="K1162" t="n">
        <v>0</v>
      </c>
      <c r="L1162" t="n">
        <v>1</v>
      </c>
      <c r="M1162" t="n">
        <v>0</v>
      </c>
    </row>
    <row r="1163" spans="1:13">
      <c r="A1163" s="1">
        <f>HYPERLINK("http://www.twitter.com/NathanBLawrence/status/989701336672423937", "989701336672423937")</f>
        <v/>
      </c>
      <c r="B1163" s="2" t="n">
        <v>43217.12686342592</v>
      </c>
      <c r="C1163" t="n">
        <v>0</v>
      </c>
      <c r="D1163" t="n">
        <v>1569</v>
      </c>
      <c r="E1163" t="s">
        <v>1174</v>
      </c>
      <c r="F1163">
        <f>HYPERLINK("http://pbs.twimg.com/media/DbwCN5kVMAAGXs0.jpg", "http://pbs.twimg.com/media/DbwCN5kVMAAGXs0.jpg")</f>
        <v/>
      </c>
      <c r="G1163" t="s"/>
      <c r="H1163" t="s"/>
      <c r="I1163" t="s"/>
      <c r="J1163" t="n">
        <v>0</v>
      </c>
      <c r="K1163" t="n">
        <v>0</v>
      </c>
      <c r="L1163" t="n">
        <v>1</v>
      </c>
      <c r="M1163" t="n">
        <v>0</v>
      </c>
    </row>
    <row r="1164" spans="1:13">
      <c r="A1164" s="1">
        <f>HYPERLINK("http://www.twitter.com/NathanBLawrence/status/989700942659575808", "989700942659575808")</f>
        <v/>
      </c>
      <c r="B1164" s="2" t="n">
        <v>43217.12577546296</v>
      </c>
      <c r="C1164" t="n">
        <v>0</v>
      </c>
      <c r="D1164" t="n">
        <v>30</v>
      </c>
      <c r="E1164" t="s">
        <v>1175</v>
      </c>
      <c r="F1164">
        <f>HYPERLINK("http://pbs.twimg.com/media/DbwVOF5U8AAv0O8.jpg", "http://pbs.twimg.com/media/DbwVOF5U8AAv0O8.jpg")</f>
        <v/>
      </c>
      <c r="G1164" t="s"/>
      <c r="H1164" t="s"/>
      <c r="I1164" t="s"/>
      <c r="J1164" t="n">
        <v>0</v>
      </c>
      <c r="K1164" t="n">
        <v>0</v>
      </c>
      <c r="L1164" t="n">
        <v>1</v>
      </c>
      <c r="M1164" t="n">
        <v>0</v>
      </c>
    </row>
    <row r="1165" spans="1:13">
      <c r="A1165" s="1">
        <f>HYPERLINK("http://www.twitter.com/NathanBLawrence/status/989700555617554434", "989700555617554434")</f>
        <v/>
      </c>
      <c r="B1165" s="2" t="n">
        <v>43217.12469907408</v>
      </c>
      <c r="C1165" t="n">
        <v>0</v>
      </c>
      <c r="D1165" t="n">
        <v>161</v>
      </c>
      <c r="E1165" t="s">
        <v>1176</v>
      </c>
      <c r="F1165" t="s"/>
      <c r="G1165" t="s"/>
      <c r="H1165" t="s"/>
      <c r="I1165" t="s"/>
      <c r="J1165" t="n">
        <v>0.6369</v>
      </c>
      <c r="K1165" t="n">
        <v>0</v>
      </c>
      <c r="L1165" t="n">
        <v>0.826</v>
      </c>
      <c r="M1165" t="n">
        <v>0.174</v>
      </c>
    </row>
    <row r="1166" spans="1:13">
      <c r="A1166" s="1">
        <f>HYPERLINK("http://www.twitter.com/NathanBLawrence/status/989698451389677568", "989698451389677568")</f>
        <v/>
      </c>
      <c r="B1166" s="2" t="n">
        <v>43217.11890046296</v>
      </c>
      <c r="C1166" t="n">
        <v>0</v>
      </c>
      <c r="D1166" t="n">
        <v>57</v>
      </c>
      <c r="E1166" t="s">
        <v>1177</v>
      </c>
      <c r="F1166">
        <f>HYPERLINK("https://video.twimg.com/ext_tw_video/989690903223832577/pu/vid/1280x720/LXrDx3EIyjaXBhxr.mp4?tag=3", "https://video.twimg.com/ext_tw_video/989690903223832577/pu/vid/1280x720/LXrDx3EIyjaXBhxr.mp4?tag=3")</f>
        <v/>
      </c>
      <c r="G1166" t="s"/>
      <c r="H1166" t="s"/>
      <c r="I1166" t="s"/>
      <c r="J1166" t="n">
        <v>-0.4559</v>
      </c>
      <c r="K1166" t="n">
        <v>0.107</v>
      </c>
      <c r="L1166" t="n">
        <v>0.893</v>
      </c>
      <c r="M1166" t="n">
        <v>0</v>
      </c>
    </row>
    <row r="1167" spans="1:13">
      <c r="A1167" s="1">
        <f>HYPERLINK("http://www.twitter.com/NathanBLawrence/status/989698285454716933", "989698285454716933")</f>
        <v/>
      </c>
      <c r="B1167" s="2" t="n">
        <v>43217.1184375</v>
      </c>
      <c r="C1167" t="n">
        <v>0</v>
      </c>
      <c r="D1167" t="n">
        <v>84</v>
      </c>
      <c r="E1167" t="s">
        <v>1178</v>
      </c>
      <c r="F1167">
        <f>HYPERLINK("http://pbs.twimg.com/media/DbwX_H8U0AArj4o.jpg", "http://pbs.twimg.com/media/DbwX_H8U0AArj4o.jpg")</f>
        <v/>
      </c>
      <c r="G1167" t="s"/>
      <c r="H1167" t="s"/>
      <c r="I1167" t="s"/>
      <c r="J1167" t="n">
        <v>0</v>
      </c>
      <c r="K1167" t="n">
        <v>0</v>
      </c>
      <c r="L1167" t="n">
        <v>1</v>
      </c>
      <c r="M1167" t="n">
        <v>0</v>
      </c>
    </row>
    <row r="1168" spans="1:13">
      <c r="A1168" s="1">
        <f>HYPERLINK("http://www.twitter.com/NathanBLawrence/status/989696861907963904", "989696861907963904")</f>
        <v/>
      </c>
      <c r="B1168" s="2" t="n">
        <v>43217.11451388889</v>
      </c>
      <c r="C1168" t="n">
        <v>0</v>
      </c>
      <c r="D1168" t="n">
        <v>137</v>
      </c>
      <c r="E1168" t="s">
        <v>1179</v>
      </c>
      <c r="F1168" t="s"/>
      <c r="G1168" t="s"/>
      <c r="H1168" t="s"/>
      <c r="I1168" t="s"/>
      <c r="J1168" t="n">
        <v>0.0343</v>
      </c>
      <c r="K1168" t="n">
        <v>0.083</v>
      </c>
      <c r="L1168" t="n">
        <v>0.83</v>
      </c>
      <c r="M1168" t="n">
        <v>0.08799999999999999</v>
      </c>
    </row>
    <row r="1169" spans="1:13">
      <c r="A1169" s="1">
        <f>HYPERLINK("http://www.twitter.com/NathanBLawrence/status/989689988391559174", "989689988391559174")</f>
        <v/>
      </c>
      <c r="B1169" s="2" t="n">
        <v>43217.09554398148</v>
      </c>
      <c r="C1169" t="n">
        <v>0</v>
      </c>
      <c r="D1169" t="n">
        <v>517</v>
      </c>
      <c r="E1169" t="s">
        <v>1180</v>
      </c>
      <c r="F1169">
        <f>HYPERLINK("http://pbs.twimg.com/media/DbvrVW8UQAUFhEV.jpg", "http://pbs.twimg.com/media/DbvrVW8UQAUFhEV.jpg")</f>
        <v/>
      </c>
      <c r="G1169">
        <f>HYPERLINK("http://pbs.twimg.com/media/DbvrVW7U8AA0FI2.jpg", "http://pbs.twimg.com/media/DbvrVW7U8AA0FI2.jpg")</f>
        <v/>
      </c>
      <c r="H1169">
        <f>HYPERLINK("http://pbs.twimg.com/media/DbvrVW7VwAAAh4v.jpg", "http://pbs.twimg.com/media/DbvrVW7VwAAAh4v.jpg")</f>
        <v/>
      </c>
      <c r="I1169" t="s"/>
      <c r="J1169" t="n">
        <v>0.784</v>
      </c>
      <c r="K1169" t="n">
        <v>0</v>
      </c>
      <c r="L1169" t="n">
        <v>0.699</v>
      </c>
      <c r="M1169" t="n">
        <v>0.301</v>
      </c>
    </row>
    <row r="1170" spans="1:13">
      <c r="A1170" s="1">
        <f>HYPERLINK("http://www.twitter.com/NathanBLawrence/status/989688549623717888", "989688549623717888")</f>
        <v/>
      </c>
      <c r="B1170" s="2" t="n">
        <v>43217.09157407407</v>
      </c>
      <c r="C1170" t="n">
        <v>0</v>
      </c>
      <c r="D1170" t="n">
        <v>290</v>
      </c>
      <c r="E1170" t="s">
        <v>1181</v>
      </c>
      <c r="F1170" t="s"/>
      <c r="G1170" t="s"/>
      <c r="H1170" t="s"/>
      <c r="I1170" t="s"/>
      <c r="J1170" t="n">
        <v>0</v>
      </c>
      <c r="K1170" t="n">
        <v>0</v>
      </c>
      <c r="L1170" t="n">
        <v>1</v>
      </c>
      <c r="M1170" t="n">
        <v>0</v>
      </c>
    </row>
    <row r="1171" spans="1:13">
      <c r="A1171" s="1">
        <f>HYPERLINK("http://www.twitter.com/NathanBLawrence/status/989654689884065792", "989654689884065792")</f>
        <v/>
      </c>
      <c r="B1171" s="2" t="n">
        <v>43216.99813657408</v>
      </c>
      <c r="C1171" t="n">
        <v>0</v>
      </c>
      <c r="D1171" t="n">
        <v>4</v>
      </c>
      <c r="E1171" t="s">
        <v>1182</v>
      </c>
      <c r="F1171" t="s"/>
      <c r="G1171" t="s"/>
      <c r="H1171" t="s"/>
      <c r="I1171" t="s"/>
      <c r="J1171" t="n">
        <v>0</v>
      </c>
      <c r="K1171" t="n">
        <v>0</v>
      </c>
      <c r="L1171" t="n">
        <v>1</v>
      </c>
      <c r="M1171" t="n">
        <v>0</v>
      </c>
    </row>
    <row r="1172" spans="1:13">
      <c r="A1172" s="1">
        <f>HYPERLINK("http://www.twitter.com/NathanBLawrence/status/989654186265636866", "989654186265636866")</f>
        <v/>
      </c>
      <c r="B1172" s="2" t="n">
        <v>43216.99674768518</v>
      </c>
      <c r="C1172" t="n">
        <v>0</v>
      </c>
      <c r="D1172" t="n">
        <v>4</v>
      </c>
      <c r="E1172" t="s">
        <v>1183</v>
      </c>
      <c r="F1172" t="s"/>
      <c r="G1172" t="s"/>
      <c r="H1172" t="s"/>
      <c r="I1172" t="s"/>
      <c r="J1172" t="n">
        <v>0</v>
      </c>
      <c r="K1172" t="n">
        <v>0</v>
      </c>
      <c r="L1172" t="n">
        <v>1</v>
      </c>
      <c r="M1172" t="n">
        <v>0</v>
      </c>
    </row>
    <row r="1173" spans="1:13">
      <c r="A1173" s="1">
        <f>HYPERLINK("http://www.twitter.com/NathanBLawrence/status/989636722899202054", "989636722899202054")</f>
        <v/>
      </c>
      <c r="B1173" s="2" t="n">
        <v>43216.94855324074</v>
      </c>
      <c r="C1173" t="n">
        <v>0</v>
      </c>
      <c r="D1173" t="n">
        <v>4521</v>
      </c>
      <c r="E1173" t="s">
        <v>1184</v>
      </c>
      <c r="F1173" t="s"/>
      <c r="G1173" t="s"/>
      <c r="H1173" t="s"/>
      <c r="I1173" t="s"/>
      <c r="J1173" t="n">
        <v>0.09429999999999999</v>
      </c>
      <c r="K1173" t="n">
        <v>0.116</v>
      </c>
      <c r="L1173" t="n">
        <v>0.753</v>
      </c>
      <c r="M1173" t="n">
        <v>0.131</v>
      </c>
    </row>
    <row r="1174" spans="1:13">
      <c r="A1174" s="1">
        <f>HYPERLINK("http://www.twitter.com/NathanBLawrence/status/989551236281233409", "989551236281233409")</f>
        <v/>
      </c>
      <c r="B1174" s="2" t="n">
        <v>43216.71266203704</v>
      </c>
      <c r="C1174" t="n">
        <v>0</v>
      </c>
      <c r="D1174" t="n">
        <v>40</v>
      </c>
      <c r="E1174" t="s">
        <v>1185</v>
      </c>
      <c r="F1174" t="s"/>
      <c r="G1174" t="s"/>
      <c r="H1174" t="s"/>
      <c r="I1174" t="s"/>
      <c r="J1174" t="n">
        <v>-0.9413</v>
      </c>
      <c r="K1174" t="n">
        <v>0.514</v>
      </c>
      <c r="L1174" t="n">
        <v>0.486</v>
      </c>
      <c r="M1174" t="n">
        <v>0</v>
      </c>
    </row>
    <row r="1175" spans="1:13">
      <c r="A1175" s="1">
        <f>HYPERLINK("http://www.twitter.com/NathanBLawrence/status/989551018798141440", "989551018798141440")</f>
        <v/>
      </c>
      <c r="B1175" s="2" t="n">
        <v>43216.71206018519</v>
      </c>
      <c r="C1175" t="n">
        <v>0</v>
      </c>
      <c r="D1175" t="n">
        <v>62</v>
      </c>
      <c r="E1175" t="s">
        <v>1186</v>
      </c>
      <c r="F1175">
        <f>HYPERLINK("http://pbs.twimg.com/media/DbuRSlTVMAAsO8L.jpg", "http://pbs.twimg.com/media/DbuRSlTVMAAsO8L.jpg")</f>
        <v/>
      </c>
      <c r="G1175" t="s"/>
      <c r="H1175" t="s"/>
      <c r="I1175" t="s"/>
      <c r="J1175" t="n">
        <v>0.3612</v>
      </c>
      <c r="K1175" t="n">
        <v>0</v>
      </c>
      <c r="L1175" t="n">
        <v>0.872</v>
      </c>
      <c r="M1175" t="n">
        <v>0.128</v>
      </c>
    </row>
    <row r="1176" spans="1:13">
      <c r="A1176" s="1">
        <f>HYPERLINK("http://www.twitter.com/NathanBLawrence/status/989550842763202560", "989550842763202560")</f>
        <v/>
      </c>
      <c r="B1176" s="2" t="n">
        <v>43216.71157407408</v>
      </c>
      <c r="C1176" t="n">
        <v>0</v>
      </c>
      <c r="D1176" t="n">
        <v>1725</v>
      </c>
      <c r="E1176" t="s">
        <v>1187</v>
      </c>
      <c r="F1176">
        <f>HYPERLINK("https://video.twimg.com/amplify_video/989530426275344384/vid/1280x720/4JUcPNp0RiAqPPeF.mp4?tag=2", "https://video.twimg.com/amplify_video/989530426275344384/vid/1280x720/4JUcPNp0RiAqPPeF.mp4?tag=2")</f>
        <v/>
      </c>
      <c r="G1176" t="s"/>
      <c r="H1176" t="s"/>
      <c r="I1176" t="s"/>
      <c r="J1176" t="n">
        <v>0</v>
      </c>
      <c r="K1176" t="n">
        <v>0</v>
      </c>
      <c r="L1176" t="n">
        <v>1</v>
      </c>
      <c r="M1176" t="n">
        <v>0</v>
      </c>
    </row>
    <row r="1177" spans="1:13">
      <c r="A1177" s="1">
        <f>HYPERLINK("http://www.twitter.com/NathanBLawrence/status/989550103135506432", "989550103135506432")</f>
        <v/>
      </c>
      <c r="B1177" s="2" t="n">
        <v>43216.70953703704</v>
      </c>
      <c r="C1177" t="n">
        <v>0</v>
      </c>
      <c r="D1177" t="n">
        <v>99</v>
      </c>
      <c r="E1177" t="s">
        <v>1188</v>
      </c>
      <c r="F1177" t="s"/>
      <c r="G1177" t="s"/>
      <c r="H1177" t="s"/>
      <c r="I1177" t="s"/>
      <c r="J1177" t="n">
        <v>0</v>
      </c>
      <c r="K1177" t="n">
        <v>0</v>
      </c>
      <c r="L1177" t="n">
        <v>1</v>
      </c>
      <c r="M1177" t="n">
        <v>0</v>
      </c>
    </row>
    <row r="1178" spans="1:13">
      <c r="A1178" s="1">
        <f>HYPERLINK("http://www.twitter.com/NathanBLawrence/status/989549585688354819", "989549585688354819")</f>
        <v/>
      </c>
      <c r="B1178" s="2" t="n">
        <v>43216.70810185185</v>
      </c>
      <c r="C1178" t="n">
        <v>0</v>
      </c>
      <c r="D1178" t="n">
        <v>464</v>
      </c>
      <c r="E1178" t="s">
        <v>1189</v>
      </c>
      <c r="F1178" t="s"/>
      <c r="G1178" t="s"/>
      <c r="H1178" t="s"/>
      <c r="I1178" t="s"/>
      <c r="J1178" t="n">
        <v>0</v>
      </c>
      <c r="K1178" t="n">
        <v>0</v>
      </c>
      <c r="L1178" t="n">
        <v>1</v>
      </c>
      <c r="M1178" t="n">
        <v>0</v>
      </c>
    </row>
    <row r="1179" spans="1:13">
      <c r="A1179" s="1">
        <f>HYPERLINK("http://www.twitter.com/NathanBLawrence/status/989549546727460864", "989549546727460864")</f>
        <v/>
      </c>
      <c r="B1179" s="2" t="n">
        <v>43216.70799768518</v>
      </c>
      <c r="C1179" t="n">
        <v>0</v>
      </c>
      <c r="D1179" t="n">
        <v>66</v>
      </c>
      <c r="E1179" t="s">
        <v>1190</v>
      </c>
      <c r="F1179" t="s"/>
      <c r="G1179" t="s"/>
      <c r="H1179" t="s"/>
      <c r="I1179" t="s"/>
      <c r="J1179" t="n">
        <v>0.6249</v>
      </c>
      <c r="K1179" t="n">
        <v>0.07199999999999999</v>
      </c>
      <c r="L1179" t="n">
        <v>0.721</v>
      </c>
      <c r="M1179" t="n">
        <v>0.207</v>
      </c>
    </row>
    <row r="1180" spans="1:13">
      <c r="A1180" s="1">
        <f>HYPERLINK("http://www.twitter.com/NathanBLawrence/status/989549435821744128", "989549435821744128")</f>
        <v/>
      </c>
      <c r="B1180" s="2" t="n">
        <v>43216.70769675926</v>
      </c>
      <c r="C1180" t="n">
        <v>0</v>
      </c>
      <c r="D1180" t="n">
        <v>18</v>
      </c>
      <c r="E1180" t="s">
        <v>1191</v>
      </c>
      <c r="F1180" t="s"/>
      <c r="G1180" t="s"/>
      <c r="H1180" t="s"/>
      <c r="I1180" t="s"/>
      <c r="J1180" t="n">
        <v>0.6705</v>
      </c>
      <c r="K1180" t="n">
        <v>0</v>
      </c>
      <c r="L1180" t="n">
        <v>0.756</v>
      </c>
      <c r="M1180" t="n">
        <v>0.244</v>
      </c>
    </row>
    <row r="1181" spans="1:13">
      <c r="A1181" s="1">
        <f>HYPERLINK("http://www.twitter.com/NathanBLawrence/status/989549333354827776", "989549333354827776")</f>
        <v/>
      </c>
      <c r="B1181" s="2" t="n">
        <v>43216.7074074074</v>
      </c>
      <c r="C1181" t="n">
        <v>0</v>
      </c>
      <c r="D1181" t="n">
        <v>112</v>
      </c>
      <c r="E1181" t="s">
        <v>1192</v>
      </c>
      <c r="F1181" t="s"/>
      <c r="G1181" t="s"/>
      <c r="H1181" t="s"/>
      <c r="I1181" t="s"/>
      <c r="J1181" t="n">
        <v>-0.872</v>
      </c>
      <c r="K1181" t="n">
        <v>0.452</v>
      </c>
      <c r="L1181" t="n">
        <v>0.548</v>
      </c>
      <c r="M1181" t="n">
        <v>0</v>
      </c>
    </row>
    <row r="1182" spans="1:13">
      <c r="A1182" s="1">
        <f>HYPERLINK("http://www.twitter.com/NathanBLawrence/status/989549141473873920", "989549141473873920")</f>
        <v/>
      </c>
      <c r="B1182" s="2" t="n">
        <v>43216.706875</v>
      </c>
      <c r="C1182" t="n">
        <v>0</v>
      </c>
      <c r="D1182" t="n">
        <v>309</v>
      </c>
      <c r="E1182" t="s">
        <v>1193</v>
      </c>
      <c r="F1182">
        <f>HYPERLINK("http://pbs.twimg.com/media/Dbf7cIQUQAAgeCh.jpg", "http://pbs.twimg.com/media/Dbf7cIQUQAAgeCh.jpg")</f>
        <v/>
      </c>
      <c r="G1182" t="s"/>
      <c r="H1182" t="s"/>
      <c r="I1182" t="s"/>
      <c r="J1182" t="n">
        <v>0.7184</v>
      </c>
      <c r="K1182" t="n">
        <v>0</v>
      </c>
      <c r="L1182" t="n">
        <v>0.76</v>
      </c>
      <c r="M1182" t="n">
        <v>0.24</v>
      </c>
    </row>
    <row r="1183" spans="1:13">
      <c r="A1183" s="1">
        <f>HYPERLINK("http://www.twitter.com/NathanBLawrence/status/989531108437000192", "989531108437000192")</f>
        <v/>
      </c>
      <c r="B1183" s="2" t="n">
        <v>43216.65711805555</v>
      </c>
      <c r="C1183" t="n">
        <v>0</v>
      </c>
      <c r="D1183" t="n">
        <v>1102</v>
      </c>
      <c r="E1183" t="s">
        <v>1194</v>
      </c>
      <c r="F1183" t="s"/>
      <c r="G1183" t="s"/>
      <c r="H1183" t="s"/>
      <c r="I1183" t="s"/>
      <c r="J1183" t="n">
        <v>-0.5994</v>
      </c>
      <c r="K1183" t="n">
        <v>0.17</v>
      </c>
      <c r="L1183" t="n">
        <v>0.83</v>
      </c>
      <c r="M1183" t="n">
        <v>0</v>
      </c>
    </row>
    <row r="1184" spans="1:13">
      <c r="A1184" s="1">
        <f>HYPERLINK("http://www.twitter.com/NathanBLawrence/status/989522697590845440", "989522697590845440")</f>
        <v/>
      </c>
      <c r="B1184" s="2" t="n">
        <v>43216.63391203704</v>
      </c>
      <c r="C1184" t="n">
        <v>0</v>
      </c>
      <c r="D1184" t="n">
        <v>569</v>
      </c>
      <c r="E1184" t="s">
        <v>1195</v>
      </c>
      <c r="F1184">
        <f>HYPERLINK("http://pbs.twimg.com/media/Dbt17YrVAAEAtGT.jpg", "http://pbs.twimg.com/media/Dbt17YrVAAEAtGT.jpg")</f>
        <v/>
      </c>
      <c r="G1184" t="s"/>
      <c r="H1184" t="s"/>
      <c r="I1184" t="s"/>
      <c r="J1184" t="n">
        <v>0.3612</v>
      </c>
      <c r="K1184" t="n">
        <v>0</v>
      </c>
      <c r="L1184" t="n">
        <v>0.762</v>
      </c>
      <c r="M1184" t="n">
        <v>0.238</v>
      </c>
    </row>
    <row r="1185" spans="1:13">
      <c r="A1185" s="1">
        <f>HYPERLINK("http://www.twitter.com/NathanBLawrence/status/989521318080106496", "989521318080106496")</f>
        <v/>
      </c>
      <c r="B1185" s="2" t="n">
        <v>43216.63010416667</v>
      </c>
      <c r="C1185" t="n">
        <v>0</v>
      </c>
      <c r="D1185" t="n">
        <v>575</v>
      </c>
      <c r="E1185" t="s">
        <v>1196</v>
      </c>
      <c r="F1185">
        <f>HYPERLINK("http://pbs.twimg.com/media/Dbt2hTbXkAAp0aE.jpg", "http://pbs.twimg.com/media/Dbt2hTbXkAAp0aE.jpg")</f>
        <v/>
      </c>
      <c r="G1185" t="s"/>
      <c r="H1185" t="s"/>
      <c r="I1185" t="s"/>
      <c r="J1185" t="n">
        <v>0.5719</v>
      </c>
      <c r="K1185" t="n">
        <v>0</v>
      </c>
      <c r="L1185" t="n">
        <v>0.764</v>
      </c>
      <c r="M1185" t="n">
        <v>0.236</v>
      </c>
    </row>
    <row r="1186" spans="1:13">
      <c r="A1186" s="1">
        <f>HYPERLINK("http://www.twitter.com/NathanBLawrence/status/989521188589375503", "989521188589375503")</f>
        <v/>
      </c>
      <c r="B1186" s="2" t="n">
        <v>43216.62974537037</v>
      </c>
      <c r="C1186" t="n">
        <v>0</v>
      </c>
      <c r="D1186" t="n">
        <v>51</v>
      </c>
      <c r="E1186" t="s">
        <v>1197</v>
      </c>
      <c r="F1186">
        <f>HYPERLINK("http://pbs.twimg.com/media/DbtxOSAUwAEIPCX.jpg", "http://pbs.twimg.com/media/DbtxOSAUwAEIPCX.jpg")</f>
        <v/>
      </c>
      <c r="G1186" t="s"/>
      <c r="H1186" t="s"/>
      <c r="I1186" t="s"/>
      <c r="J1186" t="n">
        <v>0.5562</v>
      </c>
      <c r="K1186" t="n">
        <v>0</v>
      </c>
      <c r="L1186" t="n">
        <v>0.826</v>
      </c>
      <c r="M1186" t="n">
        <v>0.174</v>
      </c>
    </row>
    <row r="1187" spans="1:13">
      <c r="A1187" s="1">
        <f>HYPERLINK("http://www.twitter.com/NathanBLawrence/status/989520859483262977", "989520859483262977")</f>
        <v/>
      </c>
      <c r="B1187" s="2" t="n">
        <v>43216.62883101852</v>
      </c>
      <c r="C1187" t="n">
        <v>0</v>
      </c>
      <c r="D1187" t="n">
        <v>186</v>
      </c>
      <c r="E1187" t="s">
        <v>1198</v>
      </c>
      <c r="F1187">
        <f>HYPERLINK("http://pbs.twimg.com/media/Dbt4uYlX0AAM_7u.jpg", "http://pbs.twimg.com/media/Dbt4uYlX0AAM_7u.jpg")</f>
        <v/>
      </c>
      <c r="G1187" t="s"/>
      <c r="H1187" t="s"/>
      <c r="I1187" t="s"/>
      <c r="J1187" t="n">
        <v>0.4019</v>
      </c>
      <c r="K1187" t="n">
        <v>0</v>
      </c>
      <c r="L1187" t="n">
        <v>0.87</v>
      </c>
      <c r="M1187" t="n">
        <v>0.13</v>
      </c>
    </row>
    <row r="1188" spans="1:13">
      <c r="A1188" s="1">
        <f>HYPERLINK("http://www.twitter.com/NathanBLawrence/status/989501623113265152", "989501623113265152")</f>
        <v/>
      </c>
      <c r="B1188" s="2" t="n">
        <v>43216.57575231481</v>
      </c>
      <c r="C1188" t="n">
        <v>0</v>
      </c>
      <c r="D1188" t="n">
        <v>92</v>
      </c>
      <c r="E1188" t="s">
        <v>1199</v>
      </c>
      <c r="F1188" t="s"/>
      <c r="G1188" t="s"/>
      <c r="H1188" t="s"/>
      <c r="I1188" t="s"/>
      <c r="J1188" t="n">
        <v>-0.1027</v>
      </c>
      <c r="K1188" t="n">
        <v>0.076</v>
      </c>
      <c r="L1188" t="n">
        <v>0.924</v>
      </c>
      <c r="M1188" t="n">
        <v>0</v>
      </c>
    </row>
    <row r="1189" spans="1:13">
      <c r="A1189" s="1">
        <f>HYPERLINK("http://www.twitter.com/NathanBLawrence/status/989501456897183744", "989501456897183744")</f>
        <v/>
      </c>
      <c r="B1189" s="2" t="n">
        <v>43216.57530092593</v>
      </c>
      <c r="C1189" t="n">
        <v>0</v>
      </c>
      <c r="D1189" t="n">
        <v>285</v>
      </c>
      <c r="E1189" t="s">
        <v>1200</v>
      </c>
      <c r="F1189">
        <f>HYPERLINK("https://video.twimg.com/amplify_video/989283180585865216/vid/1280x720/mN1FtCUo0z3pelyL.mp4?tag=2", "https://video.twimg.com/amplify_video/989283180585865216/vid/1280x720/mN1FtCUo0z3pelyL.mp4?tag=2")</f>
        <v/>
      </c>
      <c r="G1189" t="s"/>
      <c r="H1189" t="s"/>
      <c r="I1189" t="s"/>
      <c r="J1189" t="n">
        <v>0</v>
      </c>
      <c r="K1189" t="n">
        <v>0</v>
      </c>
      <c r="L1189" t="n">
        <v>1</v>
      </c>
      <c r="M1189" t="n">
        <v>0</v>
      </c>
    </row>
    <row r="1190" spans="1:13">
      <c r="A1190" s="1">
        <f>HYPERLINK("http://www.twitter.com/NathanBLawrence/status/989501002163326977", "989501002163326977")</f>
        <v/>
      </c>
      <c r="B1190" s="2" t="n">
        <v>43216.57403935185</v>
      </c>
      <c r="C1190" t="n">
        <v>0</v>
      </c>
      <c r="D1190" t="n">
        <v>43</v>
      </c>
      <c r="E1190" t="s">
        <v>1201</v>
      </c>
      <c r="F1190">
        <f>HYPERLINK("http://pbs.twimg.com/media/DbtmbaEV0AU3-V8.jpg", "http://pbs.twimg.com/media/DbtmbaEV0AU3-V8.jpg")</f>
        <v/>
      </c>
      <c r="G1190">
        <f>HYPERLINK("http://pbs.twimg.com/media/DbtmcFYU0AE6tmI.jpg", "http://pbs.twimg.com/media/DbtmcFYU0AE6tmI.jpg")</f>
        <v/>
      </c>
      <c r="H1190">
        <f>HYPERLINK("http://pbs.twimg.com/media/Dbtmdb7UQAApNQq.jpg", "http://pbs.twimg.com/media/Dbtmdb7UQAApNQq.jpg")</f>
        <v/>
      </c>
      <c r="I1190">
        <f>HYPERLINK("http://pbs.twimg.com/media/DbtmeeeV0AAL8ql.jpg", "http://pbs.twimg.com/media/DbtmeeeV0AAL8ql.jpg")</f>
        <v/>
      </c>
      <c r="J1190" t="n">
        <v>0</v>
      </c>
      <c r="K1190" t="n">
        <v>0</v>
      </c>
      <c r="L1190" t="n">
        <v>1</v>
      </c>
      <c r="M1190" t="n">
        <v>0</v>
      </c>
    </row>
    <row r="1191" spans="1:13">
      <c r="A1191" s="1">
        <f>HYPERLINK("http://www.twitter.com/NathanBLawrence/status/989498691957460993", "989498691957460993")</f>
        <v/>
      </c>
      <c r="B1191" s="2" t="n">
        <v>43216.56766203704</v>
      </c>
      <c r="C1191" t="n">
        <v>0</v>
      </c>
      <c r="D1191" t="n">
        <v>1303</v>
      </c>
      <c r="E1191" t="s">
        <v>1202</v>
      </c>
      <c r="F1191">
        <f>HYPERLINK("https://video.twimg.com/amplify_video/989350493993521158/vid/1280x720/3hjit4uuFNScNPIV.mp4?tag=2", "https://video.twimg.com/amplify_video/989350493993521158/vid/1280x720/3hjit4uuFNScNPIV.mp4?tag=2")</f>
        <v/>
      </c>
      <c r="G1191" t="s"/>
      <c r="H1191" t="s"/>
      <c r="I1191" t="s"/>
      <c r="J1191" t="n">
        <v>-0.3182</v>
      </c>
      <c r="K1191" t="n">
        <v>0.108</v>
      </c>
      <c r="L1191" t="n">
        <v>0.892</v>
      </c>
      <c r="M1191" t="n">
        <v>0</v>
      </c>
    </row>
    <row r="1192" spans="1:13">
      <c r="A1192" s="1">
        <f>HYPERLINK("http://www.twitter.com/NathanBLawrence/status/989498281716801536", "989498281716801536")</f>
        <v/>
      </c>
      <c r="B1192" s="2" t="n">
        <v>43216.56653935185</v>
      </c>
      <c r="C1192" t="n">
        <v>0</v>
      </c>
      <c r="D1192" t="n">
        <v>785</v>
      </c>
      <c r="E1192" t="s">
        <v>1203</v>
      </c>
      <c r="F1192" t="s"/>
      <c r="G1192" t="s"/>
      <c r="H1192" t="s"/>
      <c r="I1192" t="s"/>
      <c r="J1192" t="n">
        <v>-0.1526</v>
      </c>
      <c r="K1192" t="n">
        <v>0.128</v>
      </c>
      <c r="L1192" t="n">
        <v>0.769</v>
      </c>
      <c r="M1192" t="n">
        <v>0.103</v>
      </c>
    </row>
    <row r="1193" spans="1:13">
      <c r="A1193" s="1">
        <f>HYPERLINK("http://www.twitter.com/NathanBLawrence/status/989497619654246400", "989497619654246400")</f>
        <v/>
      </c>
      <c r="B1193" s="2" t="n">
        <v>43216.56471064815</v>
      </c>
      <c r="C1193" t="n">
        <v>0</v>
      </c>
      <c r="D1193" t="n">
        <v>108</v>
      </c>
      <c r="E1193" t="s">
        <v>1204</v>
      </c>
      <c r="F1193">
        <f>HYPERLINK("http://pbs.twimg.com/media/DbtdW1fU8AACA9t.jpg", "http://pbs.twimg.com/media/DbtdW1fU8AACA9t.jpg")</f>
        <v/>
      </c>
      <c r="G1193" t="s"/>
      <c r="H1193" t="s"/>
      <c r="I1193" t="s"/>
      <c r="J1193" t="n">
        <v>0.8225</v>
      </c>
      <c r="K1193" t="n">
        <v>0</v>
      </c>
      <c r="L1193" t="n">
        <v>0.441</v>
      </c>
      <c r="M1193" t="n">
        <v>0.5590000000000001</v>
      </c>
    </row>
    <row r="1194" spans="1:13">
      <c r="A1194" s="1">
        <f>HYPERLINK("http://www.twitter.com/NathanBLawrence/status/989496915774582785", "989496915774582785")</f>
        <v/>
      </c>
      <c r="B1194" s="2" t="n">
        <v>43216.5627662037</v>
      </c>
      <c r="C1194" t="n">
        <v>0</v>
      </c>
      <c r="D1194" t="n">
        <v>24</v>
      </c>
      <c r="E1194" t="s">
        <v>1205</v>
      </c>
      <c r="F1194" t="s"/>
      <c r="G1194" t="s"/>
      <c r="H1194" t="s"/>
      <c r="I1194" t="s"/>
      <c r="J1194" t="n">
        <v>-0.6808</v>
      </c>
      <c r="K1194" t="n">
        <v>0.237</v>
      </c>
      <c r="L1194" t="n">
        <v>0.763</v>
      </c>
      <c r="M1194" t="n">
        <v>0</v>
      </c>
    </row>
    <row r="1195" spans="1:13">
      <c r="A1195" s="1">
        <f>HYPERLINK("http://www.twitter.com/NathanBLawrence/status/989493936166141952", "989493936166141952")</f>
        <v/>
      </c>
      <c r="B1195" s="2" t="n">
        <v>43216.55453703704</v>
      </c>
      <c r="C1195" t="n">
        <v>0</v>
      </c>
      <c r="D1195" t="n">
        <v>50</v>
      </c>
      <c r="E1195" t="s">
        <v>1206</v>
      </c>
      <c r="F1195">
        <f>HYPERLINK("http://pbs.twimg.com/media/DbtfxxcV0AIRTCO.jpg", "http://pbs.twimg.com/media/DbtfxxcV0AIRTCO.jpg")</f>
        <v/>
      </c>
      <c r="G1195" t="s"/>
      <c r="H1195" t="s"/>
      <c r="I1195" t="s"/>
      <c r="J1195" t="n">
        <v>0</v>
      </c>
      <c r="K1195" t="n">
        <v>0</v>
      </c>
      <c r="L1195" t="n">
        <v>1</v>
      </c>
      <c r="M1195" t="n">
        <v>0</v>
      </c>
    </row>
    <row r="1196" spans="1:13">
      <c r="A1196" s="1">
        <f>HYPERLINK("http://www.twitter.com/NathanBLawrence/status/989491378815193089", "989491378815193089")</f>
        <v/>
      </c>
      <c r="B1196" s="2" t="n">
        <v>43216.54748842592</v>
      </c>
      <c r="C1196" t="n">
        <v>0</v>
      </c>
      <c r="D1196" t="n">
        <v>1079</v>
      </c>
      <c r="E1196" t="s">
        <v>1207</v>
      </c>
      <c r="F1196">
        <f>HYPERLINK("http://pbs.twimg.com/media/DbtLj_HUwAAGLRO.jpg", "http://pbs.twimg.com/media/DbtLj_HUwAAGLRO.jpg")</f>
        <v/>
      </c>
      <c r="G1196" t="s"/>
      <c r="H1196" t="s"/>
      <c r="I1196" t="s"/>
      <c r="J1196" t="n">
        <v>0.9550999999999999</v>
      </c>
      <c r="K1196" t="n">
        <v>0</v>
      </c>
      <c r="L1196" t="n">
        <v>0.407</v>
      </c>
      <c r="M1196" t="n">
        <v>0.593</v>
      </c>
    </row>
    <row r="1197" spans="1:13">
      <c r="A1197" s="1">
        <f>HYPERLINK("http://www.twitter.com/NathanBLawrence/status/989487159156641793", "989487159156641793")</f>
        <v/>
      </c>
      <c r="B1197" s="2" t="n">
        <v>43216.5358449074</v>
      </c>
      <c r="C1197" t="n">
        <v>0</v>
      </c>
      <c r="D1197" t="n">
        <v>158</v>
      </c>
      <c r="E1197" t="s">
        <v>1208</v>
      </c>
      <c r="F1197">
        <f>HYPERLINK("https://video.twimg.com/amplify_video/989189211503890434/vid/720x720/-B4iEB_Ep1UhK3d1.mp4?tag=2", "https://video.twimg.com/amplify_video/989189211503890434/vid/720x720/-B4iEB_Ep1UhK3d1.mp4?tag=2")</f>
        <v/>
      </c>
      <c r="G1197" t="s"/>
      <c r="H1197" t="s"/>
      <c r="I1197" t="s"/>
      <c r="J1197" t="n">
        <v>-0.296</v>
      </c>
      <c r="K1197" t="n">
        <v>0.22</v>
      </c>
      <c r="L1197" t="n">
        <v>0.603</v>
      </c>
      <c r="M1197" t="n">
        <v>0.177</v>
      </c>
    </row>
    <row r="1198" spans="1:13">
      <c r="A1198" s="1">
        <f>HYPERLINK("http://www.twitter.com/NathanBLawrence/status/989486123209674752", "989486123209674752")</f>
        <v/>
      </c>
      <c r="B1198" s="2" t="n">
        <v>43216.53298611111</v>
      </c>
      <c r="C1198" t="n">
        <v>0</v>
      </c>
      <c r="D1198" t="n">
        <v>477</v>
      </c>
      <c r="E1198" t="s">
        <v>1209</v>
      </c>
      <c r="F1198" t="s"/>
      <c r="G1198" t="s"/>
      <c r="H1198" t="s"/>
      <c r="I1198" t="s"/>
      <c r="J1198" t="n">
        <v>-0.743</v>
      </c>
      <c r="K1198" t="n">
        <v>0.233</v>
      </c>
      <c r="L1198" t="n">
        <v>0.767</v>
      </c>
      <c r="M1198" t="n">
        <v>0</v>
      </c>
    </row>
    <row r="1199" spans="1:13">
      <c r="A1199" s="1">
        <f>HYPERLINK("http://www.twitter.com/NathanBLawrence/status/989353435572162560", "989353435572162560")</f>
        <v/>
      </c>
      <c r="B1199" s="2" t="n">
        <v>43216.1668287037</v>
      </c>
      <c r="C1199" t="n">
        <v>0</v>
      </c>
      <c r="D1199" t="n">
        <v>251</v>
      </c>
      <c r="E1199" t="s">
        <v>1210</v>
      </c>
      <c r="F1199">
        <f>HYPERLINK("http://pbs.twimg.com/media/DbrMnLFWAAEosaR.jpg", "http://pbs.twimg.com/media/DbrMnLFWAAEosaR.jpg")</f>
        <v/>
      </c>
      <c r="G1199" t="s"/>
      <c r="H1199" t="s"/>
      <c r="I1199" t="s"/>
      <c r="J1199" t="n">
        <v>0.3612</v>
      </c>
      <c r="K1199" t="n">
        <v>0</v>
      </c>
      <c r="L1199" t="n">
        <v>0.865</v>
      </c>
      <c r="M1199" t="n">
        <v>0.135</v>
      </c>
    </row>
    <row r="1200" spans="1:13">
      <c r="A1200" s="1">
        <f>HYPERLINK("http://www.twitter.com/NathanBLawrence/status/989353285290221569", "989353285290221569")</f>
        <v/>
      </c>
      <c r="B1200" s="2" t="n">
        <v>43216.16642361111</v>
      </c>
      <c r="C1200" t="n">
        <v>0</v>
      </c>
      <c r="D1200" t="n">
        <v>218</v>
      </c>
      <c r="E1200" t="s">
        <v>1211</v>
      </c>
      <c r="F1200" t="s"/>
      <c r="G1200" t="s"/>
      <c r="H1200" t="s"/>
      <c r="I1200" t="s"/>
      <c r="J1200" t="n">
        <v>0</v>
      </c>
      <c r="K1200" t="n">
        <v>0</v>
      </c>
      <c r="L1200" t="n">
        <v>1</v>
      </c>
      <c r="M1200" t="n">
        <v>0</v>
      </c>
    </row>
    <row r="1201" spans="1:13">
      <c r="A1201" s="1">
        <f>HYPERLINK("http://www.twitter.com/NathanBLawrence/status/989353182257205248", "989353182257205248")</f>
        <v/>
      </c>
      <c r="B1201" s="2" t="n">
        <v>43216.16613425926</v>
      </c>
      <c r="C1201" t="n">
        <v>0</v>
      </c>
      <c r="D1201" t="n">
        <v>152</v>
      </c>
      <c r="E1201" t="s">
        <v>1212</v>
      </c>
      <c r="F1201">
        <f>HYPERLINK("http://pbs.twimg.com/media/DbraxhZX0AAKAlm.jpg", "http://pbs.twimg.com/media/DbraxhZX0AAKAlm.jpg")</f>
        <v/>
      </c>
      <c r="G1201" t="s"/>
      <c r="H1201" t="s"/>
      <c r="I1201" t="s"/>
      <c r="J1201" t="n">
        <v>0</v>
      </c>
      <c r="K1201" t="n">
        <v>0</v>
      </c>
      <c r="L1201" t="n">
        <v>1</v>
      </c>
      <c r="M1201" t="n">
        <v>0</v>
      </c>
    </row>
    <row r="1202" spans="1:13">
      <c r="A1202" s="1">
        <f>HYPERLINK("http://www.twitter.com/NathanBLawrence/status/989352444676145153", "989352444676145153")</f>
        <v/>
      </c>
      <c r="B1202" s="2" t="n">
        <v>43216.16409722222</v>
      </c>
      <c r="C1202" t="n">
        <v>0</v>
      </c>
      <c r="D1202" t="n">
        <v>346</v>
      </c>
      <c r="E1202" t="s">
        <v>1213</v>
      </c>
      <c r="F1202">
        <f>HYPERLINK("http://pbs.twimg.com/media/Dbrc7BAVMAAz0Ws.jpg", "http://pbs.twimg.com/media/Dbrc7BAVMAAz0Ws.jpg")</f>
        <v/>
      </c>
      <c r="G1202" t="s"/>
      <c r="H1202" t="s"/>
      <c r="I1202" t="s"/>
      <c r="J1202" t="n">
        <v>0</v>
      </c>
      <c r="K1202" t="n">
        <v>0</v>
      </c>
      <c r="L1202" t="n">
        <v>1</v>
      </c>
      <c r="M1202" t="n">
        <v>0</v>
      </c>
    </row>
    <row r="1203" spans="1:13">
      <c r="A1203" s="1">
        <f>HYPERLINK("http://www.twitter.com/NathanBLawrence/status/989352322445832192", "989352322445832192")</f>
        <v/>
      </c>
      <c r="B1203" s="2" t="n">
        <v>43216.16376157408</v>
      </c>
      <c r="C1203" t="n">
        <v>0</v>
      </c>
      <c r="D1203" t="n">
        <v>324</v>
      </c>
      <c r="E1203" t="s">
        <v>1214</v>
      </c>
      <c r="F1203" t="s"/>
      <c r="G1203" t="s"/>
      <c r="H1203" t="s"/>
      <c r="I1203" t="s"/>
      <c r="J1203" t="n">
        <v>0</v>
      </c>
      <c r="K1203" t="n">
        <v>0</v>
      </c>
      <c r="L1203" t="n">
        <v>1</v>
      </c>
      <c r="M1203" t="n">
        <v>0</v>
      </c>
    </row>
    <row r="1204" spans="1:13">
      <c r="A1204" s="1">
        <f>HYPERLINK("http://www.twitter.com/NathanBLawrence/status/989343525715218433", "989343525715218433")</f>
        <v/>
      </c>
      <c r="B1204" s="2" t="n">
        <v>43216.13949074074</v>
      </c>
      <c r="C1204" t="n">
        <v>4</v>
      </c>
      <c r="D1204" t="n">
        <v>2</v>
      </c>
      <c r="E1204" t="s">
        <v>1215</v>
      </c>
      <c r="F1204">
        <f>HYPERLINK("http://pbs.twimg.com/media/Dbrar35VMAAOpK9.jpg", "http://pbs.twimg.com/media/Dbrar35VMAAOpK9.jpg")</f>
        <v/>
      </c>
      <c r="G1204" t="s"/>
      <c r="H1204" t="s"/>
      <c r="I1204" t="s"/>
      <c r="J1204" t="n">
        <v>0</v>
      </c>
      <c r="K1204" t="n">
        <v>0</v>
      </c>
      <c r="L1204" t="n">
        <v>1</v>
      </c>
      <c r="M1204" t="n">
        <v>0</v>
      </c>
    </row>
    <row r="1205" spans="1:13">
      <c r="A1205" s="1">
        <f>HYPERLINK("http://www.twitter.com/NathanBLawrence/status/989342604142809089", "989342604142809089")</f>
        <v/>
      </c>
      <c r="B1205" s="2" t="n">
        <v>43216.13694444444</v>
      </c>
      <c r="C1205" t="n">
        <v>0</v>
      </c>
      <c r="D1205" t="n">
        <v>23</v>
      </c>
      <c r="E1205" t="s">
        <v>1216</v>
      </c>
      <c r="F1205">
        <f>HYPERLINK("http://pbs.twimg.com/media/DbrV2psU0AAYDoJ.jpg", "http://pbs.twimg.com/media/DbrV2psU0AAYDoJ.jpg")</f>
        <v/>
      </c>
      <c r="G1205" t="s"/>
      <c r="H1205" t="s"/>
      <c r="I1205" t="s"/>
      <c r="J1205" t="n">
        <v>0</v>
      </c>
      <c r="K1205" t="n">
        <v>0</v>
      </c>
      <c r="L1205" t="n">
        <v>1</v>
      </c>
      <c r="M1205" t="n">
        <v>0</v>
      </c>
    </row>
    <row r="1206" spans="1:13">
      <c r="A1206" s="1">
        <f>HYPERLINK("http://www.twitter.com/NathanBLawrence/status/989342235165589504", "989342235165589504")</f>
        <v/>
      </c>
      <c r="B1206" s="2" t="n">
        <v>43216.13592592593</v>
      </c>
      <c r="C1206" t="n">
        <v>0</v>
      </c>
      <c r="D1206" t="n">
        <v>12</v>
      </c>
      <c r="E1206" t="s">
        <v>1217</v>
      </c>
      <c r="F1206">
        <f>HYPERLINK("https://video.twimg.com/ext_tw_video/989336726739955712/pu/vid/1280x720/rwfFeBRGiqfPlGBB.mp4?tag=3", "https://video.twimg.com/ext_tw_video/989336726739955712/pu/vid/1280x720/rwfFeBRGiqfPlGBB.mp4?tag=3")</f>
        <v/>
      </c>
      <c r="G1206" t="s"/>
      <c r="H1206" t="s"/>
      <c r="I1206" t="s"/>
      <c r="J1206" t="n">
        <v>0.2716</v>
      </c>
      <c r="K1206" t="n">
        <v>0</v>
      </c>
      <c r="L1206" t="n">
        <v>0.884</v>
      </c>
      <c r="M1206" t="n">
        <v>0.116</v>
      </c>
    </row>
    <row r="1207" spans="1:13">
      <c r="A1207" s="1">
        <f>HYPERLINK("http://www.twitter.com/NathanBLawrence/status/989341909108830208", "989341909108830208")</f>
        <v/>
      </c>
      <c r="B1207" s="2" t="n">
        <v>43216.13502314815</v>
      </c>
      <c r="C1207" t="n">
        <v>0</v>
      </c>
      <c r="D1207" t="n">
        <v>882</v>
      </c>
      <c r="E1207" t="s">
        <v>1218</v>
      </c>
      <c r="F1207" t="s"/>
      <c r="G1207" t="s"/>
      <c r="H1207" t="s"/>
      <c r="I1207" t="s"/>
      <c r="J1207" t="n">
        <v>0</v>
      </c>
      <c r="K1207" t="n">
        <v>0</v>
      </c>
      <c r="L1207" t="n">
        <v>1</v>
      </c>
      <c r="M1207" t="n">
        <v>0</v>
      </c>
    </row>
    <row r="1208" spans="1:13">
      <c r="A1208" s="1">
        <f>HYPERLINK("http://www.twitter.com/NathanBLawrence/status/989341560826458112", "989341560826458112")</f>
        <v/>
      </c>
      <c r="B1208" s="2" t="n">
        <v>43216.1340625</v>
      </c>
      <c r="C1208" t="n">
        <v>0</v>
      </c>
      <c r="D1208" t="n">
        <v>219</v>
      </c>
      <c r="E1208" t="s">
        <v>1219</v>
      </c>
      <c r="F1208" t="s"/>
      <c r="G1208" t="s"/>
      <c r="H1208" t="s"/>
      <c r="I1208" t="s"/>
      <c r="J1208" t="n">
        <v>0</v>
      </c>
      <c r="K1208" t="n">
        <v>0</v>
      </c>
      <c r="L1208" t="n">
        <v>1</v>
      </c>
      <c r="M1208" t="n">
        <v>0</v>
      </c>
    </row>
    <row r="1209" spans="1:13">
      <c r="A1209" s="1">
        <f>HYPERLINK("http://www.twitter.com/NathanBLawrence/status/989329498909888514", "989329498909888514")</f>
        <v/>
      </c>
      <c r="B1209" s="2" t="n">
        <v>43216.10078703704</v>
      </c>
      <c r="C1209" t="n">
        <v>0</v>
      </c>
      <c r="D1209" t="n">
        <v>116</v>
      </c>
      <c r="E1209" t="s">
        <v>1220</v>
      </c>
      <c r="F1209" t="s"/>
      <c r="G1209" t="s"/>
      <c r="H1209" t="s"/>
      <c r="I1209" t="s"/>
      <c r="J1209" t="n">
        <v>-0.2023</v>
      </c>
      <c r="K1209" t="n">
        <v>0.261</v>
      </c>
      <c r="L1209" t="n">
        <v>0.556</v>
      </c>
      <c r="M1209" t="n">
        <v>0.183</v>
      </c>
    </row>
    <row r="1210" spans="1:13">
      <c r="A1210" s="1">
        <f>HYPERLINK("http://www.twitter.com/NathanBLawrence/status/989328846892695552", "989328846892695552")</f>
        <v/>
      </c>
      <c r="B1210" s="2" t="n">
        <v>43216.09898148148</v>
      </c>
      <c r="C1210" t="n">
        <v>0</v>
      </c>
      <c r="D1210" t="n">
        <v>25</v>
      </c>
      <c r="E1210" t="s">
        <v>1221</v>
      </c>
      <c r="F1210">
        <f>HYPERLINK("http://pbs.twimg.com/media/DbkM_wkWAAA9jio.jpg", "http://pbs.twimg.com/media/DbkM_wkWAAA9jio.jpg")</f>
        <v/>
      </c>
      <c r="G1210">
        <f>HYPERLINK("http://pbs.twimg.com/media/DbkM_wvWsAAa8Yj.jpg", "http://pbs.twimg.com/media/DbkM_wvWsAAa8Yj.jpg")</f>
        <v/>
      </c>
      <c r="H1210" t="s"/>
      <c r="I1210" t="s"/>
      <c r="J1210" t="n">
        <v>0</v>
      </c>
      <c r="K1210" t="n">
        <v>0</v>
      </c>
      <c r="L1210" t="n">
        <v>1</v>
      </c>
      <c r="M1210" t="n">
        <v>0</v>
      </c>
    </row>
    <row r="1211" spans="1:13">
      <c r="A1211" s="1">
        <f>HYPERLINK("http://www.twitter.com/NathanBLawrence/status/989326714760294405", "989326714760294405")</f>
        <v/>
      </c>
      <c r="B1211" s="2" t="n">
        <v>43216.09310185185</v>
      </c>
      <c r="C1211" t="n">
        <v>0</v>
      </c>
      <c r="D1211" t="n">
        <v>1075</v>
      </c>
      <c r="E1211" t="s">
        <v>1222</v>
      </c>
      <c r="F1211" t="s"/>
      <c r="G1211" t="s"/>
      <c r="H1211" t="s"/>
      <c r="I1211" t="s"/>
      <c r="J1211" t="n">
        <v>0</v>
      </c>
      <c r="K1211" t="n">
        <v>0</v>
      </c>
      <c r="L1211" t="n">
        <v>1</v>
      </c>
      <c r="M1211" t="n">
        <v>0</v>
      </c>
    </row>
    <row r="1212" spans="1:13">
      <c r="A1212" s="1">
        <f>HYPERLINK("http://www.twitter.com/NathanBLawrence/status/989326097325150208", "989326097325150208")</f>
        <v/>
      </c>
      <c r="B1212" s="2" t="n">
        <v>43216.09140046296</v>
      </c>
      <c r="C1212" t="n">
        <v>0</v>
      </c>
      <c r="D1212" t="n">
        <v>250</v>
      </c>
      <c r="E1212" t="s">
        <v>1223</v>
      </c>
      <c r="F1212">
        <f>HYPERLINK("http://pbs.twimg.com/media/DbpuaTQU8AAlVvN.jpg", "http://pbs.twimg.com/media/DbpuaTQU8AAlVvN.jpg")</f>
        <v/>
      </c>
      <c r="G1212" t="s"/>
      <c r="H1212" t="s"/>
      <c r="I1212" t="s"/>
      <c r="J1212" t="n">
        <v>0</v>
      </c>
      <c r="K1212" t="n">
        <v>0</v>
      </c>
      <c r="L1212" t="n">
        <v>1</v>
      </c>
      <c r="M1212" t="n">
        <v>0</v>
      </c>
    </row>
    <row r="1213" spans="1:13">
      <c r="A1213" s="1">
        <f>HYPERLINK("http://www.twitter.com/NathanBLawrence/status/989324614319951872", "989324614319951872")</f>
        <v/>
      </c>
      <c r="B1213" s="2" t="n">
        <v>43216.08730324074</v>
      </c>
      <c r="C1213" t="n">
        <v>0</v>
      </c>
      <c r="D1213" t="n">
        <v>154</v>
      </c>
      <c r="E1213" t="s">
        <v>1224</v>
      </c>
      <c r="F1213">
        <f>HYPERLINK("http://pbs.twimg.com/media/Dbq3y_dVAAUErnK.jpg", "http://pbs.twimg.com/media/Dbq3y_dVAAUErnK.jpg")</f>
        <v/>
      </c>
      <c r="G1213" t="s"/>
      <c r="H1213" t="s"/>
      <c r="I1213" t="s"/>
      <c r="J1213" t="n">
        <v>0</v>
      </c>
      <c r="K1213" t="n">
        <v>0</v>
      </c>
      <c r="L1213" t="n">
        <v>1</v>
      </c>
      <c r="M1213" t="n">
        <v>0</v>
      </c>
    </row>
    <row r="1214" spans="1:13">
      <c r="A1214" s="1">
        <f>HYPERLINK("http://www.twitter.com/NathanBLawrence/status/989323054038863872", "989323054038863872")</f>
        <v/>
      </c>
      <c r="B1214" s="2" t="n">
        <v>43216.08299768518</v>
      </c>
      <c r="C1214" t="n">
        <v>0</v>
      </c>
      <c r="D1214" t="n">
        <v>1205</v>
      </c>
      <c r="E1214" t="s">
        <v>1225</v>
      </c>
      <c r="F1214">
        <f>HYPERLINK("http://pbs.twimg.com/media/Dbq75FMXkAEjJfV.jpg", "http://pbs.twimg.com/media/Dbq75FMXkAEjJfV.jpg")</f>
        <v/>
      </c>
      <c r="G1214" t="s"/>
      <c r="H1214" t="s"/>
      <c r="I1214" t="s"/>
      <c r="J1214" t="n">
        <v>0</v>
      </c>
      <c r="K1214" t="n">
        <v>0</v>
      </c>
      <c r="L1214" t="n">
        <v>1</v>
      </c>
      <c r="M1214" t="n">
        <v>0</v>
      </c>
    </row>
    <row r="1215" spans="1:13">
      <c r="A1215" s="1">
        <f>HYPERLINK("http://www.twitter.com/NathanBLawrence/status/989297815359754240", "989297815359754240")</f>
        <v/>
      </c>
      <c r="B1215" s="2" t="n">
        <v>43216.01335648148</v>
      </c>
      <c r="C1215" t="n">
        <v>0</v>
      </c>
      <c r="D1215" t="n">
        <v>158</v>
      </c>
      <c r="E1215" t="s">
        <v>1226</v>
      </c>
      <c r="F1215">
        <f>HYPERLINK("https://video.twimg.com/amplify_video/989296569978642432/vid/1280x720/tYzT_azQrfz2cJao.mp4?tag=2", "https://video.twimg.com/amplify_video/989296569978642432/vid/1280x720/tYzT_azQrfz2cJao.mp4?tag=2")</f>
        <v/>
      </c>
      <c r="G1215" t="s"/>
      <c r="H1215" t="s"/>
      <c r="I1215" t="s"/>
      <c r="J1215" t="n">
        <v>-0.2263</v>
      </c>
      <c r="K1215" t="n">
        <v>0.095</v>
      </c>
      <c r="L1215" t="n">
        <v>0.905</v>
      </c>
      <c r="M1215" t="n">
        <v>0</v>
      </c>
    </row>
    <row r="1216" spans="1:13">
      <c r="A1216" s="1">
        <f>HYPERLINK("http://www.twitter.com/NathanBLawrence/status/989297307412828161", "989297307412828161")</f>
        <v/>
      </c>
      <c r="B1216" s="2" t="n">
        <v>43216.01194444444</v>
      </c>
      <c r="C1216" t="n">
        <v>0</v>
      </c>
      <c r="D1216" t="n">
        <v>1310</v>
      </c>
      <c r="E1216" t="s">
        <v>1227</v>
      </c>
      <c r="F1216" t="s"/>
      <c r="G1216" t="s"/>
      <c r="H1216" t="s"/>
      <c r="I1216" t="s"/>
      <c r="J1216" t="n">
        <v>0.4019</v>
      </c>
      <c r="K1216" t="n">
        <v>0</v>
      </c>
      <c r="L1216" t="n">
        <v>0.769</v>
      </c>
      <c r="M1216" t="n">
        <v>0.231</v>
      </c>
    </row>
    <row r="1217" spans="1:13">
      <c r="A1217" s="1">
        <f>HYPERLINK("http://www.twitter.com/NathanBLawrence/status/989297053057601537", "989297053057601537")</f>
        <v/>
      </c>
      <c r="B1217" s="2" t="n">
        <v>43216.01125</v>
      </c>
      <c r="C1217" t="n">
        <v>0</v>
      </c>
      <c r="D1217" t="n">
        <v>1363</v>
      </c>
      <c r="E1217" t="s">
        <v>1228</v>
      </c>
      <c r="F1217">
        <f>HYPERLINK("http://pbs.twimg.com/media/Dbqj-4kV0AI2tNe.jpg", "http://pbs.twimg.com/media/Dbqj-4kV0AI2tNe.jpg")</f>
        <v/>
      </c>
      <c r="G1217" t="s"/>
      <c r="H1217" t="s"/>
      <c r="I1217" t="s"/>
      <c r="J1217" t="n">
        <v>0.8597</v>
      </c>
      <c r="K1217" t="n">
        <v>0</v>
      </c>
      <c r="L1217" t="n">
        <v>0.701</v>
      </c>
      <c r="M1217" t="n">
        <v>0.299</v>
      </c>
    </row>
    <row r="1218" spans="1:13">
      <c r="A1218" s="1">
        <f>HYPERLINK("http://www.twitter.com/NathanBLawrence/status/989296818633740289", "989296818633740289")</f>
        <v/>
      </c>
      <c r="B1218" s="2" t="n">
        <v>43216.01060185185</v>
      </c>
      <c r="C1218" t="n">
        <v>0</v>
      </c>
      <c r="D1218" t="n">
        <v>4467</v>
      </c>
      <c r="E1218" t="s">
        <v>1229</v>
      </c>
      <c r="F1218" t="s"/>
      <c r="G1218" t="s"/>
      <c r="H1218" t="s"/>
      <c r="I1218" t="s"/>
      <c r="J1218" t="n">
        <v>0.5994</v>
      </c>
      <c r="K1218" t="n">
        <v>0</v>
      </c>
      <c r="L1218" t="n">
        <v>0.588</v>
      </c>
      <c r="M1218" t="n">
        <v>0.412</v>
      </c>
    </row>
    <row r="1219" spans="1:13">
      <c r="A1219" s="1">
        <f>HYPERLINK("http://www.twitter.com/NathanBLawrence/status/989267605021224961", "989267605021224961")</f>
        <v/>
      </c>
      <c r="B1219" s="2" t="n">
        <v>43215.92998842592</v>
      </c>
      <c r="C1219" t="n">
        <v>0</v>
      </c>
      <c r="D1219" t="n">
        <v>2</v>
      </c>
      <c r="E1219" t="s">
        <v>1230</v>
      </c>
      <c r="F1219" t="s"/>
      <c r="G1219" t="s"/>
      <c r="H1219" t="s"/>
      <c r="I1219" t="s"/>
      <c r="J1219" t="n">
        <v>0</v>
      </c>
      <c r="K1219" t="n">
        <v>0</v>
      </c>
      <c r="L1219" t="n">
        <v>1</v>
      </c>
      <c r="M1219" t="n">
        <v>0</v>
      </c>
    </row>
    <row r="1220" spans="1:13">
      <c r="A1220" s="1">
        <f>HYPERLINK("http://www.twitter.com/NathanBLawrence/status/989264683717808130", "989264683717808130")</f>
        <v/>
      </c>
      <c r="B1220" s="2" t="n">
        <v>43215.9219212963</v>
      </c>
      <c r="C1220" t="n">
        <v>0</v>
      </c>
      <c r="D1220" t="n">
        <v>4677</v>
      </c>
      <c r="E1220" t="s">
        <v>1231</v>
      </c>
      <c r="F1220" t="s"/>
      <c r="G1220" t="s"/>
      <c r="H1220" t="s"/>
      <c r="I1220" t="s"/>
      <c r="J1220" t="n">
        <v>0</v>
      </c>
      <c r="K1220" t="n">
        <v>0</v>
      </c>
      <c r="L1220" t="n">
        <v>1</v>
      </c>
      <c r="M1220" t="n">
        <v>0</v>
      </c>
    </row>
    <row r="1221" spans="1:13">
      <c r="A1221" s="1">
        <f>HYPERLINK("http://www.twitter.com/NathanBLawrence/status/989264038856220672", "989264038856220672")</f>
        <v/>
      </c>
      <c r="B1221" s="2" t="n">
        <v>43215.92015046296</v>
      </c>
      <c r="C1221" t="n">
        <v>0</v>
      </c>
      <c r="D1221" t="n">
        <v>9</v>
      </c>
      <c r="E1221" t="s">
        <v>1232</v>
      </c>
      <c r="F1221" t="s"/>
      <c r="G1221" t="s"/>
      <c r="H1221" t="s"/>
      <c r="I1221" t="s"/>
      <c r="J1221" t="n">
        <v>0.3595</v>
      </c>
      <c r="K1221" t="n">
        <v>0</v>
      </c>
      <c r="L1221" t="n">
        <v>0.865</v>
      </c>
      <c r="M1221" t="n">
        <v>0.135</v>
      </c>
    </row>
    <row r="1222" spans="1:13">
      <c r="A1222" s="1">
        <f>HYPERLINK("http://www.twitter.com/NathanBLawrence/status/989257220868145152", "989257220868145152")</f>
        <v/>
      </c>
      <c r="B1222" s="2" t="n">
        <v>43215.90133101852</v>
      </c>
      <c r="C1222" t="n">
        <v>0</v>
      </c>
      <c r="D1222" t="n">
        <v>97</v>
      </c>
      <c r="E1222" t="s">
        <v>1233</v>
      </c>
      <c r="F1222">
        <f>HYPERLINK("http://pbs.twimg.com/media/DbqJLiZWAAAFCEx.jpg", "http://pbs.twimg.com/media/DbqJLiZWAAAFCEx.jpg")</f>
        <v/>
      </c>
      <c r="G1222" t="s"/>
      <c r="H1222" t="s"/>
      <c r="I1222" t="s"/>
      <c r="J1222" t="n">
        <v>0</v>
      </c>
      <c r="K1222" t="n">
        <v>0</v>
      </c>
      <c r="L1222" t="n">
        <v>1</v>
      </c>
      <c r="M1222" t="n">
        <v>0</v>
      </c>
    </row>
    <row r="1223" spans="1:13">
      <c r="A1223" s="1">
        <f>HYPERLINK("http://www.twitter.com/NathanBLawrence/status/989253770012971008", "989253770012971008")</f>
        <v/>
      </c>
      <c r="B1223" s="2" t="n">
        <v>43215.89180555556</v>
      </c>
      <c r="C1223" t="n">
        <v>0</v>
      </c>
      <c r="D1223" t="n">
        <v>275</v>
      </c>
      <c r="E1223" t="s">
        <v>1234</v>
      </c>
      <c r="F1223" t="s"/>
      <c r="G1223" t="s"/>
      <c r="H1223" t="s"/>
      <c r="I1223" t="s"/>
      <c r="J1223" t="n">
        <v>0</v>
      </c>
      <c r="K1223" t="n">
        <v>0</v>
      </c>
      <c r="L1223" t="n">
        <v>1</v>
      </c>
      <c r="M1223" t="n">
        <v>0</v>
      </c>
    </row>
    <row r="1224" spans="1:13">
      <c r="A1224" s="1">
        <f>HYPERLINK("http://www.twitter.com/NathanBLawrence/status/989253066376597505", "989253066376597505")</f>
        <v/>
      </c>
      <c r="B1224" s="2" t="n">
        <v>43215.88987268518</v>
      </c>
      <c r="C1224" t="n">
        <v>0</v>
      </c>
      <c r="D1224" t="n">
        <v>1741</v>
      </c>
      <c r="E1224" t="s">
        <v>1235</v>
      </c>
      <c r="F1224" t="s"/>
      <c r="G1224" t="s"/>
      <c r="H1224" t="s"/>
      <c r="I1224" t="s"/>
      <c r="J1224" t="n">
        <v>0.0772</v>
      </c>
      <c r="K1224" t="n">
        <v>0.117</v>
      </c>
      <c r="L1224" t="n">
        <v>0.79</v>
      </c>
      <c r="M1224" t="n">
        <v>0.093</v>
      </c>
    </row>
    <row r="1225" spans="1:13">
      <c r="A1225" s="1">
        <f>HYPERLINK("http://www.twitter.com/NathanBLawrence/status/989151410985033728", "989151410985033728")</f>
        <v/>
      </c>
      <c r="B1225" s="2" t="n">
        <v>43215.60935185185</v>
      </c>
      <c r="C1225" t="n">
        <v>0</v>
      </c>
      <c r="D1225" t="n">
        <v>578</v>
      </c>
      <c r="E1225" t="s">
        <v>1236</v>
      </c>
      <c r="F1225">
        <f>HYPERLINK("https://video.twimg.com/amplify_video/989084898605654016/vid/1280x720/-skuyWkUzkW3XJg-.mp4?tag=2", "https://video.twimg.com/amplify_video/989084898605654016/vid/1280x720/-skuyWkUzkW3XJg-.mp4?tag=2")</f>
        <v/>
      </c>
      <c r="G1225" t="s"/>
      <c r="H1225" t="s"/>
      <c r="I1225" t="s"/>
      <c r="J1225" t="n">
        <v>0</v>
      </c>
      <c r="K1225" t="n">
        <v>0</v>
      </c>
      <c r="L1225" t="n">
        <v>1</v>
      </c>
      <c r="M1225" t="n">
        <v>0</v>
      </c>
    </row>
    <row r="1226" spans="1:13">
      <c r="A1226" s="1">
        <f>HYPERLINK("http://www.twitter.com/NathanBLawrence/status/989148952099516416", "989148952099516416")</f>
        <v/>
      </c>
      <c r="B1226" s="2" t="n">
        <v>43215.60256944445</v>
      </c>
      <c r="C1226" t="n">
        <v>0</v>
      </c>
      <c r="D1226" t="n">
        <v>540</v>
      </c>
      <c r="E1226" t="s">
        <v>1237</v>
      </c>
      <c r="F1226" t="s"/>
      <c r="G1226" t="s"/>
      <c r="H1226" t="s"/>
      <c r="I1226" t="s"/>
      <c r="J1226" t="n">
        <v>-0.4019</v>
      </c>
      <c r="K1226" t="n">
        <v>0.211</v>
      </c>
      <c r="L1226" t="n">
        <v>0.669</v>
      </c>
      <c r="M1226" t="n">
        <v>0.12</v>
      </c>
    </row>
    <row r="1227" spans="1:13">
      <c r="A1227" s="1">
        <f>HYPERLINK("http://www.twitter.com/NathanBLawrence/status/989148402691821574", "989148402691821574")</f>
        <v/>
      </c>
      <c r="B1227" s="2" t="n">
        <v>43215.60105324074</v>
      </c>
      <c r="C1227" t="n">
        <v>0</v>
      </c>
      <c r="D1227" t="n">
        <v>27</v>
      </c>
      <c r="E1227" t="s">
        <v>1238</v>
      </c>
      <c r="F1227" t="s"/>
      <c r="G1227" t="s"/>
      <c r="H1227" t="s"/>
      <c r="I1227" t="s"/>
      <c r="J1227" t="n">
        <v>0.7579</v>
      </c>
      <c r="K1227" t="n">
        <v>0</v>
      </c>
      <c r="L1227" t="n">
        <v>0.667</v>
      </c>
      <c r="M1227" t="n">
        <v>0.333</v>
      </c>
    </row>
    <row r="1228" spans="1:13">
      <c r="A1228" s="1">
        <f>HYPERLINK("http://www.twitter.com/NathanBLawrence/status/989148170486730753", "989148170486730753")</f>
        <v/>
      </c>
      <c r="B1228" s="2" t="n">
        <v>43215.60040509259</v>
      </c>
      <c r="C1228" t="n">
        <v>0</v>
      </c>
      <c r="D1228" t="n">
        <v>43</v>
      </c>
      <c r="E1228" t="s">
        <v>1239</v>
      </c>
      <c r="F1228">
        <f>HYPERLINK("http://pbs.twimg.com/media/Dbom27CUwAA3WMc.jpg", "http://pbs.twimg.com/media/Dbom27CUwAA3WMc.jpg")</f>
        <v/>
      </c>
      <c r="G1228" t="s"/>
      <c r="H1228" t="s"/>
      <c r="I1228" t="s"/>
      <c r="J1228" t="n">
        <v>0.8807</v>
      </c>
      <c r="K1228" t="n">
        <v>0</v>
      </c>
      <c r="L1228" t="n">
        <v>0.641</v>
      </c>
      <c r="M1228" t="n">
        <v>0.359</v>
      </c>
    </row>
    <row r="1229" spans="1:13">
      <c r="A1229" s="1">
        <f>HYPERLINK("http://www.twitter.com/NathanBLawrence/status/989147923983282177", "989147923983282177")</f>
        <v/>
      </c>
      <c r="B1229" s="2" t="n">
        <v>43215.5997337963</v>
      </c>
      <c r="C1229" t="n">
        <v>0</v>
      </c>
      <c r="D1229" t="n">
        <v>10</v>
      </c>
      <c r="E1229" t="s">
        <v>1240</v>
      </c>
      <c r="F1229" t="s"/>
      <c r="G1229" t="s"/>
      <c r="H1229" t="s"/>
      <c r="I1229" t="s"/>
      <c r="J1229" t="n">
        <v>-0.0772</v>
      </c>
      <c r="K1229" t="n">
        <v>0.136</v>
      </c>
      <c r="L1229" t="n">
        <v>0.741</v>
      </c>
      <c r="M1229" t="n">
        <v>0.123</v>
      </c>
    </row>
    <row r="1230" spans="1:13">
      <c r="A1230" s="1">
        <f>HYPERLINK("http://www.twitter.com/NathanBLawrence/status/989147017900380161", "989147017900380161")</f>
        <v/>
      </c>
      <c r="B1230" s="2" t="n">
        <v>43215.5972337963</v>
      </c>
      <c r="C1230" t="n">
        <v>0</v>
      </c>
      <c r="D1230" t="n">
        <v>131</v>
      </c>
      <c r="E1230" t="s">
        <v>1241</v>
      </c>
      <c r="F1230" t="s"/>
      <c r="G1230" t="s"/>
      <c r="H1230" t="s"/>
      <c r="I1230" t="s"/>
      <c r="J1230" t="n">
        <v>-0.3612</v>
      </c>
      <c r="K1230" t="n">
        <v>0.238</v>
      </c>
      <c r="L1230" t="n">
        <v>0.762</v>
      </c>
      <c r="M1230" t="n">
        <v>0</v>
      </c>
    </row>
    <row r="1231" spans="1:13">
      <c r="A1231" s="1">
        <f>HYPERLINK("http://www.twitter.com/NathanBLawrence/status/989146704426479617", "989146704426479617")</f>
        <v/>
      </c>
      <c r="B1231" s="2" t="n">
        <v>43215.59636574074</v>
      </c>
      <c r="C1231" t="n">
        <v>0</v>
      </c>
      <c r="D1231" t="n">
        <v>1038</v>
      </c>
      <c r="E1231" t="s">
        <v>1242</v>
      </c>
      <c r="F1231" t="s"/>
      <c r="G1231" t="s"/>
      <c r="H1231" t="s"/>
      <c r="I1231" t="s"/>
      <c r="J1231" t="n">
        <v>0</v>
      </c>
      <c r="K1231" t="n">
        <v>0</v>
      </c>
      <c r="L1231" t="n">
        <v>1</v>
      </c>
      <c r="M1231" t="n">
        <v>0</v>
      </c>
    </row>
    <row r="1232" spans="1:13">
      <c r="A1232" s="1">
        <f>HYPERLINK("http://www.twitter.com/NathanBLawrence/status/989134339047874561", "989134339047874561")</f>
        <v/>
      </c>
      <c r="B1232" s="2" t="n">
        <v>43215.56224537037</v>
      </c>
      <c r="C1232" t="n">
        <v>0</v>
      </c>
      <c r="D1232" t="n">
        <v>7179</v>
      </c>
      <c r="E1232" t="s">
        <v>1243</v>
      </c>
      <c r="F1232">
        <f>HYPERLINK("http://pbs.twimg.com/media/DbnRlZ8XcAA9uvx.jpg", "http://pbs.twimg.com/media/DbnRlZ8XcAA9uvx.jpg")</f>
        <v/>
      </c>
      <c r="G1232" t="s"/>
      <c r="H1232" t="s"/>
      <c r="I1232" t="s"/>
      <c r="J1232" t="n">
        <v>0.4866</v>
      </c>
      <c r="K1232" t="n">
        <v>0.147</v>
      </c>
      <c r="L1232" t="n">
        <v>0.553</v>
      </c>
      <c r="M1232" t="n">
        <v>0.3</v>
      </c>
    </row>
    <row r="1233" spans="1:13">
      <c r="A1233" s="1">
        <f>HYPERLINK("http://www.twitter.com/NathanBLawrence/status/989132825977937920", "989132825977937920")</f>
        <v/>
      </c>
      <c r="B1233" s="2" t="n">
        <v>43215.55806712963</v>
      </c>
      <c r="C1233" t="n">
        <v>0</v>
      </c>
      <c r="D1233" t="n">
        <v>768</v>
      </c>
      <c r="E1233" t="s">
        <v>1244</v>
      </c>
      <c r="F1233">
        <f>HYPERLINK("http://pbs.twimg.com/media/DboTomoUQAEajzx.jpg", "http://pbs.twimg.com/media/DboTomoUQAEajzx.jpg")</f>
        <v/>
      </c>
      <c r="G1233" t="s"/>
      <c r="H1233" t="s"/>
      <c r="I1233" t="s"/>
      <c r="J1233" t="n">
        <v>0</v>
      </c>
      <c r="K1233" t="n">
        <v>0</v>
      </c>
      <c r="L1233" t="n">
        <v>1</v>
      </c>
      <c r="M1233" t="n">
        <v>0</v>
      </c>
    </row>
    <row r="1234" spans="1:13">
      <c r="A1234" s="1">
        <f>HYPERLINK("http://www.twitter.com/NathanBLawrence/status/989026446294355970", "989026446294355970")</f>
        <v/>
      </c>
      <c r="B1234" s="2" t="n">
        <v>43215.26451388889</v>
      </c>
      <c r="C1234" t="n">
        <v>0</v>
      </c>
      <c r="D1234" t="n">
        <v>1084</v>
      </c>
      <c r="E1234" t="s">
        <v>1245</v>
      </c>
      <c r="F1234" t="s"/>
      <c r="G1234" t="s"/>
      <c r="H1234" t="s"/>
      <c r="I1234" t="s"/>
      <c r="J1234" t="n">
        <v>0</v>
      </c>
      <c r="K1234" t="n">
        <v>0</v>
      </c>
      <c r="L1234" t="n">
        <v>1</v>
      </c>
      <c r="M1234" t="n">
        <v>0</v>
      </c>
    </row>
    <row r="1235" spans="1:13">
      <c r="A1235" s="1">
        <f>HYPERLINK("http://www.twitter.com/NathanBLawrence/status/989026171156418561", "989026171156418561")</f>
        <v/>
      </c>
      <c r="B1235" s="2" t="n">
        <v>43215.26376157408</v>
      </c>
      <c r="C1235" t="n">
        <v>0</v>
      </c>
      <c r="D1235" t="n">
        <v>1532</v>
      </c>
      <c r="E1235" t="s">
        <v>1246</v>
      </c>
      <c r="F1235" t="s"/>
      <c r="G1235" t="s"/>
      <c r="H1235" t="s"/>
      <c r="I1235" t="s"/>
      <c r="J1235" t="n">
        <v>0.4201</v>
      </c>
      <c r="K1235" t="n">
        <v>0</v>
      </c>
      <c r="L1235" t="n">
        <v>0.866</v>
      </c>
      <c r="M1235" t="n">
        <v>0.134</v>
      </c>
    </row>
    <row r="1236" spans="1:13">
      <c r="A1236" s="1">
        <f>HYPERLINK("http://www.twitter.com/NathanBLawrence/status/989026125744672776", "989026125744672776")</f>
        <v/>
      </c>
      <c r="B1236" s="2" t="n">
        <v>43215.26363425926</v>
      </c>
      <c r="C1236" t="n">
        <v>0</v>
      </c>
      <c r="D1236" t="n">
        <v>659</v>
      </c>
      <c r="E1236" t="s">
        <v>1247</v>
      </c>
      <c r="F1236">
        <f>HYPERLINK("http://pbs.twimg.com/media/DbkGodNXcAE24-c.jpg", "http://pbs.twimg.com/media/DbkGodNXcAE24-c.jpg")</f>
        <v/>
      </c>
      <c r="G1236" t="s"/>
      <c r="H1236" t="s"/>
      <c r="I1236" t="s"/>
      <c r="J1236" t="n">
        <v>-0.296</v>
      </c>
      <c r="K1236" t="n">
        <v>0.104</v>
      </c>
      <c r="L1236" t="n">
        <v>0.896</v>
      </c>
      <c r="M1236" t="n">
        <v>0</v>
      </c>
    </row>
    <row r="1237" spans="1:13">
      <c r="A1237" s="1">
        <f>HYPERLINK("http://www.twitter.com/NathanBLawrence/status/989025197356408832", "989025197356408832")</f>
        <v/>
      </c>
      <c r="B1237" s="2" t="n">
        <v>43215.26106481482</v>
      </c>
      <c r="C1237" t="n">
        <v>0</v>
      </c>
      <c r="D1237" t="n">
        <v>364</v>
      </c>
      <c r="E1237" t="s">
        <v>1248</v>
      </c>
      <c r="F1237" t="s"/>
      <c r="G1237" t="s"/>
      <c r="H1237" t="s"/>
      <c r="I1237" t="s"/>
      <c r="J1237" t="n">
        <v>0</v>
      </c>
      <c r="K1237" t="n">
        <v>0</v>
      </c>
      <c r="L1237" t="n">
        <v>1</v>
      </c>
      <c r="M1237" t="n">
        <v>0</v>
      </c>
    </row>
    <row r="1238" spans="1:13">
      <c r="A1238" s="1">
        <f>HYPERLINK("http://www.twitter.com/NathanBLawrence/status/989024773219999744", "989024773219999744")</f>
        <v/>
      </c>
      <c r="B1238" s="2" t="n">
        <v>43215.25989583333</v>
      </c>
      <c r="C1238" t="n">
        <v>0</v>
      </c>
      <c r="D1238" t="n">
        <v>438</v>
      </c>
      <c r="E1238" t="s">
        <v>1249</v>
      </c>
      <c r="F1238" t="s"/>
      <c r="G1238" t="s"/>
      <c r="H1238" t="s"/>
      <c r="I1238" t="s"/>
      <c r="J1238" t="n">
        <v>-0.2732</v>
      </c>
      <c r="K1238" t="n">
        <v>0.101</v>
      </c>
      <c r="L1238" t="n">
        <v>0.844</v>
      </c>
      <c r="M1238" t="n">
        <v>0.055</v>
      </c>
    </row>
    <row r="1239" spans="1:13">
      <c r="A1239" s="1">
        <f>HYPERLINK("http://www.twitter.com/NathanBLawrence/status/989023860971528193", "989023860971528193")</f>
        <v/>
      </c>
      <c r="B1239" s="2" t="n">
        <v>43215.25738425926</v>
      </c>
      <c r="C1239" t="n">
        <v>0</v>
      </c>
      <c r="D1239" t="n">
        <v>4480</v>
      </c>
      <c r="E1239" t="s">
        <v>1250</v>
      </c>
      <c r="F1239" t="s"/>
      <c r="G1239" t="s"/>
      <c r="H1239" t="s"/>
      <c r="I1239" t="s"/>
      <c r="J1239" t="n">
        <v>0.7964</v>
      </c>
      <c r="K1239" t="n">
        <v>0</v>
      </c>
      <c r="L1239" t="n">
        <v>0.637</v>
      </c>
      <c r="M1239" t="n">
        <v>0.363</v>
      </c>
    </row>
    <row r="1240" spans="1:13">
      <c r="A1240" s="1">
        <f>HYPERLINK("http://www.twitter.com/NathanBLawrence/status/989023750183116800", "989023750183116800")</f>
        <v/>
      </c>
      <c r="B1240" s="2" t="n">
        <v>43215.25707175926</v>
      </c>
      <c r="C1240" t="n">
        <v>0</v>
      </c>
      <c r="D1240" t="n">
        <v>331</v>
      </c>
      <c r="E1240" t="s">
        <v>1251</v>
      </c>
      <c r="F1240" t="s"/>
      <c r="G1240" t="s"/>
      <c r="H1240" t="s"/>
      <c r="I1240" t="s"/>
      <c r="J1240" t="n">
        <v>-0.0772</v>
      </c>
      <c r="K1240" t="n">
        <v>0.08400000000000001</v>
      </c>
      <c r="L1240" t="n">
        <v>0.842</v>
      </c>
      <c r="M1240" t="n">
        <v>0.074</v>
      </c>
    </row>
    <row r="1241" spans="1:13">
      <c r="A1241" s="1">
        <f>HYPERLINK("http://www.twitter.com/NathanBLawrence/status/989022525752561664", "989022525752561664")</f>
        <v/>
      </c>
      <c r="B1241" s="2" t="n">
        <v>43215.25369212963</v>
      </c>
      <c r="C1241" t="n">
        <v>0</v>
      </c>
      <c r="D1241" t="n">
        <v>3560</v>
      </c>
      <c r="E1241" t="s">
        <v>1252</v>
      </c>
      <c r="F1241">
        <f>HYPERLINK("https://video.twimg.com/ext_tw_video/988938584978751489/pu/vid/640x360/ekAHgUX3je2NAvbF.mp4?tag=3", "https://video.twimg.com/ext_tw_video/988938584978751489/pu/vid/640x360/ekAHgUX3je2NAvbF.mp4?tag=3")</f>
        <v/>
      </c>
      <c r="G1241" t="s"/>
      <c r="H1241" t="s"/>
      <c r="I1241" t="s"/>
      <c r="J1241" t="n">
        <v>-0.0258</v>
      </c>
      <c r="K1241" t="n">
        <v>0.104</v>
      </c>
      <c r="L1241" t="n">
        <v>0.797</v>
      </c>
      <c r="M1241" t="n">
        <v>0.1</v>
      </c>
    </row>
    <row r="1242" spans="1:13">
      <c r="A1242" s="1">
        <f>HYPERLINK("http://www.twitter.com/NathanBLawrence/status/989021771520184320", "989021771520184320")</f>
        <v/>
      </c>
      <c r="B1242" s="2" t="n">
        <v>43215.25162037037</v>
      </c>
      <c r="C1242" t="n">
        <v>0</v>
      </c>
      <c r="D1242" t="n">
        <v>385</v>
      </c>
      <c r="E1242" t="s">
        <v>1253</v>
      </c>
      <c r="F1242" t="s"/>
      <c r="G1242" t="s"/>
      <c r="H1242" t="s"/>
      <c r="I1242" t="s"/>
      <c r="J1242" t="n">
        <v>-0.946</v>
      </c>
      <c r="K1242" t="n">
        <v>0.489</v>
      </c>
      <c r="L1242" t="n">
        <v>0.511</v>
      </c>
      <c r="M1242" t="n">
        <v>0</v>
      </c>
    </row>
    <row r="1243" spans="1:13">
      <c r="A1243" s="1">
        <f>HYPERLINK("http://www.twitter.com/NathanBLawrence/status/989021687726444544", "989021687726444544")</f>
        <v/>
      </c>
      <c r="B1243" s="2" t="n">
        <v>43215.25138888889</v>
      </c>
      <c r="C1243" t="n">
        <v>0</v>
      </c>
      <c r="D1243" t="n">
        <v>501</v>
      </c>
      <c r="E1243" t="s">
        <v>1254</v>
      </c>
      <c r="F1243" t="s"/>
      <c r="G1243" t="s"/>
      <c r="H1243" t="s"/>
      <c r="I1243" t="s"/>
      <c r="J1243" t="n">
        <v>0</v>
      </c>
      <c r="K1243" t="n">
        <v>0</v>
      </c>
      <c r="L1243" t="n">
        <v>1</v>
      </c>
      <c r="M1243" t="n">
        <v>0</v>
      </c>
    </row>
    <row r="1244" spans="1:13">
      <c r="A1244" s="1">
        <f>HYPERLINK("http://www.twitter.com/NathanBLawrence/status/989021454749626368", "989021454749626368")</f>
        <v/>
      </c>
      <c r="B1244" s="2" t="n">
        <v>43215.25074074074</v>
      </c>
      <c r="C1244" t="n">
        <v>0</v>
      </c>
      <c r="D1244" t="n">
        <v>9</v>
      </c>
      <c r="E1244" t="s">
        <v>1255</v>
      </c>
      <c r="F1244" t="s"/>
      <c r="G1244" t="s"/>
      <c r="H1244" t="s"/>
      <c r="I1244" t="s"/>
      <c r="J1244" t="n">
        <v>-0.7269</v>
      </c>
      <c r="K1244" t="n">
        <v>0.337</v>
      </c>
      <c r="L1244" t="n">
        <v>0.663</v>
      </c>
      <c r="M1244" t="n">
        <v>0</v>
      </c>
    </row>
    <row r="1245" spans="1:13">
      <c r="A1245" s="1">
        <f>HYPERLINK("http://www.twitter.com/NathanBLawrence/status/989021061734952960", "989021061734952960")</f>
        <v/>
      </c>
      <c r="B1245" s="2" t="n">
        <v>43215.24965277778</v>
      </c>
      <c r="C1245" t="n">
        <v>0</v>
      </c>
      <c r="D1245" t="n">
        <v>1</v>
      </c>
      <c r="E1245" t="s">
        <v>1256</v>
      </c>
      <c r="F1245" t="s"/>
      <c r="G1245" t="s"/>
      <c r="H1245" t="s"/>
      <c r="I1245" t="s"/>
      <c r="J1245" t="n">
        <v>0</v>
      </c>
      <c r="K1245" t="n">
        <v>0</v>
      </c>
      <c r="L1245" t="n">
        <v>1</v>
      </c>
      <c r="M1245" t="n">
        <v>0</v>
      </c>
    </row>
    <row r="1246" spans="1:13">
      <c r="A1246" s="1">
        <f>HYPERLINK("http://www.twitter.com/NathanBLawrence/status/989020782297796608", "989020782297796608")</f>
        <v/>
      </c>
      <c r="B1246" s="2" t="n">
        <v>43215.24888888889</v>
      </c>
      <c r="C1246" t="n">
        <v>0</v>
      </c>
      <c r="D1246" t="n">
        <v>1</v>
      </c>
      <c r="E1246" t="s">
        <v>1257</v>
      </c>
      <c r="F1246" t="s"/>
      <c r="G1246" t="s"/>
      <c r="H1246" t="s"/>
      <c r="I1246" t="s"/>
      <c r="J1246" t="n">
        <v>-0.3182</v>
      </c>
      <c r="K1246" t="n">
        <v>0.095</v>
      </c>
      <c r="L1246" t="n">
        <v>0.905</v>
      </c>
      <c r="M1246" t="n">
        <v>0</v>
      </c>
    </row>
    <row r="1247" spans="1:13">
      <c r="A1247" s="1">
        <f>HYPERLINK("http://www.twitter.com/NathanBLawrence/status/989020616643801089", "989020616643801089")</f>
        <v/>
      </c>
      <c r="B1247" s="2" t="n">
        <v>43215.24842592593</v>
      </c>
      <c r="C1247" t="n">
        <v>0</v>
      </c>
      <c r="D1247" t="n">
        <v>822</v>
      </c>
      <c r="E1247" t="s">
        <v>1258</v>
      </c>
      <c r="F1247" t="s"/>
      <c r="G1247" t="s"/>
      <c r="H1247" t="s"/>
      <c r="I1247" t="s"/>
      <c r="J1247" t="n">
        <v>0</v>
      </c>
      <c r="K1247" t="n">
        <v>0</v>
      </c>
      <c r="L1247" t="n">
        <v>1</v>
      </c>
      <c r="M1247" t="n">
        <v>0</v>
      </c>
    </row>
    <row r="1248" spans="1:13">
      <c r="A1248" s="1">
        <f>HYPERLINK("http://www.twitter.com/NathanBLawrence/status/989019736360062976", "989019736360062976")</f>
        <v/>
      </c>
      <c r="B1248" s="2" t="n">
        <v>43215.24599537037</v>
      </c>
      <c r="C1248" t="n">
        <v>0</v>
      </c>
      <c r="D1248" t="n">
        <v>1826</v>
      </c>
      <c r="E1248" t="s">
        <v>1259</v>
      </c>
      <c r="F1248">
        <f>HYPERLINK("https://video.twimg.com/ext_tw_video/988926293545807872/pu/vid/720x720/y_S8zHK0rA8KV_CV.mp4?tag=3", "https://video.twimg.com/ext_tw_video/988926293545807872/pu/vid/720x720/y_S8zHK0rA8KV_CV.mp4?tag=3")</f>
        <v/>
      </c>
      <c r="G1248" t="s"/>
      <c r="H1248" t="s"/>
      <c r="I1248" t="s"/>
      <c r="J1248" t="n">
        <v>0.4404</v>
      </c>
      <c r="K1248" t="n">
        <v>0</v>
      </c>
      <c r="L1248" t="n">
        <v>0.775</v>
      </c>
      <c r="M1248" t="n">
        <v>0.225</v>
      </c>
    </row>
    <row r="1249" spans="1:13">
      <c r="A1249" s="1">
        <f>HYPERLINK("http://www.twitter.com/NathanBLawrence/status/989017257853575168", "989017257853575168")</f>
        <v/>
      </c>
      <c r="B1249" s="2" t="n">
        <v>43215.23915509259</v>
      </c>
      <c r="C1249" t="n">
        <v>0</v>
      </c>
      <c r="D1249" t="n">
        <v>745</v>
      </c>
      <c r="E1249" t="s">
        <v>1260</v>
      </c>
      <c r="F1249" t="s"/>
      <c r="G1249" t="s"/>
      <c r="H1249" t="s"/>
      <c r="I1249" t="s"/>
      <c r="J1249" t="n">
        <v>0</v>
      </c>
      <c r="K1249" t="n">
        <v>0</v>
      </c>
      <c r="L1249" t="n">
        <v>1</v>
      </c>
      <c r="M1249" t="n">
        <v>0</v>
      </c>
    </row>
    <row r="1250" spans="1:13">
      <c r="A1250" s="1">
        <f>HYPERLINK("http://www.twitter.com/NathanBLawrence/status/989016909948612609", "989016909948612609")</f>
        <v/>
      </c>
      <c r="B1250" s="2" t="n">
        <v>43215.23820601852</v>
      </c>
      <c r="C1250" t="n">
        <v>0</v>
      </c>
      <c r="D1250" t="n">
        <v>8</v>
      </c>
      <c r="E1250" t="s">
        <v>1261</v>
      </c>
      <c r="F1250" t="s"/>
      <c r="G1250" t="s"/>
      <c r="H1250" t="s"/>
      <c r="I1250" t="s"/>
      <c r="J1250" t="n">
        <v>-0.6514</v>
      </c>
      <c r="K1250" t="n">
        <v>0.245</v>
      </c>
      <c r="L1250" t="n">
        <v>0.661</v>
      </c>
      <c r="M1250" t="n">
        <v>0.094</v>
      </c>
    </row>
    <row r="1251" spans="1:13">
      <c r="A1251" s="1">
        <f>HYPERLINK("http://www.twitter.com/NathanBLawrence/status/989016707015610368", "989016707015610368")</f>
        <v/>
      </c>
      <c r="B1251" s="2" t="n">
        <v>43215.23763888889</v>
      </c>
      <c r="C1251" t="n">
        <v>0</v>
      </c>
      <c r="D1251" t="n">
        <v>4</v>
      </c>
      <c r="E1251" t="s">
        <v>1262</v>
      </c>
      <c r="F1251">
        <f>HYPERLINK("http://pbs.twimg.com/media/DbmwBBRWAAAuRy4.jpg", "http://pbs.twimg.com/media/DbmwBBRWAAAuRy4.jpg")</f>
        <v/>
      </c>
      <c r="G1251" t="s"/>
      <c r="H1251" t="s"/>
      <c r="I1251" t="s"/>
      <c r="J1251" t="n">
        <v>-0.126</v>
      </c>
      <c r="K1251" t="n">
        <v>0.133</v>
      </c>
      <c r="L1251" t="n">
        <v>0.756</v>
      </c>
      <c r="M1251" t="n">
        <v>0.111</v>
      </c>
    </row>
    <row r="1252" spans="1:13">
      <c r="A1252" s="1">
        <f>HYPERLINK("http://www.twitter.com/NathanBLawrence/status/989016654012211200", "989016654012211200")</f>
        <v/>
      </c>
      <c r="B1252" s="2" t="n">
        <v>43215.2375</v>
      </c>
      <c r="C1252" t="n">
        <v>0</v>
      </c>
      <c r="D1252" t="n">
        <v>1</v>
      </c>
      <c r="E1252" t="s">
        <v>1263</v>
      </c>
      <c r="F1252" t="s"/>
      <c r="G1252" t="s"/>
      <c r="H1252" t="s"/>
      <c r="I1252" t="s"/>
      <c r="J1252" t="n">
        <v>-0.7003</v>
      </c>
      <c r="K1252" t="n">
        <v>0.309</v>
      </c>
      <c r="L1252" t="n">
        <v>0.6909999999999999</v>
      </c>
      <c r="M1252" t="n">
        <v>0</v>
      </c>
    </row>
    <row r="1253" spans="1:13">
      <c r="A1253" s="1">
        <f>HYPERLINK("http://www.twitter.com/NathanBLawrence/status/989016425338753024", "989016425338753024")</f>
        <v/>
      </c>
      <c r="B1253" s="2" t="n">
        <v>43215.23686342593</v>
      </c>
      <c r="C1253" t="n">
        <v>0</v>
      </c>
      <c r="D1253" t="n">
        <v>34</v>
      </c>
      <c r="E1253" t="s">
        <v>1264</v>
      </c>
      <c r="F1253" t="s"/>
      <c r="G1253" t="s"/>
      <c r="H1253" t="s"/>
      <c r="I1253" t="s"/>
      <c r="J1253" t="n">
        <v>0</v>
      </c>
      <c r="K1253" t="n">
        <v>0</v>
      </c>
      <c r="L1253" t="n">
        <v>1</v>
      </c>
      <c r="M1253" t="n">
        <v>0</v>
      </c>
    </row>
    <row r="1254" spans="1:13">
      <c r="A1254" s="1">
        <f>HYPERLINK("http://www.twitter.com/NathanBLawrence/status/989016018596003840", "989016018596003840")</f>
        <v/>
      </c>
      <c r="B1254" s="2" t="n">
        <v>43215.23574074074</v>
      </c>
      <c r="C1254" t="n">
        <v>0</v>
      </c>
      <c r="D1254" t="n">
        <v>325</v>
      </c>
      <c r="E1254" t="s">
        <v>1265</v>
      </c>
      <c r="F1254" t="s"/>
      <c r="G1254" t="s"/>
      <c r="H1254" t="s"/>
      <c r="I1254" t="s"/>
      <c r="J1254" t="n">
        <v>-0.5423</v>
      </c>
      <c r="K1254" t="n">
        <v>0.216</v>
      </c>
      <c r="L1254" t="n">
        <v>0.696</v>
      </c>
      <c r="M1254" t="n">
        <v>0.08799999999999999</v>
      </c>
    </row>
    <row r="1255" spans="1:13">
      <c r="A1255" s="1">
        <f>HYPERLINK("http://www.twitter.com/NathanBLawrence/status/989015971879903232", "989015971879903232")</f>
        <v/>
      </c>
      <c r="B1255" s="2" t="n">
        <v>43215.23561342592</v>
      </c>
      <c r="C1255" t="n">
        <v>0</v>
      </c>
      <c r="D1255" t="n">
        <v>773</v>
      </c>
      <c r="E1255" t="s">
        <v>1266</v>
      </c>
      <c r="F1255">
        <f>HYPERLINK("http://pbs.twimg.com/media/DblFRTHUwAAg0Rw.jpg", "http://pbs.twimg.com/media/DblFRTHUwAAg0Rw.jpg")</f>
        <v/>
      </c>
      <c r="G1255" t="s"/>
      <c r="H1255" t="s"/>
      <c r="I1255" t="s"/>
      <c r="J1255" t="n">
        <v>0</v>
      </c>
      <c r="K1255" t="n">
        <v>0</v>
      </c>
      <c r="L1255" t="n">
        <v>1</v>
      </c>
      <c r="M1255" t="n">
        <v>0</v>
      </c>
    </row>
    <row r="1256" spans="1:13">
      <c r="A1256" s="1">
        <f>HYPERLINK("http://www.twitter.com/NathanBLawrence/status/989015874571993088", "989015874571993088")</f>
        <v/>
      </c>
      <c r="B1256" s="2" t="n">
        <v>43215.23534722222</v>
      </c>
      <c r="C1256" t="n">
        <v>0</v>
      </c>
      <c r="D1256" t="n">
        <v>109</v>
      </c>
      <c r="E1256" t="s">
        <v>1267</v>
      </c>
      <c r="F1256" t="s"/>
      <c r="G1256" t="s"/>
      <c r="H1256" t="s"/>
      <c r="I1256" t="s"/>
      <c r="J1256" t="n">
        <v>0.0772</v>
      </c>
      <c r="K1256" t="n">
        <v>0.14</v>
      </c>
      <c r="L1256" t="n">
        <v>0.702</v>
      </c>
      <c r="M1256" t="n">
        <v>0.158</v>
      </c>
    </row>
    <row r="1257" spans="1:13">
      <c r="A1257" s="1">
        <f>HYPERLINK("http://www.twitter.com/NathanBLawrence/status/989015032741720065", "989015032741720065")</f>
        <v/>
      </c>
      <c r="B1257" s="2" t="n">
        <v>43215.23302083334</v>
      </c>
      <c r="C1257" t="n">
        <v>0</v>
      </c>
      <c r="D1257" t="n">
        <v>69</v>
      </c>
      <c r="E1257" t="s">
        <v>1268</v>
      </c>
      <c r="F1257" t="s"/>
      <c r="G1257" t="s"/>
      <c r="H1257" t="s"/>
      <c r="I1257" t="s"/>
      <c r="J1257" t="n">
        <v>0.4466</v>
      </c>
      <c r="K1257" t="n">
        <v>0</v>
      </c>
      <c r="L1257" t="n">
        <v>0.827</v>
      </c>
      <c r="M1257" t="n">
        <v>0.173</v>
      </c>
    </row>
    <row r="1258" spans="1:13">
      <c r="A1258" s="1">
        <f>HYPERLINK("http://www.twitter.com/NathanBLawrence/status/989014835223564288", "989014835223564288")</f>
        <v/>
      </c>
      <c r="B1258" s="2" t="n">
        <v>43215.23247685185</v>
      </c>
      <c r="C1258" t="n">
        <v>0</v>
      </c>
      <c r="D1258" t="n">
        <v>34</v>
      </c>
      <c r="E1258" t="s">
        <v>1269</v>
      </c>
      <c r="F1258">
        <f>HYPERLINK("http://pbs.twimg.com/media/DbhHv8_VQAE2LM2.jpg", "http://pbs.twimg.com/media/DbhHv8_VQAE2LM2.jpg")</f>
        <v/>
      </c>
      <c r="G1258" t="s"/>
      <c r="H1258" t="s"/>
      <c r="I1258" t="s"/>
      <c r="J1258" t="n">
        <v>0</v>
      </c>
      <c r="K1258" t="n">
        <v>0</v>
      </c>
      <c r="L1258" t="n">
        <v>1</v>
      </c>
      <c r="M1258" t="n">
        <v>0</v>
      </c>
    </row>
    <row r="1259" spans="1:13">
      <c r="A1259" s="1">
        <f>HYPERLINK("http://www.twitter.com/NathanBLawrence/status/989013879584903168", "989013879584903168")</f>
        <v/>
      </c>
      <c r="B1259" s="2" t="n">
        <v>43215.22983796296</v>
      </c>
      <c r="C1259" t="n">
        <v>0</v>
      </c>
      <c r="D1259" t="n">
        <v>102</v>
      </c>
      <c r="E1259" t="s">
        <v>1270</v>
      </c>
      <c r="F1259">
        <f>HYPERLINK("http://pbs.twimg.com/media/DblP_QXX0AAQmwA.jpg", "http://pbs.twimg.com/media/DblP_QXX0AAQmwA.jpg")</f>
        <v/>
      </c>
      <c r="G1259" t="s"/>
      <c r="H1259" t="s"/>
      <c r="I1259" t="s"/>
      <c r="J1259" t="n">
        <v>0</v>
      </c>
      <c r="K1259" t="n">
        <v>0</v>
      </c>
      <c r="L1259" t="n">
        <v>1</v>
      </c>
      <c r="M1259" t="n">
        <v>0</v>
      </c>
    </row>
    <row r="1260" spans="1:13">
      <c r="A1260" s="1">
        <f>HYPERLINK("http://www.twitter.com/NathanBLawrence/status/989013845682384896", "989013845682384896")</f>
        <v/>
      </c>
      <c r="B1260" s="2" t="n">
        <v>43215.22974537037</v>
      </c>
      <c r="C1260" t="n">
        <v>0</v>
      </c>
      <c r="D1260" t="n">
        <v>79</v>
      </c>
      <c r="E1260" t="s">
        <v>1271</v>
      </c>
      <c r="F1260">
        <f>HYPERLINK("http://pbs.twimg.com/media/DblPaEjX4AEGmSV.jpg", "http://pbs.twimg.com/media/DblPaEjX4AEGmSV.jpg")</f>
        <v/>
      </c>
      <c r="G1260" t="s"/>
      <c r="H1260" t="s"/>
      <c r="I1260" t="s"/>
      <c r="J1260" t="n">
        <v>0</v>
      </c>
      <c r="K1260" t="n">
        <v>0</v>
      </c>
      <c r="L1260" t="n">
        <v>1</v>
      </c>
      <c r="M1260" t="n">
        <v>0</v>
      </c>
    </row>
    <row r="1261" spans="1:13">
      <c r="A1261" s="1">
        <f>HYPERLINK("http://www.twitter.com/NathanBLawrence/status/989013541138128896", "989013541138128896")</f>
        <v/>
      </c>
      <c r="B1261" s="2" t="n">
        <v>43215.22890046296</v>
      </c>
      <c r="C1261" t="n">
        <v>0</v>
      </c>
      <c r="D1261" t="n">
        <v>224</v>
      </c>
      <c r="E1261" t="s">
        <v>1272</v>
      </c>
      <c r="F1261" t="s"/>
      <c r="G1261" t="s"/>
      <c r="H1261" t="s"/>
      <c r="I1261" t="s"/>
      <c r="J1261" t="n">
        <v>0</v>
      </c>
      <c r="K1261" t="n">
        <v>0</v>
      </c>
      <c r="L1261" t="n">
        <v>1</v>
      </c>
      <c r="M1261" t="n">
        <v>0</v>
      </c>
    </row>
    <row r="1262" spans="1:13">
      <c r="A1262" s="1">
        <f>HYPERLINK("http://www.twitter.com/NathanBLawrence/status/989013228373069824", "989013228373069824")</f>
        <v/>
      </c>
      <c r="B1262" s="2" t="n">
        <v>43215.22804398148</v>
      </c>
      <c r="C1262" t="n">
        <v>0</v>
      </c>
      <c r="D1262" t="n">
        <v>1156</v>
      </c>
      <c r="E1262" t="s">
        <v>1273</v>
      </c>
      <c r="F1262" t="s"/>
      <c r="G1262" t="s"/>
      <c r="H1262" t="s"/>
      <c r="I1262" t="s"/>
      <c r="J1262" t="n">
        <v>-0.1096</v>
      </c>
      <c r="K1262" t="n">
        <v>0.117</v>
      </c>
      <c r="L1262" t="n">
        <v>0.78</v>
      </c>
      <c r="M1262" t="n">
        <v>0.103</v>
      </c>
    </row>
    <row r="1263" spans="1:13">
      <c r="A1263" s="1">
        <f>HYPERLINK("http://www.twitter.com/NathanBLawrence/status/989013164330274816", "989013164330274816")</f>
        <v/>
      </c>
      <c r="B1263" s="2" t="n">
        <v>43215.22787037037</v>
      </c>
      <c r="C1263" t="n">
        <v>0</v>
      </c>
      <c r="D1263" t="n">
        <v>853</v>
      </c>
      <c r="E1263" t="s">
        <v>1274</v>
      </c>
      <c r="F1263" t="s"/>
      <c r="G1263" t="s"/>
      <c r="H1263" t="s"/>
      <c r="I1263" t="s"/>
      <c r="J1263" t="n">
        <v>0.5859</v>
      </c>
      <c r="K1263" t="n">
        <v>0</v>
      </c>
      <c r="L1263" t="n">
        <v>0.8169999999999999</v>
      </c>
      <c r="M1263" t="n">
        <v>0.183</v>
      </c>
    </row>
    <row r="1264" spans="1:13">
      <c r="A1264" s="1">
        <f>HYPERLINK("http://www.twitter.com/NathanBLawrence/status/989012962840104960", "989012962840104960")</f>
        <v/>
      </c>
      <c r="B1264" s="2" t="n">
        <v>43215.22730324074</v>
      </c>
      <c r="C1264" t="n">
        <v>0</v>
      </c>
      <c r="D1264" t="n">
        <v>54</v>
      </c>
      <c r="E1264" t="s">
        <v>1275</v>
      </c>
      <c r="F1264">
        <f>HYPERLINK("http://pbs.twimg.com/media/Dbfq_3HWAAAiLJH.jpg", "http://pbs.twimg.com/media/Dbfq_3HWAAAiLJH.jpg")</f>
        <v/>
      </c>
      <c r="G1264" t="s"/>
      <c r="H1264" t="s"/>
      <c r="I1264" t="s"/>
      <c r="J1264" t="n">
        <v>0</v>
      </c>
      <c r="K1264" t="n">
        <v>0</v>
      </c>
      <c r="L1264" t="n">
        <v>1</v>
      </c>
      <c r="M1264" t="n">
        <v>0</v>
      </c>
    </row>
    <row r="1265" spans="1:13">
      <c r="A1265" s="1">
        <f>HYPERLINK("http://www.twitter.com/NathanBLawrence/status/989012608698212353", "989012608698212353")</f>
        <v/>
      </c>
      <c r="B1265" s="2" t="n">
        <v>43215.22633101852</v>
      </c>
      <c r="C1265" t="n">
        <v>0</v>
      </c>
      <c r="D1265" t="n">
        <v>28</v>
      </c>
      <c r="E1265" t="s">
        <v>1276</v>
      </c>
      <c r="F1265" t="s"/>
      <c r="G1265" t="s"/>
      <c r="H1265" t="s"/>
      <c r="I1265" t="s"/>
      <c r="J1265" t="n">
        <v>0.3182</v>
      </c>
      <c r="K1265" t="n">
        <v>0</v>
      </c>
      <c r="L1265" t="n">
        <v>0.892</v>
      </c>
      <c r="M1265" t="n">
        <v>0.108</v>
      </c>
    </row>
    <row r="1266" spans="1:13">
      <c r="A1266" s="1">
        <f>HYPERLINK("http://www.twitter.com/NathanBLawrence/status/989012395686232064", "989012395686232064")</f>
        <v/>
      </c>
      <c r="B1266" s="2" t="n">
        <v>43215.22574074074</v>
      </c>
      <c r="C1266" t="n">
        <v>0</v>
      </c>
      <c r="D1266" t="n">
        <v>364</v>
      </c>
      <c r="E1266" t="s">
        <v>1277</v>
      </c>
      <c r="F1266" t="s"/>
      <c r="G1266" t="s"/>
      <c r="H1266" t="s"/>
      <c r="I1266" t="s"/>
      <c r="J1266" t="n">
        <v>-0.34</v>
      </c>
      <c r="K1266" t="n">
        <v>0.146</v>
      </c>
      <c r="L1266" t="n">
        <v>0.854</v>
      </c>
      <c r="M1266" t="n">
        <v>0</v>
      </c>
    </row>
    <row r="1267" spans="1:13">
      <c r="A1267" s="1">
        <f>HYPERLINK("http://www.twitter.com/NathanBLawrence/status/989011821985173504", "989011821985173504")</f>
        <v/>
      </c>
      <c r="B1267" s="2" t="n">
        <v>43215.22415509259</v>
      </c>
      <c r="C1267" t="n">
        <v>0</v>
      </c>
      <c r="D1267" t="n">
        <v>1</v>
      </c>
      <c r="E1267" t="s">
        <v>1278</v>
      </c>
      <c r="F1267" t="s"/>
      <c r="G1267" t="s"/>
      <c r="H1267" t="s"/>
      <c r="I1267" t="s"/>
      <c r="J1267" t="n">
        <v>0.6808</v>
      </c>
      <c r="K1267" t="n">
        <v>0</v>
      </c>
      <c r="L1267" t="n">
        <v>0.588</v>
      </c>
      <c r="M1267" t="n">
        <v>0.412</v>
      </c>
    </row>
    <row r="1268" spans="1:13">
      <c r="A1268" s="1">
        <f>HYPERLINK("http://www.twitter.com/NathanBLawrence/status/989000940987604992", "989000940987604992")</f>
        <v/>
      </c>
      <c r="B1268" s="2" t="n">
        <v>43215.19413194444</v>
      </c>
      <c r="C1268" t="n">
        <v>0</v>
      </c>
      <c r="D1268" t="n">
        <v>14</v>
      </c>
      <c r="E1268" t="s">
        <v>1279</v>
      </c>
      <c r="F1268" t="s"/>
      <c r="G1268" t="s"/>
      <c r="H1268" t="s"/>
      <c r="I1268" t="s"/>
      <c r="J1268" t="n">
        <v>-0.5372</v>
      </c>
      <c r="K1268" t="n">
        <v>0.266</v>
      </c>
      <c r="L1268" t="n">
        <v>0.622</v>
      </c>
      <c r="M1268" t="n">
        <v>0.112</v>
      </c>
    </row>
    <row r="1269" spans="1:13">
      <c r="A1269" s="1">
        <f>HYPERLINK("http://www.twitter.com/NathanBLawrence/status/989000520147841024", "989000520147841024")</f>
        <v/>
      </c>
      <c r="B1269" s="2" t="n">
        <v>43215.19297453704</v>
      </c>
      <c r="C1269" t="n">
        <v>0</v>
      </c>
      <c r="D1269" t="n">
        <v>23</v>
      </c>
      <c r="E1269" t="s">
        <v>1280</v>
      </c>
      <c r="F1269" t="s"/>
      <c r="G1269" t="s"/>
      <c r="H1269" t="s"/>
      <c r="I1269" t="s"/>
      <c r="J1269" t="n">
        <v>0</v>
      </c>
      <c r="K1269" t="n">
        <v>0</v>
      </c>
      <c r="L1269" t="n">
        <v>1</v>
      </c>
      <c r="M1269" t="n">
        <v>0</v>
      </c>
    </row>
    <row r="1270" spans="1:13">
      <c r="A1270" s="1">
        <f>HYPERLINK("http://www.twitter.com/NathanBLawrence/status/989000251347521537", "989000251347521537")</f>
        <v/>
      </c>
      <c r="B1270" s="2" t="n">
        <v>43215.1922337963</v>
      </c>
      <c r="C1270" t="n">
        <v>0</v>
      </c>
      <c r="D1270" t="n">
        <v>6593</v>
      </c>
      <c r="E1270" t="s">
        <v>1281</v>
      </c>
      <c r="F1270" t="s"/>
      <c r="G1270" t="s"/>
      <c r="H1270" t="s"/>
      <c r="I1270" t="s"/>
      <c r="J1270" t="n">
        <v>0</v>
      </c>
      <c r="K1270" t="n">
        <v>0</v>
      </c>
      <c r="L1270" t="n">
        <v>1</v>
      </c>
      <c r="M1270" t="n">
        <v>0</v>
      </c>
    </row>
    <row r="1271" spans="1:13">
      <c r="A1271" s="1">
        <f>HYPERLINK("http://www.twitter.com/NathanBLawrence/status/988998065116807168", "988998065116807168")</f>
        <v/>
      </c>
      <c r="B1271" s="2" t="n">
        <v>43215.18620370371</v>
      </c>
      <c r="C1271" t="n">
        <v>0</v>
      </c>
      <c r="D1271" t="n">
        <v>2</v>
      </c>
      <c r="E1271" t="s">
        <v>1282</v>
      </c>
      <c r="F1271" t="s"/>
      <c r="G1271" t="s"/>
      <c r="H1271" t="s"/>
      <c r="I1271" t="s"/>
      <c r="J1271" t="n">
        <v>0</v>
      </c>
      <c r="K1271" t="n">
        <v>0</v>
      </c>
      <c r="L1271" t="n">
        <v>1</v>
      </c>
      <c r="M1271" t="n">
        <v>0</v>
      </c>
    </row>
    <row r="1272" spans="1:13">
      <c r="A1272" s="1">
        <f>HYPERLINK("http://www.twitter.com/NathanBLawrence/status/988997306958667776", "988997306958667776")</f>
        <v/>
      </c>
      <c r="B1272" s="2" t="n">
        <v>43215.1841087963</v>
      </c>
      <c r="C1272" t="n">
        <v>0</v>
      </c>
      <c r="D1272" t="n">
        <v>264</v>
      </c>
      <c r="E1272" t="s">
        <v>1283</v>
      </c>
      <c r="F1272">
        <f>HYPERLINK("http://pbs.twimg.com/media/DblyTFgVAAE7uPe.jpg", "http://pbs.twimg.com/media/DblyTFgVAAE7uPe.jpg")</f>
        <v/>
      </c>
      <c r="G1272">
        <f>HYPERLINK("http://pbs.twimg.com/media/DblyTFhUQAAf9wS.jpg", "http://pbs.twimg.com/media/DblyTFhUQAAf9wS.jpg")</f>
        <v/>
      </c>
      <c r="H1272" t="s"/>
      <c r="I1272" t="s"/>
      <c r="J1272" t="n">
        <v>0.8591</v>
      </c>
      <c r="K1272" t="n">
        <v>0</v>
      </c>
      <c r="L1272" t="n">
        <v>0.588</v>
      </c>
      <c r="M1272" t="n">
        <v>0.412</v>
      </c>
    </row>
    <row r="1273" spans="1:13">
      <c r="A1273" s="1">
        <f>HYPERLINK("http://www.twitter.com/NathanBLawrence/status/988996444106436609", "988996444106436609")</f>
        <v/>
      </c>
      <c r="B1273" s="2" t="n">
        <v>43215.18172453704</v>
      </c>
      <c r="C1273" t="n">
        <v>0</v>
      </c>
      <c r="D1273" t="n">
        <v>38</v>
      </c>
      <c r="E1273" t="s">
        <v>1284</v>
      </c>
      <c r="F1273">
        <f>HYPERLINK("http://pbs.twimg.com/media/DbmeruXUQAABxld.jpg", "http://pbs.twimg.com/media/DbmeruXUQAABxld.jpg")</f>
        <v/>
      </c>
      <c r="G1273" t="s"/>
      <c r="H1273" t="s"/>
      <c r="I1273" t="s"/>
      <c r="J1273" t="n">
        <v>0</v>
      </c>
      <c r="K1273" t="n">
        <v>0</v>
      </c>
      <c r="L1273" t="n">
        <v>1</v>
      </c>
      <c r="M1273" t="n">
        <v>0</v>
      </c>
    </row>
    <row r="1274" spans="1:13">
      <c r="A1274" s="1">
        <f>HYPERLINK("http://www.twitter.com/NathanBLawrence/status/988996401794347008", "988996401794347008")</f>
        <v/>
      </c>
      <c r="B1274" s="2" t="n">
        <v>43215.18160879629</v>
      </c>
      <c r="C1274" t="n">
        <v>0</v>
      </c>
      <c r="D1274" t="n">
        <v>5</v>
      </c>
      <c r="E1274" t="s">
        <v>1285</v>
      </c>
      <c r="F1274" t="s"/>
      <c r="G1274" t="s"/>
      <c r="H1274" t="s"/>
      <c r="I1274" t="s"/>
      <c r="J1274" t="n">
        <v>0.1779</v>
      </c>
      <c r="K1274" t="n">
        <v>0</v>
      </c>
      <c r="L1274" t="n">
        <v>0.904</v>
      </c>
      <c r="M1274" t="n">
        <v>0.096</v>
      </c>
    </row>
    <row r="1275" spans="1:13">
      <c r="A1275" s="1">
        <f>HYPERLINK("http://www.twitter.com/NathanBLawrence/status/988995755347148800", "988995755347148800")</f>
        <v/>
      </c>
      <c r="B1275" s="2" t="n">
        <v>43215.17982638889</v>
      </c>
      <c r="C1275" t="n">
        <v>0</v>
      </c>
      <c r="D1275" t="n">
        <v>171</v>
      </c>
      <c r="E1275" t="s">
        <v>1286</v>
      </c>
      <c r="F1275" t="s"/>
      <c r="G1275" t="s"/>
      <c r="H1275" t="s"/>
      <c r="I1275" t="s"/>
      <c r="J1275" t="n">
        <v>0</v>
      </c>
      <c r="K1275" t="n">
        <v>0</v>
      </c>
      <c r="L1275" t="n">
        <v>1</v>
      </c>
      <c r="M1275" t="n">
        <v>0</v>
      </c>
    </row>
    <row r="1276" spans="1:13">
      <c r="A1276" s="1">
        <f>HYPERLINK("http://www.twitter.com/NathanBLawrence/status/988995614359814145", "988995614359814145")</f>
        <v/>
      </c>
      <c r="B1276" s="2" t="n">
        <v>43215.17943287037</v>
      </c>
      <c r="C1276" t="n">
        <v>0</v>
      </c>
      <c r="D1276" t="n">
        <v>50</v>
      </c>
      <c r="E1276" t="s">
        <v>1287</v>
      </c>
      <c r="F1276" t="s"/>
      <c r="G1276" t="s"/>
      <c r="H1276" t="s"/>
      <c r="I1276" t="s"/>
      <c r="J1276" t="n">
        <v>0.5411</v>
      </c>
      <c r="K1276" t="n">
        <v>0</v>
      </c>
      <c r="L1276" t="n">
        <v>0.824</v>
      </c>
      <c r="M1276" t="n">
        <v>0.176</v>
      </c>
    </row>
    <row r="1277" spans="1:13">
      <c r="A1277" s="1">
        <f>HYPERLINK("http://www.twitter.com/NathanBLawrence/status/988995224650305536", "988995224650305536")</f>
        <v/>
      </c>
      <c r="B1277" s="2" t="n">
        <v>43215.17835648148</v>
      </c>
      <c r="C1277" t="n">
        <v>0</v>
      </c>
      <c r="D1277" t="n">
        <v>1</v>
      </c>
      <c r="E1277" t="s">
        <v>1288</v>
      </c>
      <c r="F1277" t="s"/>
      <c r="G1277" t="s"/>
      <c r="H1277" t="s"/>
      <c r="I1277" t="s"/>
      <c r="J1277" t="n">
        <v>0</v>
      </c>
      <c r="K1277" t="n">
        <v>0</v>
      </c>
      <c r="L1277" t="n">
        <v>1</v>
      </c>
      <c r="M1277" t="n">
        <v>0</v>
      </c>
    </row>
    <row r="1278" spans="1:13">
      <c r="A1278" s="1">
        <f>HYPERLINK("http://www.twitter.com/NathanBLawrence/status/988994561363120128", "988994561363120128")</f>
        <v/>
      </c>
      <c r="B1278" s="2" t="n">
        <v>43215.17652777778</v>
      </c>
      <c r="C1278" t="n">
        <v>0</v>
      </c>
      <c r="D1278" t="n">
        <v>137</v>
      </c>
      <c r="E1278" t="s">
        <v>1289</v>
      </c>
      <c r="F1278" t="s"/>
      <c r="G1278" t="s"/>
      <c r="H1278" t="s"/>
      <c r="I1278" t="s"/>
      <c r="J1278" t="n">
        <v>0.7481</v>
      </c>
      <c r="K1278" t="n">
        <v>0</v>
      </c>
      <c r="L1278" t="n">
        <v>0.611</v>
      </c>
      <c r="M1278" t="n">
        <v>0.389</v>
      </c>
    </row>
    <row r="1279" spans="1:13">
      <c r="A1279" s="1">
        <f>HYPERLINK("http://www.twitter.com/NathanBLawrence/status/988994200657162240", "988994200657162240")</f>
        <v/>
      </c>
      <c r="B1279" s="2" t="n">
        <v>43215.1755324074</v>
      </c>
      <c r="C1279" t="n">
        <v>0</v>
      </c>
      <c r="D1279" t="n">
        <v>78</v>
      </c>
      <c r="E1279" t="s">
        <v>1290</v>
      </c>
      <c r="F1279" t="s"/>
      <c r="G1279" t="s"/>
      <c r="H1279" t="s"/>
      <c r="I1279" t="s"/>
      <c r="J1279" t="n">
        <v>0.7845</v>
      </c>
      <c r="K1279" t="n">
        <v>0.058</v>
      </c>
      <c r="L1279" t="n">
        <v>0.656</v>
      </c>
      <c r="M1279" t="n">
        <v>0.286</v>
      </c>
    </row>
    <row r="1280" spans="1:13">
      <c r="A1280" s="1">
        <f>HYPERLINK("http://www.twitter.com/NathanBLawrence/status/988993807856349184", "988993807856349184")</f>
        <v/>
      </c>
      <c r="B1280" s="2" t="n">
        <v>43215.17445601852</v>
      </c>
      <c r="C1280" t="n">
        <v>0</v>
      </c>
      <c r="D1280" t="n">
        <v>1551</v>
      </c>
      <c r="E1280" t="s">
        <v>1291</v>
      </c>
      <c r="F1280">
        <f>HYPERLINK("http://pbs.twimg.com/media/DbmU5XCVMAcWbcN.jpg", "http://pbs.twimg.com/media/DbmU5XCVMAcWbcN.jpg")</f>
        <v/>
      </c>
      <c r="G1280" t="s"/>
      <c r="H1280" t="s"/>
      <c r="I1280" t="s"/>
      <c r="J1280" t="n">
        <v>0.5719</v>
      </c>
      <c r="K1280" t="n">
        <v>0</v>
      </c>
      <c r="L1280" t="n">
        <v>0.709</v>
      </c>
      <c r="M1280" t="n">
        <v>0.291</v>
      </c>
    </row>
    <row r="1281" spans="1:13">
      <c r="A1281" s="1">
        <f>HYPERLINK("http://www.twitter.com/NathanBLawrence/status/988993277021040640", "988993277021040640")</f>
        <v/>
      </c>
      <c r="B1281" s="2" t="n">
        <v>43215.17298611111</v>
      </c>
      <c r="C1281" t="n">
        <v>0</v>
      </c>
      <c r="D1281" t="n">
        <v>135</v>
      </c>
      <c r="E1281" t="s">
        <v>1292</v>
      </c>
      <c r="F1281">
        <f>HYPERLINK("http://pbs.twimg.com/media/DbmZygrUQAAkLUf.jpg", "http://pbs.twimg.com/media/DbmZygrUQAAkLUf.jpg")</f>
        <v/>
      </c>
      <c r="G1281" t="s"/>
      <c r="H1281" t="s"/>
      <c r="I1281" t="s"/>
      <c r="J1281" t="n">
        <v>-0.2732</v>
      </c>
      <c r="K1281" t="n">
        <v>0.174</v>
      </c>
      <c r="L1281" t="n">
        <v>0.826</v>
      </c>
      <c r="M1281" t="n">
        <v>0</v>
      </c>
    </row>
    <row r="1282" spans="1:13">
      <c r="A1282" s="1">
        <f>HYPERLINK("http://www.twitter.com/NathanBLawrence/status/988993186117898240", "988993186117898240")</f>
        <v/>
      </c>
      <c r="B1282" s="2" t="n">
        <v>43215.17273148148</v>
      </c>
      <c r="C1282" t="n">
        <v>0</v>
      </c>
      <c r="D1282" t="n">
        <v>147</v>
      </c>
      <c r="E1282" t="s">
        <v>1293</v>
      </c>
      <c r="F1282" t="s"/>
      <c r="G1282" t="s"/>
      <c r="H1282" t="s"/>
      <c r="I1282" t="s"/>
      <c r="J1282" t="n">
        <v>0.3612</v>
      </c>
      <c r="K1282" t="n">
        <v>0</v>
      </c>
      <c r="L1282" t="n">
        <v>0.8</v>
      </c>
      <c r="M1282" t="n">
        <v>0.2</v>
      </c>
    </row>
    <row r="1283" spans="1:13">
      <c r="A1283" s="1">
        <f>HYPERLINK("http://www.twitter.com/NathanBLawrence/status/988992864918138882", "988992864918138882")</f>
        <v/>
      </c>
      <c r="B1283" s="2" t="n">
        <v>43215.17185185185</v>
      </c>
      <c r="C1283" t="n">
        <v>0</v>
      </c>
      <c r="D1283" t="n">
        <v>161</v>
      </c>
      <c r="E1283" t="s">
        <v>1294</v>
      </c>
      <c r="F1283" t="s"/>
      <c r="G1283" t="s"/>
      <c r="H1283" t="s"/>
      <c r="I1283" t="s"/>
      <c r="J1283" t="n">
        <v>-0.296</v>
      </c>
      <c r="K1283" t="n">
        <v>0.233</v>
      </c>
      <c r="L1283" t="n">
        <v>0.625</v>
      </c>
      <c r="M1283" t="n">
        <v>0.142</v>
      </c>
    </row>
    <row r="1284" spans="1:13">
      <c r="A1284" s="1">
        <f>HYPERLINK("http://www.twitter.com/NathanBLawrence/status/988992526131646465", "988992526131646465")</f>
        <v/>
      </c>
      <c r="B1284" s="2" t="n">
        <v>43215.17091435185</v>
      </c>
      <c r="C1284" t="n">
        <v>0</v>
      </c>
      <c r="D1284" t="n">
        <v>3542</v>
      </c>
      <c r="E1284" t="s">
        <v>1295</v>
      </c>
      <c r="F1284">
        <f>HYPERLINK("https://video.twimg.com/amplify_video/988923843015204864/vid/1280x720/FIBdNzvFOsAOeOMc.mp4?tag=2", "https://video.twimg.com/amplify_video/988923843015204864/vid/1280x720/FIBdNzvFOsAOeOMc.mp4?tag=2")</f>
        <v/>
      </c>
      <c r="G1284" t="s"/>
      <c r="H1284" t="s"/>
      <c r="I1284" t="s"/>
      <c r="J1284" t="n">
        <v>0</v>
      </c>
      <c r="K1284" t="n">
        <v>0</v>
      </c>
      <c r="L1284" t="n">
        <v>1</v>
      </c>
      <c r="M1284" t="n">
        <v>0</v>
      </c>
    </row>
    <row r="1285" spans="1:13">
      <c r="A1285" s="1">
        <f>HYPERLINK("http://www.twitter.com/NathanBLawrence/status/988992342358183936", "988992342358183936")</f>
        <v/>
      </c>
      <c r="B1285" s="2" t="n">
        <v>43215.17040509259</v>
      </c>
      <c r="C1285" t="n">
        <v>1</v>
      </c>
      <c r="D1285" t="n">
        <v>0</v>
      </c>
      <c r="E1285" t="s">
        <v>1296</v>
      </c>
      <c r="F1285" t="s"/>
      <c r="G1285" t="s"/>
      <c r="H1285" t="s"/>
      <c r="I1285" t="s"/>
      <c r="J1285" t="n">
        <v>0</v>
      </c>
      <c r="K1285" t="n">
        <v>0</v>
      </c>
      <c r="L1285" t="n">
        <v>1</v>
      </c>
      <c r="M1285" t="n">
        <v>0</v>
      </c>
    </row>
    <row r="1286" spans="1:13">
      <c r="A1286" s="1">
        <f>HYPERLINK("http://www.twitter.com/NathanBLawrence/status/988991921459814400", "988991921459814400")</f>
        <v/>
      </c>
      <c r="B1286" s="2" t="n">
        <v>43215.16924768518</v>
      </c>
      <c r="C1286" t="n">
        <v>0</v>
      </c>
      <c r="D1286" t="n">
        <v>111</v>
      </c>
      <c r="E1286" t="s">
        <v>1297</v>
      </c>
      <c r="F1286">
        <f>HYPERLINK("http://pbs.twimg.com/media/Dbj2XyEX0AA_bcC.jpg", "http://pbs.twimg.com/media/Dbj2XyEX0AA_bcC.jpg")</f>
        <v/>
      </c>
      <c r="G1286" t="s"/>
      <c r="H1286" t="s"/>
      <c r="I1286" t="s"/>
      <c r="J1286" t="n">
        <v>0</v>
      </c>
      <c r="K1286" t="n">
        <v>0</v>
      </c>
      <c r="L1286" t="n">
        <v>1</v>
      </c>
      <c r="M1286" t="n">
        <v>0</v>
      </c>
    </row>
    <row r="1287" spans="1:13">
      <c r="A1287" s="1">
        <f>HYPERLINK("http://www.twitter.com/NathanBLawrence/status/988991804480606208", "988991804480606208")</f>
        <v/>
      </c>
      <c r="B1287" s="2" t="n">
        <v>43215.16892361111</v>
      </c>
      <c r="C1287" t="n">
        <v>0</v>
      </c>
      <c r="D1287" t="n">
        <v>457</v>
      </c>
      <c r="E1287" t="s">
        <v>1298</v>
      </c>
      <c r="F1287" t="s"/>
      <c r="G1287" t="s"/>
      <c r="H1287" t="s"/>
      <c r="I1287" t="s"/>
      <c r="J1287" t="n">
        <v>0.7579</v>
      </c>
      <c r="K1287" t="n">
        <v>0</v>
      </c>
      <c r="L1287" t="n">
        <v>0.745</v>
      </c>
      <c r="M1287" t="n">
        <v>0.255</v>
      </c>
    </row>
    <row r="1288" spans="1:13">
      <c r="A1288" s="1">
        <f>HYPERLINK("http://www.twitter.com/NathanBLawrence/status/988991686390046720", "988991686390046720")</f>
        <v/>
      </c>
      <c r="B1288" s="2" t="n">
        <v>43215.16859953704</v>
      </c>
      <c r="C1288" t="n">
        <v>0</v>
      </c>
      <c r="D1288" t="n">
        <v>917</v>
      </c>
      <c r="E1288" t="s">
        <v>1299</v>
      </c>
      <c r="F1288" t="s"/>
      <c r="G1288" t="s"/>
      <c r="H1288" t="s"/>
      <c r="I1288" t="s"/>
      <c r="J1288" t="n">
        <v>-0.34</v>
      </c>
      <c r="K1288" t="n">
        <v>0.103</v>
      </c>
      <c r="L1288" t="n">
        <v>0.897</v>
      </c>
      <c r="M1288" t="n">
        <v>0</v>
      </c>
    </row>
    <row r="1289" spans="1:13">
      <c r="A1289" s="1">
        <f>HYPERLINK("http://www.twitter.com/NathanBLawrence/status/988991298769178624", "988991298769178624")</f>
        <v/>
      </c>
      <c r="B1289" s="2" t="n">
        <v>43215.16752314815</v>
      </c>
      <c r="C1289" t="n">
        <v>0</v>
      </c>
      <c r="D1289" t="n">
        <v>48</v>
      </c>
      <c r="E1289" t="s">
        <v>1300</v>
      </c>
      <c r="F1289">
        <f>HYPERLINK("https://video.twimg.com/amplify_video/988759839634608134/vid/1280x720/8q8_gUlbEjhexciT.mp4?tag=2", "https://video.twimg.com/amplify_video/988759839634608134/vid/1280x720/8q8_gUlbEjhexciT.mp4?tag=2")</f>
        <v/>
      </c>
      <c r="G1289" t="s"/>
      <c r="H1289" t="s"/>
      <c r="I1289" t="s"/>
      <c r="J1289" t="n">
        <v>0.3818</v>
      </c>
      <c r="K1289" t="n">
        <v>0</v>
      </c>
      <c r="L1289" t="n">
        <v>0.854</v>
      </c>
      <c r="M1289" t="n">
        <v>0.146</v>
      </c>
    </row>
    <row r="1290" spans="1:13">
      <c r="A1290" s="1">
        <f>HYPERLINK("http://www.twitter.com/NathanBLawrence/status/988990560852725760", "988990560852725760")</f>
        <v/>
      </c>
      <c r="B1290" s="2" t="n">
        <v>43215.16548611111</v>
      </c>
      <c r="C1290" t="n">
        <v>0</v>
      </c>
      <c r="D1290" t="n">
        <v>300</v>
      </c>
      <c r="E1290" t="s">
        <v>1301</v>
      </c>
      <c r="F1290" t="s"/>
      <c r="G1290" t="s"/>
      <c r="H1290" t="s"/>
      <c r="I1290" t="s"/>
      <c r="J1290" t="n">
        <v>0</v>
      </c>
      <c r="K1290" t="n">
        <v>0</v>
      </c>
      <c r="L1290" t="n">
        <v>1</v>
      </c>
      <c r="M1290" t="n">
        <v>0</v>
      </c>
    </row>
    <row r="1291" spans="1:13">
      <c r="A1291" s="1">
        <f>HYPERLINK("http://www.twitter.com/NathanBLawrence/status/988989912123957253", "988989912123957253")</f>
        <v/>
      </c>
      <c r="B1291" s="2" t="n">
        <v>43215.16370370371</v>
      </c>
      <c r="C1291" t="n">
        <v>0</v>
      </c>
      <c r="D1291" t="n">
        <v>2</v>
      </c>
      <c r="E1291" t="s">
        <v>1302</v>
      </c>
      <c r="F1291" t="s"/>
      <c r="G1291" t="s"/>
      <c r="H1291" t="s"/>
      <c r="I1291" t="s"/>
      <c r="J1291" t="n">
        <v>0</v>
      </c>
      <c r="K1291" t="n">
        <v>0</v>
      </c>
      <c r="L1291" t="n">
        <v>1</v>
      </c>
      <c r="M1291" t="n">
        <v>0</v>
      </c>
    </row>
    <row r="1292" spans="1:13">
      <c r="A1292" s="1">
        <f>HYPERLINK("http://www.twitter.com/NathanBLawrence/status/988989615787954178", "988989615787954178")</f>
        <v/>
      </c>
      <c r="B1292" s="2" t="n">
        <v>43215.16288194444</v>
      </c>
      <c r="C1292" t="n">
        <v>0</v>
      </c>
      <c r="D1292" t="n">
        <v>169</v>
      </c>
      <c r="E1292" t="s">
        <v>1303</v>
      </c>
      <c r="F1292">
        <f>HYPERLINK("http://pbs.twimg.com/media/DbmPbyNUQAEHKqx.jpg", "http://pbs.twimg.com/media/DbmPbyNUQAEHKqx.jpg")</f>
        <v/>
      </c>
      <c r="G1292" t="s"/>
      <c r="H1292" t="s"/>
      <c r="I1292" t="s"/>
      <c r="J1292" t="n">
        <v>0.6899999999999999</v>
      </c>
      <c r="K1292" t="n">
        <v>0</v>
      </c>
      <c r="L1292" t="n">
        <v>0.76</v>
      </c>
      <c r="M1292" t="n">
        <v>0.24</v>
      </c>
    </row>
    <row r="1293" spans="1:13">
      <c r="A1293" s="1">
        <f>HYPERLINK("http://www.twitter.com/NathanBLawrence/status/988989409012994049", "988989409012994049")</f>
        <v/>
      </c>
      <c r="B1293" s="2" t="n">
        <v>43215.16231481481</v>
      </c>
      <c r="C1293" t="n">
        <v>0</v>
      </c>
      <c r="D1293" t="n">
        <v>178</v>
      </c>
      <c r="E1293" t="s">
        <v>1304</v>
      </c>
      <c r="F1293">
        <f>HYPERLINK("http://pbs.twimg.com/media/Dbl5uupVQAAOGBk.jpg", "http://pbs.twimg.com/media/Dbl5uupVQAAOGBk.jpg")</f>
        <v/>
      </c>
      <c r="G1293" t="s"/>
      <c r="H1293" t="s"/>
      <c r="I1293" t="s"/>
      <c r="J1293" t="n">
        <v>0</v>
      </c>
      <c r="K1293" t="n">
        <v>0</v>
      </c>
      <c r="L1293" t="n">
        <v>1</v>
      </c>
      <c r="M1293" t="n">
        <v>0</v>
      </c>
    </row>
    <row r="1294" spans="1:13">
      <c r="A1294" s="1">
        <f>HYPERLINK("http://www.twitter.com/NathanBLawrence/status/988988741204238337", "988988741204238337")</f>
        <v/>
      </c>
      <c r="B1294" s="2" t="n">
        <v>43215.16047453704</v>
      </c>
      <c r="C1294" t="n">
        <v>0</v>
      </c>
      <c r="D1294" t="n">
        <v>2107</v>
      </c>
      <c r="E1294" t="s">
        <v>1305</v>
      </c>
      <c r="F1294">
        <f>HYPERLINK("http://pbs.twimg.com/media/DbmUtxRVAAAdbWZ.jpg", "http://pbs.twimg.com/media/DbmUtxRVAAAdbWZ.jpg")</f>
        <v/>
      </c>
      <c r="G1294" t="s"/>
      <c r="H1294" t="s"/>
      <c r="I1294" t="s"/>
      <c r="J1294" t="n">
        <v>0.8653</v>
      </c>
      <c r="K1294" t="n">
        <v>0</v>
      </c>
      <c r="L1294" t="n">
        <v>0.6860000000000001</v>
      </c>
      <c r="M1294" t="n">
        <v>0.314</v>
      </c>
    </row>
    <row r="1295" spans="1:13">
      <c r="A1295" s="1">
        <f>HYPERLINK("http://www.twitter.com/NathanBLawrence/status/988987062303981569", "988987062303981569")</f>
        <v/>
      </c>
      <c r="B1295" s="2" t="n">
        <v>43215.15583333333</v>
      </c>
      <c r="C1295" t="n">
        <v>0</v>
      </c>
      <c r="D1295" t="n">
        <v>235</v>
      </c>
      <c r="E1295" t="s">
        <v>1306</v>
      </c>
      <c r="F1295" t="s"/>
      <c r="G1295" t="s"/>
      <c r="H1295" t="s"/>
      <c r="I1295" t="s"/>
      <c r="J1295" t="n">
        <v>0</v>
      </c>
      <c r="K1295" t="n">
        <v>0</v>
      </c>
      <c r="L1295" t="n">
        <v>1</v>
      </c>
      <c r="M1295" t="n">
        <v>0</v>
      </c>
    </row>
    <row r="1296" spans="1:13">
      <c r="A1296" s="1">
        <f>HYPERLINK("http://www.twitter.com/NathanBLawrence/status/988986953495465984", "988986953495465984")</f>
        <v/>
      </c>
      <c r="B1296" s="2" t="n">
        <v>43215.15553240741</v>
      </c>
      <c r="C1296" t="n">
        <v>0</v>
      </c>
      <c r="D1296" t="n">
        <v>471</v>
      </c>
      <c r="E1296" t="s">
        <v>1307</v>
      </c>
      <c r="F1296">
        <f>HYPERLINK("http://pbs.twimg.com/media/DbkCrMyX4AA_0-g.jpg", "http://pbs.twimg.com/media/DbkCrMyX4AA_0-g.jpg")</f>
        <v/>
      </c>
      <c r="G1296" t="s"/>
      <c r="H1296" t="s"/>
      <c r="I1296" t="s"/>
      <c r="J1296" t="n">
        <v>0.7783</v>
      </c>
      <c r="K1296" t="n">
        <v>0</v>
      </c>
      <c r="L1296" t="n">
        <v>0.469</v>
      </c>
      <c r="M1296" t="n">
        <v>0.531</v>
      </c>
    </row>
    <row r="1297" spans="1:13">
      <c r="A1297" s="1">
        <f>HYPERLINK("http://www.twitter.com/NathanBLawrence/status/988986741905350656", "988986741905350656")</f>
        <v/>
      </c>
      <c r="B1297" s="2" t="n">
        <v>43215.15495370371</v>
      </c>
      <c r="C1297" t="n">
        <v>0</v>
      </c>
      <c r="D1297" t="n">
        <v>2</v>
      </c>
      <c r="E1297" t="s">
        <v>1308</v>
      </c>
      <c r="F1297" t="s"/>
      <c r="G1297" t="s"/>
      <c r="H1297" t="s"/>
      <c r="I1297" t="s"/>
      <c r="J1297" t="n">
        <v>0</v>
      </c>
      <c r="K1297" t="n">
        <v>0</v>
      </c>
      <c r="L1297" t="n">
        <v>1</v>
      </c>
      <c r="M1297" t="n">
        <v>0</v>
      </c>
    </row>
    <row r="1298" spans="1:13">
      <c r="A1298" s="1">
        <f>HYPERLINK("http://www.twitter.com/NathanBLawrence/status/988986679842271232", "988986679842271232")</f>
        <v/>
      </c>
      <c r="B1298" s="2" t="n">
        <v>43215.15478009259</v>
      </c>
      <c r="C1298" t="n">
        <v>0</v>
      </c>
      <c r="D1298" t="n">
        <v>886</v>
      </c>
      <c r="E1298" t="s">
        <v>1309</v>
      </c>
      <c r="F1298">
        <f>HYPERLINK("http://pbs.twimg.com/media/DbiqSw6VAAEyTzZ.jpg", "http://pbs.twimg.com/media/DbiqSw6VAAEyTzZ.jpg")</f>
        <v/>
      </c>
      <c r="G1298" t="s"/>
      <c r="H1298" t="s"/>
      <c r="I1298" t="s"/>
      <c r="J1298" t="n">
        <v>-0.3365</v>
      </c>
      <c r="K1298" t="n">
        <v>0.115</v>
      </c>
      <c r="L1298" t="n">
        <v>0.834</v>
      </c>
      <c r="M1298" t="n">
        <v>0.051</v>
      </c>
    </row>
    <row r="1299" spans="1:13">
      <c r="A1299" s="1">
        <f>HYPERLINK("http://www.twitter.com/NathanBLawrence/status/988986087455502336", "988986087455502336")</f>
        <v/>
      </c>
      <c r="B1299" s="2" t="n">
        <v>43215.15314814815</v>
      </c>
      <c r="C1299" t="n">
        <v>0</v>
      </c>
      <c r="D1299" t="n">
        <v>33</v>
      </c>
      <c r="E1299" t="s">
        <v>1310</v>
      </c>
      <c r="F1299">
        <f>HYPERLINK("http://pbs.twimg.com/media/Dbl9B2RU0AAX5kL.jpg", "http://pbs.twimg.com/media/Dbl9B2RU0AAX5kL.jpg")</f>
        <v/>
      </c>
      <c r="G1299" t="s"/>
      <c r="H1299" t="s"/>
      <c r="I1299" t="s"/>
      <c r="J1299" t="n">
        <v>0.1779</v>
      </c>
      <c r="K1299" t="n">
        <v>0.08400000000000001</v>
      </c>
      <c r="L1299" t="n">
        <v>0.8070000000000001</v>
      </c>
      <c r="M1299" t="n">
        <v>0.109</v>
      </c>
    </row>
    <row r="1300" spans="1:13">
      <c r="A1300" s="1">
        <f>HYPERLINK("http://www.twitter.com/NathanBLawrence/status/988984649358675968", "988984649358675968")</f>
        <v/>
      </c>
      <c r="B1300" s="2" t="n">
        <v>43215.14917824074</v>
      </c>
      <c r="C1300" t="n">
        <v>0</v>
      </c>
      <c r="D1300" t="n">
        <v>553</v>
      </c>
      <c r="E1300" t="s">
        <v>1311</v>
      </c>
      <c r="F1300">
        <f>HYPERLINK("http://pbs.twimg.com/media/DblFSY1VMAA6tnA.jpg", "http://pbs.twimg.com/media/DblFSY1VMAA6tnA.jpg")</f>
        <v/>
      </c>
      <c r="G1300" t="s"/>
      <c r="H1300" t="s"/>
      <c r="I1300" t="s"/>
      <c r="J1300" t="n">
        <v>0</v>
      </c>
      <c r="K1300" t="n">
        <v>0</v>
      </c>
      <c r="L1300" t="n">
        <v>1</v>
      </c>
      <c r="M1300" t="n">
        <v>0</v>
      </c>
    </row>
    <row r="1301" spans="1:13">
      <c r="A1301" s="1">
        <f>HYPERLINK("http://www.twitter.com/NathanBLawrence/status/988983311665172480", "988983311665172480")</f>
        <v/>
      </c>
      <c r="B1301" s="2" t="n">
        <v>43215.14548611111</v>
      </c>
      <c r="C1301" t="n">
        <v>0</v>
      </c>
      <c r="D1301" t="n">
        <v>179</v>
      </c>
      <c r="E1301" t="s">
        <v>1312</v>
      </c>
      <c r="F1301" t="s"/>
      <c r="G1301" t="s"/>
      <c r="H1301" t="s"/>
      <c r="I1301" t="s"/>
      <c r="J1301" t="n">
        <v>0</v>
      </c>
      <c r="K1301" t="n">
        <v>0</v>
      </c>
      <c r="L1301" t="n">
        <v>1</v>
      </c>
      <c r="M1301" t="n">
        <v>0</v>
      </c>
    </row>
    <row r="1302" spans="1:13">
      <c r="A1302" s="1">
        <f>HYPERLINK("http://www.twitter.com/NathanBLawrence/status/988983068621930496", "988983068621930496")</f>
        <v/>
      </c>
      <c r="B1302" s="2" t="n">
        <v>43215.14481481481</v>
      </c>
      <c r="C1302" t="n">
        <v>0</v>
      </c>
      <c r="D1302" t="n">
        <v>154</v>
      </c>
      <c r="E1302" t="s">
        <v>1313</v>
      </c>
      <c r="F1302">
        <f>HYPERLINK("http://pbs.twimg.com/media/DbjTKivX4AAVqMc.jpg", "http://pbs.twimg.com/media/DbjTKivX4AAVqMc.jpg")</f>
        <v/>
      </c>
      <c r="G1302" t="s"/>
      <c r="H1302" t="s"/>
      <c r="I1302" t="s"/>
      <c r="J1302" t="n">
        <v>0</v>
      </c>
      <c r="K1302" t="n">
        <v>0</v>
      </c>
      <c r="L1302" t="n">
        <v>1</v>
      </c>
      <c r="M1302" t="n">
        <v>0</v>
      </c>
    </row>
    <row r="1303" spans="1:13">
      <c r="A1303" s="1">
        <f>HYPERLINK("http://www.twitter.com/NathanBLawrence/status/988982294236094465", "988982294236094465")</f>
        <v/>
      </c>
      <c r="B1303" s="2" t="n">
        <v>43215.14268518519</v>
      </c>
      <c r="C1303" t="n">
        <v>0</v>
      </c>
      <c r="D1303" t="n">
        <v>200</v>
      </c>
      <c r="E1303" t="s">
        <v>1314</v>
      </c>
      <c r="F1303" t="s"/>
      <c r="G1303" t="s"/>
      <c r="H1303" t="s"/>
      <c r="I1303" t="s"/>
      <c r="J1303" t="n">
        <v>0.5859</v>
      </c>
      <c r="K1303" t="n">
        <v>0.108</v>
      </c>
      <c r="L1303" t="n">
        <v>0.625</v>
      </c>
      <c r="M1303" t="n">
        <v>0.267</v>
      </c>
    </row>
    <row r="1304" spans="1:13">
      <c r="A1304" s="1">
        <f>HYPERLINK("http://www.twitter.com/NathanBLawrence/status/988981950055673856", "988981950055673856")</f>
        <v/>
      </c>
      <c r="B1304" s="2" t="n">
        <v>43215.14172453704</v>
      </c>
      <c r="C1304" t="n">
        <v>0</v>
      </c>
      <c r="D1304" t="n">
        <v>588</v>
      </c>
      <c r="E1304" t="s">
        <v>1315</v>
      </c>
      <c r="F1304">
        <f>HYPERLINK("https://video.twimg.com/amplify_video/988957814730231809/vid/1280x720/gNmr2VLKQxrj1S3d.mp4?tag=2", "https://video.twimg.com/amplify_video/988957814730231809/vid/1280x720/gNmr2VLKQxrj1S3d.mp4?tag=2")</f>
        <v/>
      </c>
      <c r="G1304" t="s"/>
      <c r="H1304" t="s"/>
      <c r="I1304" t="s"/>
      <c r="J1304" t="n">
        <v>0.8622</v>
      </c>
      <c r="K1304" t="n">
        <v>0</v>
      </c>
      <c r="L1304" t="n">
        <v>0.699</v>
      </c>
      <c r="M1304" t="n">
        <v>0.301</v>
      </c>
    </row>
    <row r="1305" spans="1:13">
      <c r="A1305" s="1">
        <f>HYPERLINK("http://www.twitter.com/NathanBLawrence/status/988981781956349954", "988981781956349954")</f>
        <v/>
      </c>
      <c r="B1305" s="2" t="n">
        <v>43215.14126157408</v>
      </c>
      <c r="C1305" t="n">
        <v>0</v>
      </c>
      <c r="D1305" t="n">
        <v>100</v>
      </c>
      <c r="E1305" t="s">
        <v>1316</v>
      </c>
      <c r="F1305" t="s"/>
      <c r="G1305" t="s"/>
      <c r="H1305" t="s"/>
      <c r="I1305" t="s"/>
      <c r="J1305" t="n">
        <v>0.4019</v>
      </c>
      <c r="K1305" t="n">
        <v>0</v>
      </c>
      <c r="L1305" t="n">
        <v>0.828</v>
      </c>
      <c r="M1305" t="n">
        <v>0.172</v>
      </c>
    </row>
    <row r="1306" spans="1:13">
      <c r="A1306" s="1">
        <f>HYPERLINK("http://www.twitter.com/NathanBLawrence/status/988981544667795456", "988981544667795456")</f>
        <v/>
      </c>
      <c r="B1306" s="2" t="n">
        <v>43215.14061342592</v>
      </c>
      <c r="C1306" t="n">
        <v>0</v>
      </c>
      <c r="D1306" t="n">
        <v>433</v>
      </c>
      <c r="E1306" t="s">
        <v>1317</v>
      </c>
      <c r="F1306">
        <f>HYPERLINK("http://pbs.twimg.com/media/DbmPNbxWAAA0-s4.jpg", "http://pbs.twimg.com/media/DbmPNbxWAAA0-s4.jpg")</f>
        <v/>
      </c>
      <c r="G1306" t="s"/>
      <c r="H1306" t="s"/>
      <c r="I1306" t="s"/>
      <c r="J1306" t="n">
        <v>0.7712</v>
      </c>
      <c r="K1306" t="n">
        <v>0</v>
      </c>
      <c r="L1306" t="n">
        <v>0.642</v>
      </c>
      <c r="M1306" t="n">
        <v>0.358</v>
      </c>
    </row>
    <row r="1307" spans="1:13">
      <c r="A1307" s="1">
        <f>HYPERLINK("http://www.twitter.com/NathanBLawrence/status/988981497205018626", "988981497205018626")</f>
        <v/>
      </c>
      <c r="B1307" s="2" t="n">
        <v>43215.14047453704</v>
      </c>
      <c r="C1307" t="n">
        <v>0</v>
      </c>
      <c r="D1307" t="n">
        <v>6821</v>
      </c>
      <c r="E1307" t="s">
        <v>1318</v>
      </c>
      <c r="F1307" t="s"/>
      <c r="G1307" t="s"/>
      <c r="H1307" t="s"/>
      <c r="I1307" t="s"/>
      <c r="J1307" t="n">
        <v>0</v>
      </c>
      <c r="K1307" t="n">
        <v>0</v>
      </c>
      <c r="L1307" t="n">
        <v>1</v>
      </c>
      <c r="M1307" t="n">
        <v>0</v>
      </c>
    </row>
    <row r="1308" spans="1:13">
      <c r="A1308" s="1">
        <f>HYPERLINK("http://www.twitter.com/NathanBLawrence/status/988980611850342401", "988980611850342401")</f>
        <v/>
      </c>
      <c r="B1308" s="2" t="n">
        <v>43215.13803240741</v>
      </c>
      <c r="C1308" t="n">
        <v>0</v>
      </c>
      <c r="D1308" t="n">
        <v>99</v>
      </c>
      <c r="E1308" t="s">
        <v>1319</v>
      </c>
      <c r="F1308">
        <f>HYPERLINK("http://pbs.twimg.com/media/DbkTL2aW4AEkOyG.jpg", "http://pbs.twimg.com/media/DbkTL2aW4AEkOyG.jpg")</f>
        <v/>
      </c>
      <c r="G1308">
        <f>HYPERLINK("http://pbs.twimg.com/media/DbkTVCkWsAEMHDd.jpg", "http://pbs.twimg.com/media/DbkTVCkWsAEMHDd.jpg")</f>
        <v/>
      </c>
      <c r="H1308" t="s"/>
      <c r="I1308" t="s"/>
      <c r="J1308" t="n">
        <v>0.7845</v>
      </c>
      <c r="K1308" t="n">
        <v>0.073</v>
      </c>
      <c r="L1308" t="n">
        <v>0.635</v>
      </c>
      <c r="M1308" t="n">
        <v>0.292</v>
      </c>
    </row>
    <row r="1309" spans="1:13">
      <c r="A1309" s="1">
        <f>HYPERLINK("http://www.twitter.com/NathanBLawrence/status/988980156734803968", "988980156734803968")</f>
        <v/>
      </c>
      <c r="B1309" s="2" t="n">
        <v>43215.1367824074</v>
      </c>
      <c r="C1309" t="n">
        <v>0</v>
      </c>
      <c r="D1309" t="n">
        <v>5737</v>
      </c>
      <c r="E1309" t="s">
        <v>1320</v>
      </c>
      <c r="F1309" t="s"/>
      <c r="G1309" t="s"/>
      <c r="H1309" t="s"/>
      <c r="I1309" t="s"/>
      <c r="J1309" t="n">
        <v>0</v>
      </c>
      <c r="K1309" t="n">
        <v>0</v>
      </c>
      <c r="L1309" t="n">
        <v>1</v>
      </c>
      <c r="M1309" t="n">
        <v>0</v>
      </c>
    </row>
    <row r="1310" spans="1:13">
      <c r="A1310" s="1">
        <f>HYPERLINK("http://www.twitter.com/NathanBLawrence/status/988979531989028865", "988979531989028865")</f>
        <v/>
      </c>
      <c r="B1310" s="2" t="n">
        <v>43215.13505787037</v>
      </c>
      <c r="C1310" t="n">
        <v>0</v>
      </c>
      <c r="D1310" t="n">
        <v>172</v>
      </c>
      <c r="E1310" t="s">
        <v>1321</v>
      </c>
      <c r="F1310">
        <f>HYPERLINK("http://pbs.twimg.com/media/DblafoSU8AAX-0h.jpg", "http://pbs.twimg.com/media/DblafoSU8AAX-0h.jpg")</f>
        <v/>
      </c>
      <c r="G1310" t="s"/>
      <c r="H1310" t="s"/>
      <c r="I1310" t="s"/>
      <c r="J1310" t="n">
        <v>0.4588</v>
      </c>
      <c r="K1310" t="n">
        <v>0</v>
      </c>
      <c r="L1310" t="n">
        <v>0.8120000000000001</v>
      </c>
      <c r="M1310" t="n">
        <v>0.188</v>
      </c>
    </row>
    <row r="1311" spans="1:13">
      <c r="A1311" s="1">
        <f>HYPERLINK("http://www.twitter.com/NathanBLawrence/status/988979464259416064", "988979464259416064")</f>
        <v/>
      </c>
      <c r="B1311" s="2" t="n">
        <v>43215.13487268519</v>
      </c>
      <c r="C1311" t="n">
        <v>0</v>
      </c>
      <c r="D1311" t="n">
        <v>449</v>
      </c>
      <c r="E1311" t="s">
        <v>1322</v>
      </c>
      <c r="F1311">
        <f>HYPERLINK("https://video.twimg.com/ext_tw_video/988921763789553666/pu/vid/1280x720/39RNht_uwlmkszOm.mp4?tag=3", "https://video.twimg.com/ext_tw_video/988921763789553666/pu/vid/1280x720/39RNht_uwlmkszOm.mp4?tag=3")</f>
        <v/>
      </c>
      <c r="G1311" t="s"/>
      <c r="H1311" t="s"/>
      <c r="I1311" t="s"/>
      <c r="J1311" t="n">
        <v>0.6689000000000001</v>
      </c>
      <c r="K1311" t="n">
        <v>0</v>
      </c>
      <c r="L1311" t="n">
        <v>0.743</v>
      </c>
      <c r="M1311" t="n">
        <v>0.257</v>
      </c>
    </row>
    <row r="1312" spans="1:13">
      <c r="A1312" s="1">
        <f>HYPERLINK("http://www.twitter.com/NathanBLawrence/status/988979400992583681", "988979400992583681")</f>
        <v/>
      </c>
      <c r="B1312" s="2" t="n">
        <v>43215.13469907407</v>
      </c>
      <c r="C1312" t="n">
        <v>0</v>
      </c>
      <c r="D1312" t="n">
        <v>514</v>
      </c>
      <c r="E1312" t="s">
        <v>1323</v>
      </c>
      <c r="F1312">
        <f>HYPERLINK("https://video.twimg.com/amplify_video/988762077262241795/vid/1280x720/0IOy_h5a-1i1txif.mp4?tag=2", "https://video.twimg.com/amplify_video/988762077262241795/vid/1280x720/0IOy_h5a-1i1txif.mp4?tag=2")</f>
        <v/>
      </c>
      <c r="G1312" t="s"/>
      <c r="H1312" t="s"/>
      <c r="I1312" t="s"/>
      <c r="J1312" t="n">
        <v>0.2263</v>
      </c>
      <c r="K1312" t="n">
        <v>0</v>
      </c>
      <c r="L1312" t="n">
        <v>0.927</v>
      </c>
      <c r="M1312" t="n">
        <v>0.073</v>
      </c>
    </row>
    <row r="1313" spans="1:13">
      <c r="A1313" s="1">
        <f>HYPERLINK("http://www.twitter.com/NathanBLawrence/status/988886765632180225", "988886765632180225")</f>
        <v/>
      </c>
      <c r="B1313" s="2" t="n">
        <v>43214.87907407407</v>
      </c>
      <c r="C1313" t="n">
        <v>0</v>
      </c>
      <c r="D1313" t="n">
        <v>268</v>
      </c>
      <c r="E1313" t="s">
        <v>1324</v>
      </c>
      <c r="F1313" t="s"/>
      <c r="G1313" t="s"/>
      <c r="H1313" t="s"/>
      <c r="I1313" t="s"/>
      <c r="J1313" t="n">
        <v>-0.1779</v>
      </c>
      <c r="K1313" t="n">
        <v>0.075</v>
      </c>
      <c r="L1313" t="n">
        <v>0.925</v>
      </c>
      <c r="M1313" t="n">
        <v>0</v>
      </c>
    </row>
    <row r="1314" spans="1:13">
      <c r="A1314" s="1">
        <f>HYPERLINK("http://www.twitter.com/NathanBLawrence/status/988886582668165123", "988886582668165123")</f>
        <v/>
      </c>
      <c r="B1314" s="2" t="n">
        <v>43214.87856481481</v>
      </c>
      <c r="C1314" t="n">
        <v>0</v>
      </c>
      <c r="D1314" t="n">
        <v>4</v>
      </c>
      <c r="E1314" t="s">
        <v>1325</v>
      </c>
      <c r="F1314" t="s"/>
      <c r="G1314" t="s"/>
      <c r="H1314" t="s"/>
      <c r="I1314" t="s"/>
      <c r="J1314" t="n">
        <v>-0.25</v>
      </c>
      <c r="K1314" t="n">
        <v>0.146</v>
      </c>
      <c r="L1314" t="n">
        <v>0.758</v>
      </c>
      <c r="M1314" t="n">
        <v>0.096</v>
      </c>
    </row>
    <row r="1315" spans="1:13">
      <c r="A1315" s="1">
        <f>HYPERLINK("http://www.twitter.com/NathanBLawrence/status/988886252081565696", "988886252081565696")</f>
        <v/>
      </c>
      <c r="B1315" s="2" t="n">
        <v>43214.87765046296</v>
      </c>
      <c r="C1315" t="n">
        <v>0</v>
      </c>
      <c r="D1315" t="n">
        <v>898</v>
      </c>
      <c r="E1315" t="s">
        <v>1326</v>
      </c>
      <c r="F1315" t="s"/>
      <c r="G1315" t="s"/>
      <c r="H1315" t="s"/>
      <c r="I1315" t="s"/>
      <c r="J1315" t="n">
        <v>0.7906</v>
      </c>
      <c r="K1315" t="n">
        <v>0</v>
      </c>
      <c r="L1315" t="n">
        <v>0.7</v>
      </c>
      <c r="M1315" t="n">
        <v>0.3</v>
      </c>
    </row>
    <row r="1316" spans="1:13">
      <c r="A1316" s="1">
        <f>HYPERLINK("http://www.twitter.com/NathanBLawrence/status/988885871184236544", "988885871184236544")</f>
        <v/>
      </c>
      <c r="B1316" s="2" t="n">
        <v>43214.87659722222</v>
      </c>
      <c r="C1316" t="n">
        <v>0</v>
      </c>
      <c r="D1316" t="n">
        <v>147</v>
      </c>
      <c r="E1316" t="s">
        <v>1327</v>
      </c>
      <c r="F1316">
        <f>HYPERLINK("http://pbs.twimg.com/media/Dbk42ldVMAARB_v.jpg", "http://pbs.twimg.com/media/Dbk42ldVMAARB_v.jpg")</f>
        <v/>
      </c>
      <c r="G1316" t="s"/>
      <c r="H1316" t="s"/>
      <c r="I1316" t="s"/>
      <c r="J1316" t="n">
        <v>0</v>
      </c>
      <c r="K1316" t="n">
        <v>0</v>
      </c>
      <c r="L1316" t="n">
        <v>1</v>
      </c>
      <c r="M1316" t="n">
        <v>0</v>
      </c>
    </row>
    <row r="1317" spans="1:13">
      <c r="A1317" s="1">
        <f>HYPERLINK("http://www.twitter.com/NathanBLawrence/status/988885672550436864", "988885672550436864")</f>
        <v/>
      </c>
      <c r="B1317" s="2" t="n">
        <v>43214.87605324074</v>
      </c>
      <c r="C1317" t="n">
        <v>0</v>
      </c>
      <c r="D1317" t="n">
        <v>602</v>
      </c>
      <c r="E1317" t="s">
        <v>1328</v>
      </c>
      <c r="F1317" t="s"/>
      <c r="G1317" t="s"/>
      <c r="H1317" t="s"/>
      <c r="I1317" t="s"/>
      <c r="J1317" t="n">
        <v>0</v>
      </c>
      <c r="K1317" t="n">
        <v>0</v>
      </c>
      <c r="L1317" t="n">
        <v>1</v>
      </c>
      <c r="M1317" t="n">
        <v>0</v>
      </c>
    </row>
    <row r="1318" spans="1:13">
      <c r="A1318" s="1">
        <f>HYPERLINK("http://www.twitter.com/NathanBLawrence/status/988885566740721669", "988885566740721669")</f>
        <v/>
      </c>
      <c r="B1318" s="2" t="n">
        <v>43214.87576388889</v>
      </c>
      <c r="C1318" t="n">
        <v>0</v>
      </c>
      <c r="D1318" t="n">
        <v>9</v>
      </c>
      <c r="E1318" t="s">
        <v>1329</v>
      </c>
      <c r="F1318" t="s"/>
      <c r="G1318" t="s"/>
      <c r="H1318" t="s"/>
      <c r="I1318" t="s"/>
      <c r="J1318" t="n">
        <v>0</v>
      </c>
      <c r="K1318" t="n">
        <v>0</v>
      </c>
      <c r="L1318" t="n">
        <v>1</v>
      </c>
      <c r="M1318" t="n">
        <v>0</v>
      </c>
    </row>
    <row r="1319" spans="1:13">
      <c r="A1319" s="1">
        <f>HYPERLINK("http://www.twitter.com/NathanBLawrence/status/988885099486826497", "988885099486826497")</f>
        <v/>
      </c>
      <c r="B1319" s="2" t="n">
        <v>43214.87446759259</v>
      </c>
      <c r="C1319" t="n">
        <v>0</v>
      </c>
      <c r="D1319" t="n">
        <v>594</v>
      </c>
      <c r="E1319" t="s">
        <v>1330</v>
      </c>
      <c r="F1319">
        <f>HYPERLINK("http://pbs.twimg.com/media/DbkAAROX0AAJS2k.jpg", "http://pbs.twimg.com/media/DbkAAROX0AAJS2k.jpg")</f>
        <v/>
      </c>
      <c r="G1319" t="s"/>
      <c r="H1319" t="s"/>
      <c r="I1319" t="s"/>
      <c r="J1319" t="n">
        <v>0</v>
      </c>
      <c r="K1319" t="n">
        <v>0</v>
      </c>
      <c r="L1319" t="n">
        <v>1</v>
      </c>
      <c r="M1319" t="n">
        <v>0</v>
      </c>
    </row>
    <row r="1320" spans="1:13">
      <c r="A1320" s="1">
        <f>HYPERLINK("http://www.twitter.com/NathanBLawrence/status/988884643855380480", "988884643855380480")</f>
        <v/>
      </c>
      <c r="B1320" s="2" t="n">
        <v>43214.87321759259</v>
      </c>
      <c r="C1320" t="n">
        <v>0</v>
      </c>
      <c r="D1320" t="n">
        <v>8</v>
      </c>
      <c r="E1320" t="s">
        <v>1331</v>
      </c>
      <c r="F1320" t="s"/>
      <c r="G1320" t="s"/>
      <c r="H1320" t="s"/>
      <c r="I1320" t="s"/>
      <c r="J1320" t="n">
        <v>0</v>
      </c>
      <c r="K1320" t="n">
        <v>0</v>
      </c>
      <c r="L1320" t="n">
        <v>1</v>
      </c>
      <c r="M1320" t="n">
        <v>0</v>
      </c>
    </row>
    <row r="1321" spans="1:13">
      <c r="A1321" s="1">
        <f>HYPERLINK("http://www.twitter.com/NathanBLawrence/status/988884381883424768", "988884381883424768")</f>
        <v/>
      </c>
      <c r="B1321" s="2" t="n">
        <v>43214.87248842593</v>
      </c>
      <c r="C1321" t="n">
        <v>0</v>
      </c>
      <c r="D1321" t="n">
        <v>830</v>
      </c>
      <c r="E1321" t="s">
        <v>1332</v>
      </c>
      <c r="F1321" t="s"/>
      <c r="G1321" t="s"/>
      <c r="H1321" t="s"/>
      <c r="I1321" t="s"/>
      <c r="J1321" t="n">
        <v>0.5106000000000001</v>
      </c>
      <c r="K1321" t="n">
        <v>0</v>
      </c>
      <c r="L1321" t="n">
        <v>0.845</v>
      </c>
      <c r="M1321" t="n">
        <v>0.155</v>
      </c>
    </row>
    <row r="1322" spans="1:13">
      <c r="A1322" s="1">
        <f>HYPERLINK("http://www.twitter.com/NathanBLawrence/status/988884163414642689", "988884163414642689")</f>
        <v/>
      </c>
      <c r="B1322" s="2" t="n">
        <v>43214.87188657407</v>
      </c>
      <c r="C1322" t="n">
        <v>0</v>
      </c>
      <c r="D1322" t="n">
        <v>4776</v>
      </c>
      <c r="E1322" t="s">
        <v>1333</v>
      </c>
      <c r="F1322">
        <f>HYPERLINK("http://pbs.twimg.com/media/Dbkt6c1W4AE-I2Z.jpg", "http://pbs.twimg.com/media/Dbkt6c1W4AE-I2Z.jpg")</f>
        <v/>
      </c>
      <c r="G1322">
        <f>HYPERLINK("http://pbs.twimg.com/media/Dbkt6dFXUAIbJee.jpg", "http://pbs.twimg.com/media/Dbkt6dFXUAIbJee.jpg")</f>
        <v/>
      </c>
      <c r="H1322" t="s"/>
      <c r="I1322" t="s"/>
      <c r="J1322" t="n">
        <v>0.7506</v>
      </c>
      <c r="K1322" t="n">
        <v>0</v>
      </c>
      <c r="L1322" t="n">
        <v>0.766</v>
      </c>
      <c r="M1322" t="n">
        <v>0.234</v>
      </c>
    </row>
    <row r="1323" spans="1:13">
      <c r="A1323" s="1">
        <f>HYPERLINK("http://www.twitter.com/NathanBLawrence/status/988883893469241345", "988883893469241345")</f>
        <v/>
      </c>
      <c r="B1323" s="2" t="n">
        <v>43214.87114583333</v>
      </c>
      <c r="C1323" t="n">
        <v>0</v>
      </c>
      <c r="D1323" t="n">
        <v>265</v>
      </c>
      <c r="E1323" t="s">
        <v>1334</v>
      </c>
      <c r="F1323" t="s"/>
      <c r="G1323" t="s"/>
      <c r="H1323" t="s"/>
      <c r="I1323" t="s"/>
      <c r="J1323" t="n">
        <v>0.6892</v>
      </c>
      <c r="K1323" t="n">
        <v>0</v>
      </c>
      <c r="L1323" t="n">
        <v>0.824</v>
      </c>
      <c r="M1323" t="n">
        <v>0.176</v>
      </c>
    </row>
    <row r="1324" spans="1:13">
      <c r="A1324" s="1">
        <f>HYPERLINK("http://www.twitter.com/NathanBLawrence/status/988883833742413824", "988883833742413824")</f>
        <v/>
      </c>
      <c r="B1324" s="2" t="n">
        <v>43214.8709837963</v>
      </c>
      <c r="C1324" t="n">
        <v>0</v>
      </c>
      <c r="D1324" t="n">
        <v>1521</v>
      </c>
      <c r="E1324" t="s">
        <v>1335</v>
      </c>
      <c r="F1324">
        <f>HYPERLINK("https://video.twimg.com/ext_tw_video/988798399112720384/pu/vid/1280x720/5vM9KmoTYWyuFiWG.mp4?tag=3", "https://video.twimg.com/ext_tw_video/988798399112720384/pu/vid/1280x720/5vM9KmoTYWyuFiWG.mp4?tag=3")</f>
        <v/>
      </c>
      <c r="G1324" t="s"/>
      <c r="H1324" t="s"/>
      <c r="I1324" t="s"/>
      <c r="J1324" t="n">
        <v>0.0343</v>
      </c>
      <c r="K1324" t="n">
        <v>0.171</v>
      </c>
      <c r="L1324" t="n">
        <v>0.652</v>
      </c>
      <c r="M1324" t="n">
        <v>0.177</v>
      </c>
    </row>
    <row r="1325" spans="1:13">
      <c r="A1325" s="1">
        <f>HYPERLINK("http://www.twitter.com/NathanBLawrence/status/988883712552075268", "988883712552075268")</f>
        <v/>
      </c>
      <c r="B1325" s="2" t="n">
        <v>43214.87064814815</v>
      </c>
      <c r="C1325" t="n">
        <v>0</v>
      </c>
      <c r="D1325" t="n">
        <v>149</v>
      </c>
      <c r="E1325" t="s">
        <v>1336</v>
      </c>
      <c r="F1325" t="s"/>
      <c r="G1325" t="s"/>
      <c r="H1325" t="s"/>
      <c r="I1325" t="s"/>
      <c r="J1325" t="n">
        <v>0</v>
      </c>
      <c r="K1325" t="n">
        <v>0</v>
      </c>
      <c r="L1325" t="n">
        <v>1</v>
      </c>
      <c r="M1325" t="n">
        <v>0</v>
      </c>
    </row>
    <row r="1326" spans="1:13">
      <c r="A1326" s="1">
        <f>HYPERLINK("http://www.twitter.com/NathanBLawrence/status/988883263811932161", "988883263811932161")</f>
        <v/>
      </c>
      <c r="B1326" s="2" t="n">
        <v>43214.86940972223</v>
      </c>
      <c r="C1326" t="n">
        <v>0</v>
      </c>
      <c r="D1326" t="n">
        <v>136</v>
      </c>
      <c r="E1326" t="s">
        <v>1337</v>
      </c>
      <c r="F1326">
        <f>HYPERLINK("http://pbs.twimg.com/media/DbkTHHaU0AAEJf6.jpg", "http://pbs.twimg.com/media/DbkTHHaU0AAEJf6.jpg")</f>
        <v/>
      </c>
      <c r="G1326" t="s"/>
      <c r="H1326" t="s"/>
      <c r="I1326" t="s"/>
      <c r="J1326" t="n">
        <v>0</v>
      </c>
      <c r="K1326" t="n">
        <v>0</v>
      </c>
      <c r="L1326" t="n">
        <v>1</v>
      </c>
      <c r="M1326" t="n">
        <v>0</v>
      </c>
    </row>
    <row r="1327" spans="1:13">
      <c r="A1327" s="1">
        <f>HYPERLINK("http://www.twitter.com/NathanBLawrence/status/988882473756102657", "988882473756102657")</f>
        <v/>
      </c>
      <c r="B1327" s="2" t="n">
        <v>43214.86722222222</v>
      </c>
      <c r="C1327" t="n">
        <v>0</v>
      </c>
      <c r="D1327" t="n">
        <v>182</v>
      </c>
      <c r="E1327" t="s">
        <v>1338</v>
      </c>
      <c r="F1327">
        <f>HYPERLINK("http://pbs.twimg.com/media/DbjI969X0AMeyeB.jpg", "http://pbs.twimg.com/media/DbjI969X0AMeyeB.jpg")</f>
        <v/>
      </c>
      <c r="G1327" t="s"/>
      <c r="H1327" t="s"/>
      <c r="I1327" t="s"/>
      <c r="J1327" t="n">
        <v>0.6369</v>
      </c>
      <c r="K1327" t="n">
        <v>0</v>
      </c>
      <c r="L1327" t="n">
        <v>0.756</v>
      </c>
      <c r="M1327" t="n">
        <v>0.244</v>
      </c>
    </row>
    <row r="1328" spans="1:13">
      <c r="A1328" s="1">
        <f>HYPERLINK("http://www.twitter.com/NathanBLawrence/status/988882398917087234", "988882398917087234")</f>
        <v/>
      </c>
      <c r="B1328" s="2" t="n">
        <v>43214.86702546296</v>
      </c>
      <c r="C1328" t="n">
        <v>0</v>
      </c>
      <c r="D1328" t="n">
        <v>2056</v>
      </c>
      <c r="E1328" t="s">
        <v>1339</v>
      </c>
      <c r="F1328">
        <f>HYPERLINK("http://pbs.twimg.com/media/DbkugULX0AIlnjO.jpg", "http://pbs.twimg.com/media/DbkugULX0AIlnjO.jpg")</f>
        <v/>
      </c>
      <c r="G1328" t="s"/>
      <c r="H1328" t="s"/>
      <c r="I1328" t="s"/>
      <c r="J1328" t="n">
        <v>0.6249</v>
      </c>
      <c r="K1328" t="n">
        <v>0.1</v>
      </c>
      <c r="L1328" t="n">
        <v>0.657</v>
      </c>
      <c r="M1328" t="n">
        <v>0.242</v>
      </c>
    </row>
    <row r="1329" spans="1:13">
      <c r="A1329" s="1">
        <f>HYPERLINK("http://www.twitter.com/NathanBLawrence/status/988881832388198400", "988881832388198400")</f>
        <v/>
      </c>
      <c r="B1329" s="2" t="n">
        <v>43214.86546296296</v>
      </c>
      <c r="C1329" t="n">
        <v>0</v>
      </c>
      <c r="D1329" t="n">
        <v>85</v>
      </c>
      <c r="E1329" t="s">
        <v>1340</v>
      </c>
      <c r="F1329">
        <f>HYPERLINK("https://video.twimg.com/amplify_video/988872084850925568/vid/1280x720/Wl0mcArI9_gZL4M6.mp4?tag=2", "https://video.twimg.com/amplify_video/988872084850925568/vid/1280x720/Wl0mcArI9_gZL4M6.mp4?tag=2")</f>
        <v/>
      </c>
      <c r="G1329" t="s"/>
      <c r="H1329" t="s"/>
      <c r="I1329" t="s"/>
      <c r="J1329" t="n">
        <v>0.6249</v>
      </c>
      <c r="K1329" t="n">
        <v>0</v>
      </c>
      <c r="L1329" t="n">
        <v>0.837</v>
      </c>
      <c r="M1329" t="n">
        <v>0.163</v>
      </c>
    </row>
    <row r="1330" spans="1:13">
      <c r="A1330" s="1">
        <f>HYPERLINK("http://www.twitter.com/NathanBLawrence/status/988880869791354880", "988880869791354880")</f>
        <v/>
      </c>
      <c r="B1330" s="2" t="n">
        <v>43214.86280092593</v>
      </c>
      <c r="C1330" t="n">
        <v>0</v>
      </c>
      <c r="D1330" t="n">
        <v>70</v>
      </c>
      <c r="E1330" t="s">
        <v>1341</v>
      </c>
      <c r="F1330" t="s"/>
      <c r="G1330" t="s"/>
      <c r="H1330" t="s"/>
      <c r="I1330" t="s"/>
      <c r="J1330" t="n">
        <v>0.5994</v>
      </c>
      <c r="K1330" t="n">
        <v>0</v>
      </c>
      <c r="L1330" t="n">
        <v>0.824</v>
      </c>
      <c r="M1330" t="n">
        <v>0.176</v>
      </c>
    </row>
    <row r="1331" spans="1:13">
      <c r="A1331" s="1">
        <f>HYPERLINK("http://www.twitter.com/NathanBLawrence/status/988880401404919809", "988880401404919809")</f>
        <v/>
      </c>
      <c r="B1331" s="2" t="n">
        <v>43214.86150462963</v>
      </c>
      <c r="C1331" t="n">
        <v>0</v>
      </c>
      <c r="D1331" t="n">
        <v>468</v>
      </c>
      <c r="E1331" t="s">
        <v>1342</v>
      </c>
      <c r="F1331" t="s"/>
      <c r="G1331" t="s"/>
      <c r="H1331" t="s"/>
      <c r="I1331" t="s"/>
      <c r="J1331" t="n">
        <v>-0.5266999999999999</v>
      </c>
      <c r="K1331" t="n">
        <v>0.236</v>
      </c>
      <c r="L1331" t="n">
        <v>0.764</v>
      </c>
      <c r="M1331" t="n">
        <v>0</v>
      </c>
    </row>
    <row r="1332" spans="1:13">
      <c r="A1332" s="1">
        <f>HYPERLINK("http://www.twitter.com/NathanBLawrence/status/988879786394169344", "988879786394169344")</f>
        <v/>
      </c>
      <c r="B1332" s="2" t="n">
        <v>43214.85981481482</v>
      </c>
      <c r="C1332" t="n">
        <v>0</v>
      </c>
      <c r="D1332" t="n">
        <v>130</v>
      </c>
      <c r="E1332" t="s">
        <v>1343</v>
      </c>
      <c r="F1332">
        <f>HYPERLINK("https://video.twimg.com/ext_tw_video/988874352866164736/pu/vid/480x360/Z1t-CtsL-q_wXRtT.mp4?tag=3", "https://video.twimg.com/ext_tw_video/988874352866164736/pu/vid/480x360/Z1t-CtsL-q_wXRtT.mp4?tag=3")</f>
        <v/>
      </c>
      <c r="G1332" t="s"/>
      <c r="H1332" t="s"/>
      <c r="I1332" t="s"/>
      <c r="J1332" t="n">
        <v>0</v>
      </c>
      <c r="K1332" t="n">
        <v>0</v>
      </c>
      <c r="L1332" t="n">
        <v>1</v>
      </c>
      <c r="M1332" t="n">
        <v>0</v>
      </c>
    </row>
    <row r="1333" spans="1:13">
      <c r="A1333" s="1">
        <f>HYPERLINK("http://www.twitter.com/NathanBLawrence/status/988879615321149442", "988879615321149442")</f>
        <v/>
      </c>
      <c r="B1333" s="2" t="n">
        <v>43214.85934027778</v>
      </c>
      <c r="C1333" t="n">
        <v>0</v>
      </c>
      <c r="D1333" t="n">
        <v>1048</v>
      </c>
      <c r="E1333" t="s">
        <v>1344</v>
      </c>
      <c r="F1333">
        <f>HYPERLINK("http://pbs.twimg.com/media/DbkEprwV4AA_JD5.jpg", "http://pbs.twimg.com/media/DbkEprwV4AA_JD5.jpg")</f>
        <v/>
      </c>
      <c r="G1333" t="s"/>
      <c r="H1333" t="s"/>
      <c r="I1333" t="s"/>
      <c r="J1333" t="n">
        <v>-0.2481</v>
      </c>
      <c r="K1333" t="n">
        <v>0.166</v>
      </c>
      <c r="L1333" t="n">
        <v>0.715</v>
      </c>
      <c r="M1333" t="n">
        <v>0.119</v>
      </c>
    </row>
    <row r="1334" spans="1:13">
      <c r="A1334" s="1">
        <f>HYPERLINK("http://www.twitter.com/NathanBLawrence/status/988878832898904064", "988878832898904064")</f>
        <v/>
      </c>
      <c r="B1334" s="2" t="n">
        <v>43214.85717592593</v>
      </c>
      <c r="C1334" t="n">
        <v>0</v>
      </c>
      <c r="D1334" t="n">
        <v>12</v>
      </c>
      <c r="E1334" t="s">
        <v>1345</v>
      </c>
      <c r="F1334">
        <f>HYPERLINK("https://video.twimg.com/ext_tw_video/988873113537413120/pu/vid/320x180/G1BHW3BUS2SypfDw.mp4?tag=3", "https://video.twimg.com/ext_tw_video/988873113537413120/pu/vid/320x180/G1BHW3BUS2SypfDw.mp4?tag=3")</f>
        <v/>
      </c>
      <c r="G1334" t="s"/>
      <c r="H1334" t="s"/>
      <c r="I1334" t="s"/>
      <c r="J1334" t="n">
        <v>0.2577</v>
      </c>
      <c r="K1334" t="n">
        <v>0</v>
      </c>
      <c r="L1334" t="n">
        <v>0.887</v>
      </c>
      <c r="M1334" t="n">
        <v>0.113</v>
      </c>
    </row>
    <row r="1335" spans="1:13">
      <c r="A1335" s="1">
        <f>HYPERLINK("http://www.twitter.com/NathanBLawrence/status/988878348301619203", "988878348301619203")</f>
        <v/>
      </c>
      <c r="B1335" s="2" t="n">
        <v>43214.8558449074</v>
      </c>
      <c r="C1335" t="n">
        <v>0</v>
      </c>
      <c r="D1335" t="n">
        <v>31</v>
      </c>
      <c r="E1335" t="s">
        <v>1346</v>
      </c>
      <c r="F1335" t="s"/>
      <c r="G1335" t="s"/>
      <c r="H1335" t="s"/>
      <c r="I1335" t="s"/>
      <c r="J1335" t="n">
        <v>-0.2263</v>
      </c>
      <c r="K1335" t="n">
        <v>0.08699999999999999</v>
      </c>
      <c r="L1335" t="n">
        <v>0.913</v>
      </c>
      <c r="M1335" t="n">
        <v>0</v>
      </c>
    </row>
    <row r="1336" spans="1:13">
      <c r="A1336" s="1">
        <f>HYPERLINK("http://www.twitter.com/NathanBLawrence/status/988872777670250496", "988872777670250496")</f>
        <v/>
      </c>
      <c r="B1336" s="2" t="n">
        <v>43214.84047453704</v>
      </c>
      <c r="C1336" t="n">
        <v>0</v>
      </c>
      <c r="D1336" t="n">
        <v>4</v>
      </c>
      <c r="E1336" t="s">
        <v>1347</v>
      </c>
      <c r="F1336" t="s"/>
      <c r="G1336" t="s"/>
      <c r="H1336" t="s"/>
      <c r="I1336" t="s"/>
      <c r="J1336" t="n">
        <v>0.7034</v>
      </c>
      <c r="K1336" t="n">
        <v>0</v>
      </c>
      <c r="L1336" t="n">
        <v>0.713</v>
      </c>
      <c r="M1336" t="n">
        <v>0.287</v>
      </c>
    </row>
    <row r="1337" spans="1:13">
      <c r="A1337" s="1">
        <f>HYPERLINK("http://www.twitter.com/NathanBLawrence/status/988872404876320768", "988872404876320768")</f>
        <v/>
      </c>
      <c r="B1337" s="2" t="n">
        <v>43214.83944444444</v>
      </c>
      <c r="C1337" t="n">
        <v>0</v>
      </c>
      <c r="D1337" t="n">
        <v>585</v>
      </c>
      <c r="E1337" t="s">
        <v>1348</v>
      </c>
      <c r="F1337">
        <f>HYPERLINK("http://pbs.twimg.com/media/DbjdLJJU8AA9Fjr.jpg", "http://pbs.twimg.com/media/DbjdLJJU8AA9Fjr.jpg")</f>
        <v/>
      </c>
      <c r="G1337">
        <f>HYPERLINK("http://pbs.twimg.com/media/DbjdLJJV4AAZO6d.jpg", "http://pbs.twimg.com/media/DbjdLJJV4AAZO6d.jpg")</f>
        <v/>
      </c>
      <c r="H1337">
        <f>HYPERLINK("http://pbs.twimg.com/media/DbjdLJJUwAAQ3Ku.jpg", "http://pbs.twimg.com/media/DbjdLJJUwAAQ3Ku.jpg")</f>
        <v/>
      </c>
      <c r="I1337">
        <f>HYPERLINK("http://pbs.twimg.com/media/DbjdLJJVMAAAXON.jpg", "http://pbs.twimg.com/media/DbjdLJJVMAAAXON.jpg")</f>
        <v/>
      </c>
      <c r="J1337" t="n">
        <v>0.9236</v>
      </c>
      <c r="K1337" t="n">
        <v>0</v>
      </c>
      <c r="L1337" t="n">
        <v>0.5610000000000001</v>
      </c>
      <c r="M1337" t="n">
        <v>0.439</v>
      </c>
    </row>
    <row r="1338" spans="1:13">
      <c r="A1338" s="1">
        <f>HYPERLINK("http://www.twitter.com/NathanBLawrence/status/988781495446798336", "988781495446798336")</f>
        <v/>
      </c>
      <c r="B1338" s="2" t="n">
        <v>43214.58857638889</v>
      </c>
      <c r="C1338" t="n">
        <v>0</v>
      </c>
      <c r="D1338" t="n">
        <v>803</v>
      </c>
      <c r="E1338" t="s">
        <v>1349</v>
      </c>
      <c r="F1338">
        <f>HYPERLINK("http://pbs.twimg.com/media/Dbf-_jyX0AAUrwZ.jpg", "http://pbs.twimg.com/media/Dbf-_jyX0AAUrwZ.jpg")</f>
        <v/>
      </c>
      <c r="G1338" t="s"/>
      <c r="H1338" t="s"/>
      <c r="I1338" t="s"/>
      <c r="J1338" t="n">
        <v>0</v>
      </c>
      <c r="K1338" t="n">
        <v>0</v>
      </c>
      <c r="L1338" t="n">
        <v>1</v>
      </c>
      <c r="M1338" t="n">
        <v>0</v>
      </c>
    </row>
    <row r="1339" spans="1:13">
      <c r="A1339" s="1">
        <f>HYPERLINK("http://www.twitter.com/NathanBLawrence/status/988779948549771264", "988779948549771264")</f>
        <v/>
      </c>
      <c r="B1339" s="2" t="n">
        <v>43214.58431712963</v>
      </c>
      <c r="C1339" t="n">
        <v>0</v>
      </c>
      <c r="D1339" t="n">
        <v>143</v>
      </c>
      <c r="E1339" t="s">
        <v>1350</v>
      </c>
      <c r="F1339">
        <f>HYPERLINK("http://pbs.twimg.com/media/Daknf9MXUAEVKJq.jpg", "http://pbs.twimg.com/media/Daknf9MXUAEVKJq.jpg")</f>
        <v/>
      </c>
      <c r="G1339" t="s"/>
      <c r="H1339" t="s"/>
      <c r="I1339" t="s"/>
      <c r="J1339" t="n">
        <v>0</v>
      </c>
      <c r="K1339" t="n">
        <v>0</v>
      </c>
      <c r="L1339" t="n">
        <v>1</v>
      </c>
      <c r="M1339" t="n">
        <v>0</v>
      </c>
    </row>
    <row r="1340" spans="1:13">
      <c r="A1340" s="1">
        <f>HYPERLINK("http://www.twitter.com/NathanBLawrence/status/988778200854646790", "988778200854646790")</f>
        <v/>
      </c>
      <c r="B1340" s="2" t="n">
        <v>43214.57949074074</v>
      </c>
      <c r="C1340" t="n">
        <v>0</v>
      </c>
      <c r="D1340" t="n">
        <v>11</v>
      </c>
      <c r="E1340" t="s">
        <v>1351</v>
      </c>
      <c r="F1340" t="s"/>
      <c r="G1340" t="s"/>
      <c r="H1340" t="s"/>
      <c r="I1340" t="s"/>
      <c r="J1340" t="n">
        <v>0.6467000000000001</v>
      </c>
      <c r="K1340" t="n">
        <v>0.225</v>
      </c>
      <c r="L1340" t="n">
        <v>0.428</v>
      </c>
      <c r="M1340" t="n">
        <v>0.347</v>
      </c>
    </row>
    <row r="1341" spans="1:13">
      <c r="A1341" s="1">
        <f>HYPERLINK("http://www.twitter.com/NathanBLawrence/status/988778107120340992", "988778107120340992")</f>
        <v/>
      </c>
      <c r="B1341" s="2" t="n">
        <v>43214.57923611111</v>
      </c>
      <c r="C1341" t="n">
        <v>0</v>
      </c>
      <c r="D1341" t="n">
        <v>25</v>
      </c>
      <c r="E1341" t="s">
        <v>1352</v>
      </c>
      <c r="F1341">
        <f>HYPERLINK("http://pbs.twimg.com/media/DbjWSocXUAEwJFP.jpg", "http://pbs.twimg.com/media/DbjWSocXUAEwJFP.jpg")</f>
        <v/>
      </c>
      <c r="G1341" t="s"/>
      <c r="H1341" t="s"/>
      <c r="I1341" t="s"/>
      <c r="J1341" t="n">
        <v>0</v>
      </c>
      <c r="K1341" t="n">
        <v>0</v>
      </c>
      <c r="L1341" t="n">
        <v>1</v>
      </c>
      <c r="M1341" t="n">
        <v>0</v>
      </c>
    </row>
    <row r="1342" spans="1:13">
      <c r="A1342" s="1">
        <f>HYPERLINK("http://www.twitter.com/NathanBLawrence/status/988776448772247553", "988776448772247553")</f>
        <v/>
      </c>
      <c r="B1342" s="2" t="n">
        <v>43214.57465277778</v>
      </c>
      <c r="C1342" t="n">
        <v>0</v>
      </c>
      <c r="D1342" t="n">
        <v>1049</v>
      </c>
      <c r="E1342" t="s">
        <v>1353</v>
      </c>
      <c r="F1342">
        <f>HYPERLINK("http://pbs.twimg.com/media/DbglkSEXUAUDfH_.jpg", "http://pbs.twimg.com/media/DbglkSEXUAUDfH_.jpg")</f>
        <v/>
      </c>
      <c r="G1342">
        <f>HYPERLINK("http://pbs.twimg.com/media/DbglkSHXkAYDRmc.jpg", "http://pbs.twimg.com/media/DbglkSHXkAYDRmc.jpg")</f>
        <v/>
      </c>
      <c r="H1342">
        <f>HYPERLINK("http://pbs.twimg.com/media/DbglkSKWAAEY1Jd.jpg", "http://pbs.twimg.com/media/DbglkSKWAAEY1Jd.jpg")</f>
        <v/>
      </c>
      <c r="I1342" t="s"/>
      <c r="J1342" t="n">
        <v>0.802</v>
      </c>
      <c r="K1342" t="n">
        <v>0</v>
      </c>
      <c r="L1342" t="n">
        <v>0.709</v>
      </c>
      <c r="M1342" t="n">
        <v>0.291</v>
      </c>
    </row>
    <row r="1343" spans="1:13">
      <c r="A1343" s="1">
        <f>HYPERLINK("http://www.twitter.com/NathanBLawrence/status/988776202994405376", "988776202994405376")</f>
        <v/>
      </c>
      <c r="B1343" s="2" t="n">
        <v>43214.57398148148</v>
      </c>
      <c r="C1343" t="n">
        <v>0</v>
      </c>
      <c r="D1343" t="n">
        <v>111</v>
      </c>
      <c r="E1343" t="s">
        <v>1354</v>
      </c>
      <c r="F1343">
        <f>HYPERLINK("http://pbs.twimg.com/media/Dbi6dhyWkAAm5wh.jpg", "http://pbs.twimg.com/media/Dbi6dhyWkAAm5wh.jpg")</f>
        <v/>
      </c>
      <c r="G1343" t="s"/>
      <c r="H1343" t="s"/>
      <c r="I1343" t="s"/>
      <c r="J1343" t="n">
        <v>0.1779</v>
      </c>
      <c r="K1343" t="n">
        <v>0</v>
      </c>
      <c r="L1343" t="n">
        <v>0.876</v>
      </c>
      <c r="M1343" t="n">
        <v>0.124</v>
      </c>
    </row>
    <row r="1344" spans="1:13">
      <c r="A1344" s="1">
        <f>HYPERLINK("http://www.twitter.com/NathanBLawrence/status/988776065664462849", "988776065664462849")</f>
        <v/>
      </c>
      <c r="B1344" s="2" t="n">
        <v>43214.57359953703</v>
      </c>
      <c r="C1344" t="n">
        <v>0</v>
      </c>
      <c r="D1344" t="n">
        <v>1229</v>
      </c>
      <c r="E1344" t="s">
        <v>1355</v>
      </c>
      <c r="F1344">
        <f>HYPERLINK("http://pbs.twimg.com/media/DbjOvkEXcAEcIZz.jpg", "http://pbs.twimg.com/media/DbjOvkEXcAEcIZz.jpg")</f>
        <v/>
      </c>
      <c r="G1344" t="s"/>
      <c r="H1344" t="s"/>
      <c r="I1344" t="s"/>
      <c r="J1344" t="n">
        <v>-0.516</v>
      </c>
      <c r="K1344" t="n">
        <v>0.175</v>
      </c>
      <c r="L1344" t="n">
        <v>0.746</v>
      </c>
      <c r="M1344" t="n">
        <v>0.079</v>
      </c>
    </row>
    <row r="1345" spans="1:13">
      <c r="A1345" s="1">
        <f>HYPERLINK("http://www.twitter.com/NathanBLawrence/status/988775813876211712", "988775813876211712")</f>
        <v/>
      </c>
      <c r="B1345" s="2" t="n">
        <v>43214.57290509259</v>
      </c>
      <c r="C1345" t="n">
        <v>0</v>
      </c>
      <c r="D1345" t="n">
        <v>489</v>
      </c>
      <c r="E1345" t="s">
        <v>1356</v>
      </c>
      <c r="F1345" t="s"/>
      <c r="G1345" t="s"/>
      <c r="H1345" t="s"/>
      <c r="I1345" t="s"/>
      <c r="J1345" t="n">
        <v>0.4782</v>
      </c>
      <c r="K1345" t="n">
        <v>0.112</v>
      </c>
      <c r="L1345" t="n">
        <v>0.695</v>
      </c>
      <c r="M1345" t="n">
        <v>0.193</v>
      </c>
    </row>
    <row r="1346" spans="1:13">
      <c r="A1346" s="1">
        <f>HYPERLINK("http://www.twitter.com/NathanBLawrence/status/988775621273837569", "988775621273837569")</f>
        <v/>
      </c>
      <c r="B1346" s="2" t="n">
        <v>43214.57237268519</v>
      </c>
      <c r="C1346" t="n">
        <v>0</v>
      </c>
      <c r="D1346" t="n">
        <v>9199</v>
      </c>
      <c r="E1346" t="s">
        <v>1357</v>
      </c>
      <c r="F1346" t="s"/>
      <c r="G1346" t="s"/>
      <c r="H1346" t="s"/>
      <c r="I1346" t="s"/>
      <c r="J1346" t="n">
        <v>0.8668</v>
      </c>
      <c r="K1346" t="n">
        <v>0</v>
      </c>
      <c r="L1346" t="n">
        <v>0.606</v>
      </c>
      <c r="M1346" t="n">
        <v>0.394</v>
      </c>
    </row>
    <row r="1347" spans="1:13">
      <c r="A1347" s="1">
        <f>HYPERLINK("http://www.twitter.com/NathanBLawrence/status/988775296278106112", "988775296278106112")</f>
        <v/>
      </c>
      <c r="B1347" s="2" t="n">
        <v>43214.57146990741</v>
      </c>
      <c r="C1347" t="n">
        <v>0</v>
      </c>
      <c r="D1347" t="n">
        <v>3418</v>
      </c>
      <c r="E1347" t="s">
        <v>1358</v>
      </c>
      <c r="F1347" t="s"/>
      <c r="G1347" t="s"/>
      <c r="H1347" t="s"/>
      <c r="I1347" t="s"/>
      <c r="J1347" t="n">
        <v>0</v>
      </c>
      <c r="K1347" t="n">
        <v>0</v>
      </c>
      <c r="L1347" t="n">
        <v>1</v>
      </c>
      <c r="M1347" t="n">
        <v>0</v>
      </c>
    </row>
    <row r="1348" spans="1:13">
      <c r="A1348" s="1">
        <f>HYPERLINK("http://www.twitter.com/NathanBLawrence/status/988774930555768832", "988774930555768832")</f>
        <v/>
      </c>
      <c r="B1348" s="2" t="n">
        <v>43214.57046296296</v>
      </c>
      <c r="C1348" t="n">
        <v>0</v>
      </c>
      <c r="D1348" t="n">
        <v>189</v>
      </c>
      <c r="E1348" t="s">
        <v>1359</v>
      </c>
      <c r="F1348">
        <f>HYPERLINK("http://pbs.twimg.com/media/DbjOKeMX0AAcnQ9.jpg", "http://pbs.twimg.com/media/DbjOKeMX0AAcnQ9.jpg")</f>
        <v/>
      </c>
      <c r="G1348" t="s"/>
      <c r="H1348" t="s"/>
      <c r="I1348" t="s"/>
      <c r="J1348" t="n">
        <v>0.4588</v>
      </c>
      <c r="K1348" t="n">
        <v>0</v>
      </c>
      <c r="L1348" t="n">
        <v>0.824</v>
      </c>
      <c r="M1348" t="n">
        <v>0.176</v>
      </c>
    </row>
    <row r="1349" spans="1:13">
      <c r="A1349" s="1">
        <f>HYPERLINK("http://www.twitter.com/NathanBLawrence/status/988770282633605121", "988770282633605121")</f>
        <v/>
      </c>
      <c r="B1349" s="2" t="n">
        <v>43214.55763888889</v>
      </c>
      <c r="C1349" t="n">
        <v>0</v>
      </c>
      <c r="D1349" t="n">
        <v>341</v>
      </c>
      <c r="E1349" t="s">
        <v>1360</v>
      </c>
      <c r="F1349" t="s"/>
      <c r="G1349" t="s"/>
      <c r="H1349" t="s"/>
      <c r="I1349" t="s"/>
      <c r="J1349" t="n">
        <v>0</v>
      </c>
      <c r="K1349" t="n">
        <v>0</v>
      </c>
      <c r="L1349" t="n">
        <v>1</v>
      </c>
      <c r="M1349" t="n">
        <v>0</v>
      </c>
    </row>
    <row r="1350" spans="1:13">
      <c r="A1350" s="1">
        <f>HYPERLINK("http://www.twitter.com/NathanBLawrence/status/988767599671508992", "988767599671508992")</f>
        <v/>
      </c>
      <c r="B1350" s="2" t="n">
        <v>43214.55023148148</v>
      </c>
      <c r="C1350" t="n">
        <v>0</v>
      </c>
      <c r="D1350" t="n">
        <v>11</v>
      </c>
      <c r="E1350" t="s">
        <v>1361</v>
      </c>
      <c r="F1350" t="s"/>
      <c r="G1350" t="s"/>
      <c r="H1350" t="s"/>
      <c r="I1350" t="s"/>
      <c r="J1350" t="n">
        <v>0.6249</v>
      </c>
      <c r="K1350" t="n">
        <v>0</v>
      </c>
      <c r="L1350" t="n">
        <v>0.785</v>
      </c>
      <c r="M1350" t="n">
        <v>0.215</v>
      </c>
    </row>
    <row r="1351" spans="1:13">
      <c r="A1351" s="1">
        <f>HYPERLINK("http://www.twitter.com/NathanBLawrence/status/988766927517609985", "988766927517609985")</f>
        <v/>
      </c>
      <c r="B1351" s="2" t="n">
        <v>43214.54837962963</v>
      </c>
      <c r="C1351" t="n">
        <v>0</v>
      </c>
      <c r="D1351" t="n">
        <v>4</v>
      </c>
      <c r="E1351" t="s">
        <v>1362</v>
      </c>
      <c r="F1351" t="s"/>
      <c r="G1351" t="s"/>
      <c r="H1351" t="s"/>
      <c r="I1351" t="s"/>
      <c r="J1351" t="n">
        <v>0</v>
      </c>
      <c r="K1351" t="n">
        <v>0</v>
      </c>
      <c r="L1351" t="n">
        <v>1</v>
      </c>
      <c r="M1351" t="n">
        <v>0</v>
      </c>
    </row>
    <row r="1352" spans="1:13">
      <c r="A1352" s="1">
        <f>HYPERLINK("http://www.twitter.com/NathanBLawrence/status/988766417406308352", "988766417406308352")</f>
        <v/>
      </c>
      <c r="B1352" s="2" t="n">
        <v>43214.54696759259</v>
      </c>
      <c r="C1352" t="n">
        <v>0</v>
      </c>
      <c r="D1352" t="n">
        <v>492</v>
      </c>
      <c r="E1352" t="s">
        <v>1363</v>
      </c>
      <c r="F1352" t="s"/>
      <c r="G1352" t="s"/>
      <c r="H1352" t="s"/>
      <c r="I1352" t="s"/>
      <c r="J1352" t="n">
        <v>0.6924</v>
      </c>
      <c r="K1352" t="n">
        <v>0</v>
      </c>
      <c r="L1352" t="n">
        <v>0.761</v>
      </c>
      <c r="M1352" t="n">
        <v>0.239</v>
      </c>
    </row>
    <row r="1353" spans="1:13">
      <c r="A1353" s="1">
        <f>HYPERLINK("http://www.twitter.com/NathanBLawrence/status/988765358868885504", "988765358868885504")</f>
        <v/>
      </c>
      <c r="B1353" s="2" t="n">
        <v>43214.54405092593</v>
      </c>
      <c r="C1353" t="n">
        <v>0</v>
      </c>
      <c r="D1353" t="n">
        <v>322</v>
      </c>
      <c r="E1353" t="s">
        <v>1364</v>
      </c>
      <c r="F1353" t="s"/>
      <c r="G1353" t="s"/>
      <c r="H1353" t="s"/>
      <c r="I1353" t="s"/>
      <c r="J1353" t="n">
        <v>0</v>
      </c>
      <c r="K1353" t="n">
        <v>0</v>
      </c>
      <c r="L1353" t="n">
        <v>1</v>
      </c>
      <c r="M1353" t="n">
        <v>0</v>
      </c>
    </row>
    <row r="1354" spans="1:13">
      <c r="A1354" s="1">
        <f>HYPERLINK("http://www.twitter.com/NathanBLawrence/status/988765232943239169", "988765232943239169")</f>
        <v/>
      </c>
      <c r="B1354" s="2" t="n">
        <v>43214.5437037037</v>
      </c>
      <c r="C1354" t="n">
        <v>0</v>
      </c>
      <c r="D1354" t="n">
        <v>82</v>
      </c>
      <c r="E1354" t="s">
        <v>1365</v>
      </c>
      <c r="F1354">
        <f>HYPERLINK("http://pbs.twimg.com/media/DbjMJZrW0AAHZzZ.jpg", "http://pbs.twimg.com/media/DbjMJZrW0AAHZzZ.jpg")</f>
        <v/>
      </c>
      <c r="G1354" t="s"/>
      <c r="H1354" t="s"/>
      <c r="I1354" t="s"/>
      <c r="J1354" t="n">
        <v>0.4588</v>
      </c>
      <c r="K1354" t="n">
        <v>0</v>
      </c>
      <c r="L1354" t="n">
        <v>0.7</v>
      </c>
      <c r="M1354" t="n">
        <v>0.3</v>
      </c>
    </row>
    <row r="1355" spans="1:13">
      <c r="A1355" s="1">
        <f>HYPERLINK("http://www.twitter.com/NathanBLawrence/status/988762630264381440", "988762630264381440")</f>
        <v/>
      </c>
      <c r="B1355" s="2" t="n">
        <v>43214.53652777777</v>
      </c>
      <c r="C1355" t="n">
        <v>0</v>
      </c>
      <c r="D1355" t="n">
        <v>23</v>
      </c>
      <c r="E1355" t="s">
        <v>1366</v>
      </c>
      <c r="F1355">
        <f>HYPERLINK("http://pbs.twimg.com/media/DbjIsAzXUAA-s2R.jpg", "http://pbs.twimg.com/media/DbjIsAzXUAA-s2R.jpg")</f>
        <v/>
      </c>
      <c r="G1355" t="s"/>
      <c r="H1355" t="s"/>
      <c r="I1355" t="s"/>
      <c r="J1355" t="n">
        <v>0</v>
      </c>
      <c r="K1355" t="n">
        <v>0</v>
      </c>
      <c r="L1355" t="n">
        <v>1</v>
      </c>
      <c r="M1355" t="n">
        <v>0</v>
      </c>
    </row>
    <row r="1356" spans="1:13">
      <c r="A1356" s="1">
        <f>HYPERLINK("http://www.twitter.com/NathanBLawrence/status/988758940656848896", "988758940656848896")</f>
        <v/>
      </c>
      <c r="B1356" s="2" t="n">
        <v>43214.5263425926</v>
      </c>
      <c r="C1356" t="n">
        <v>0</v>
      </c>
      <c r="D1356" t="n">
        <v>1414</v>
      </c>
      <c r="E1356" t="s">
        <v>1367</v>
      </c>
      <c r="F1356">
        <f>HYPERLINK("https://video.twimg.com/amplify_video/988745066603843584/vid/1280x720/v0M4GAni3nAUVz3R.mp4?tag=2", "https://video.twimg.com/amplify_video/988745066603843584/vid/1280x720/v0M4GAni3nAUVz3R.mp4?tag=2")</f>
        <v/>
      </c>
      <c r="G1356" t="s"/>
      <c r="H1356" t="s"/>
      <c r="I1356" t="s"/>
      <c r="J1356" t="n">
        <v>0.6597</v>
      </c>
      <c r="K1356" t="n">
        <v>0</v>
      </c>
      <c r="L1356" t="n">
        <v>0.769</v>
      </c>
      <c r="M1356" t="n">
        <v>0.231</v>
      </c>
    </row>
    <row r="1357" spans="1:13">
      <c r="A1357" s="1">
        <f>HYPERLINK("http://www.twitter.com/NathanBLawrence/status/988598257168343040", "988598257168343040")</f>
        <v/>
      </c>
      <c r="B1357" s="2" t="n">
        <v>43214.08293981481</v>
      </c>
      <c r="C1357" t="n">
        <v>0</v>
      </c>
      <c r="D1357" t="n">
        <v>84</v>
      </c>
      <c r="E1357" t="s">
        <v>1368</v>
      </c>
      <c r="F1357">
        <f>HYPERLINK("http://pbs.twimg.com/media/Dbg0f2jX4AANl0I.jpg", "http://pbs.twimg.com/media/Dbg0f2jX4AANl0I.jpg")</f>
        <v/>
      </c>
      <c r="G1357" t="s"/>
      <c r="H1357" t="s"/>
      <c r="I1357" t="s"/>
      <c r="J1357" t="n">
        <v>0</v>
      </c>
      <c r="K1357" t="n">
        <v>0</v>
      </c>
      <c r="L1357" t="n">
        <v>1</v>
      </c>
      <c r="M1357" t="n">
        <v>0</v>
      </c>
    </row>
    <row r="1358" spans="1:13">
      <c r="A1358" s="1">
        <f>HYPERLINK("http://www.twitter.com/NathanBLawrence/status/988598114222264320", "988598114222264320")</f>
        <v/>
      </c>
      <c r="B1358" s="2" t="n">
        <v>43214.0825462963</v>
      </c>
      <c r="C1358" t="n">
        <v>0</v>
      </c>
      <c r="D1358" t="n">
        <v>123</v>
      </c>
      <c r="E1358" t="s">
        <v>1369</v>
      </c>
      <c r="F1358">
        <f>HYPERLINK("http://pbs.twimg.com/media/DbZxBMwWsAIPton.jpg", "http://pbs.twimg.com/media/DbZxBMwWsAIPton.jpg")</f>
        <v/>
      </c>
      <c r="G1358" t="s"/>
      <c r="H1358" t="s"/>
      <c r="I1358" t="s"/>
      <c r="J1358" t="n">
        <v>0</v>
      </c>
      <c r="K1358" t="n">
        <v>0</v>
      </c>
      <c r="L1358" t="n">
        <v>1</v>
      </c>
      <c r="M1358" t="n">
        <v>0</v>
      </c>
    </row>
    <row r="1359" spans="1:13">
      <c r="A1359" s="1">
        <f>HYPERLINK("http://www.twitter.com/NathanBLawrence/status/988597884043104256", "988597884043104256")</f>
        <v/>
      </c>
      <c r="B1359" s="2" t="n">
        <v>43214.08190972222</v>
      </c>
      <c r="C1359" t="n">
        <v>0</v>
      </c>
      <c r="D1359" t="n">
        <v>2</v>
      </c>
      <c r="E1359" t="s">
        <v>1370</v>
      </c>
      <c r="F1359" t="s"/>
      <c r="G1359" t="s"/>
      <c r="H1359" t="s"/>
      <c r="I1359" t="s"/>
      <c r="J1359" t="n">
        <v>0.8791</v>
      </c>
      <c r="K1359" t="n">
        <v>0</v>
      </c>
      <c r="L1359" t="n">
        <v>0.663</v>
      </c>
      <c r="M1359" t="n">
        <v>0.337</v>
      </c>
    </row>
    <row r="1360" spans="1:13">
      <c r="A1360" s="1">
        <f>HYPERLINK("http://www.twitter.com/NathanBLawrence/status/988595329351249921", "988595329351249921")</f>
        <v/>
      </c>
      <c r="B1360" s="2" t="n">
        <v>43214.07486111111</v>
      </c>
      <c r="C1360" t="n">
        <v>0</v>
      </c>
      <c r="D1360" t="n">
        <v>2383</v>
      </c>
      <c r="E1360" t="s">
        <v>1371</v>
      </c>
      <c r="F1360">
        <f>HYPERLINK("https://video.twimg.com/amplify_video/988430162390904833/vid/1280x720/rJwJy1Wg_tANT5Ye.mp4?tag=2", "https://video.twimg.com/amplify_video/988430162390904833/vid/1280x720/rJwJy1Wg_tANT5Ye.mp4?tag=2")</f>
        <v/>
      </c>
      <c r="G1360" t="s"/>
      <c r="H1360" t="s"/>
      <c r="I1360" t="s"/>
      <c r="J1360" t="n">
        <v>-0.1027</v>
      </c>
      <c r="K1360" t="n">
        <v>0.06</v>
      </c>
      <c r="L1360" t="n">
        <v>0.9399999999999999</v>
      </c>
      <c r="M1360" t="n">
        <v>0</v>
      </c>
    </row>
    <row r="1361" spans="1:13">
      <c r="A1361" s="1">
        <f>HYPERLINK("http://www.twitter.com/NathanBLawrence/status/988594767171870722", "988594767171870722")</f>
        <v/>
      </c>
      <c r="B1361" s="2" t="n">
        <v>43214.07331018519</v>
      </c>
      <c r="C1361" t="n">
        <v>0</v>
      </c>
      <c r="D1361" t="n">
        <v>1744</v>
      </c>
      <c r="E1361" t="s">
        <v>1372</v>
      </c>
      <c r="F1361">
        <f>HYPERLINK("http://pbs.twimg.com/media/Dax7ksmW4AAIo_3.jpg", "http://pbs.twimg.com/media/Dax7ksmW4AAIo_3.jpg")</f>
        <v/>
      </c>
      <c r="G1361" t="s"/>
      <c r="H1361" t="s"/>
      <c r="I1361" t="s"/>
      <c r="J1361" t="n">
        <v>0.6808</v>
      </c>
      <c r="K1361" t="n">
        <v>0</v>
      </c>
      <c r="L1361" t="n">
        <v>0.772</v>
      </c>
      <c r="M1361" t="n">
        <v>0.228</v>
      </c>
    </row>
    <row r="1362" spans="1:13">
      <c r="A1362" s="1">
        <f>HYPERLINK("http://www.twitter.com/NathanBLawrence/status/988594513416523776", "988594513416523776")</f>
        <v/>
      </c>
      <c r="B1362" s="2" t="n">
        <v>43214.07260416666</v>
      </c>
      <c r="C1362" t="n">
        <v>0</v>
      </c>
      <c r="D1362" t="n">
        <v>2954</v>
      </c>
      <c r="E1362" t="s">
        <v>1373</v>
      </c>
      <c r="F1362" t="s"/>
      <c r="G1362" t="s"/>
      <c r="H1362" t="s"/>
      <c r="I1362" t="s"/>
      <c r="J1362" t="n">
        <v>0.6486</v>
      </c>
      <c r="K1362" t="n">
        <v>0</v>
      </c>
      <c r="L1362" t="n">
        <v>0.806</v>
      </c>
      <c r="M1362" t="n">
        <v>0.194</v>
      </c>
    </row>
    <row r="1363" spans="1:13">
      <c r="A1363" s="1">
        <f>HYPERLINK("http://www.twitter.com/NathanBLawrence/status/988594354896990208", "988594354896990208")</f>
        <v/>
      </c>
      <c r="B1363" s="2" t="n">
        <v>43214.07217592592</v>
      </c>
      <c r="C1363" t="n">
        <v>0</v>
      </c>
      <c r="D1363" t="n">
        <v>32</v>
      </c>
      <c r="E1363" t="s">
        <v>1374</v>
      </c>
      <c r="F1363">
        <f>HYPERLINK("http://pbs.twimg.com/media/Dbgu4vdVAAASska.jpg", "http://pbs.twimg.com/media/Dbgu4vdVAAASska.jpg")</f>
        <v/>
      </c>
      <c r="G1363" t="s"/>
      <c r="H1363" t="s"/>
      <c r="I1363" t="s"/>
      <c r="J1363" t="n">
        <v>0.0772</v>
      </c>
      <c r="K1363" t="n">
        <v>0</v>
      </c>
      <c r="L1363" t="n">
        <v>0.874</v>
      </c>
      <c r="M1363" t="n">
        <v>0.126</v>
      </c>
    </row>
    <row r="1364" spans="1:13">
      <c r="A1364" s="1">
        <f>HYPERLINK("http://www.twitter.com/NathanBLawrence/status/988594106615193600", "988594106615193600")</f>
        <v/>
      </c>
      <c r="B1364" s="2" t="n">
        <v>43214.07148148148</v>
      </c>
      <c r="C1364" t="n">
        <v>0</v>
      </c>
      <c r="D1364" t="n">
        <v>220</v>
      </c>
      <c r="E1364" t="s">
        <v>1375</v>
      </c>
      <c r="F1364" t="s"/>
      <c r="G1364" t="s"/>
      <c r="H1364" t="s"/>
      <c r="I1364" t="s"/>
      <c r="J1364" t="n">
        <v>0</v>
      </c>
      <c r="K1364" t="n">
        <v>0</v>
      </c>
      <c r="L1364" t="n">
        <v>1</v>
      </c>
      <c r="M1364" t="n">
        <v>0</v>
      </c>
    </row>
    <row r="1365" spans="1:13">
      <c r="A1365" s="1">
        <f>HYPERLINK("http://www.twitter.com/NathanBLawrence/status/988592935116722176", "988592935116722176")</f>
        <v/>
      </c>
      <c r="B1365" s="2" t="n">
        <v>43214.06825231481</v>
      </c>
      <c r="C1365" t="n">
        <v>0</v>
      </c>
      <c r="D1365" t="n">
        <v>109</v>
      </c>
      <c r="E1365" t="s">
        <v>1376</v>
      </c>
      <c r="F1365">
        <f>HYPERLINK("http://pbs.twimg.com/media/Da157yvWsAIgQdn.jpg", "http://pbs.twimg.com/media/Da157yvWsAIgQdn.jpg")</f>
        <v/>
      </c>
      <c r="G1365" t="s"/>
      <c r="H1365" t="s"/>
      <c r="I1365" t="s"/>
      <c r="J1365" t="n">
        <v>0</v>
      </c>
      <c r="K1365" t="n">
        <v>0</v>
      </c>
      <c r="L1365" t="n">
        <v>1</v>
      </c>
      <c r="M1365" t="n">
        <v>0</v>
      </c>
    </row>
    <row r="1366" spans="1:13">
      <c r="A1366" s="1">
        <f>HYPERLINK("http://www.twitter.com/NathanBLawrence/status/988591632193916928", "988591632193916928")</f>
        <v/>
      </c>
      <c r="B1366" s="2" t="n">
        <v>43214.06465277778</v>
      </c>
      <c r="C1366" t="n">
        <v>0</v>
      </c>
      <c r="D1366" t="n">
        <v>109</v>
      </c>
      <c r="E1366" t="s">
        <v>1377</v>
      </c>
      <c r="F1366">
        <f>HYPERLINK("http://pbs.twimg.com/media/Da1w6O7X0AYa_YT.jpg", "http://pbs.twimg.com/media/Da1w6O7X0AYa_YT.jpg")</f>
        <v/>
      </c>
      <c r="G1366" t="s"/>
      <c r="H1366" t="s"/>
      <c r="I1366" t="s"/>
      <c r="J1366" t="n">
        <v>0</v>
      </c>
      <c r="K1366" t="n">
        <v>0</v>
      </c>
      <c r="L1366" t="n">
        <v>1</v>
      </c>
      <c r="M1366" t="n">
        <v>0</v>
      </c>
    </row>
    <row r="1367" spans="1:13">
      <c r="A1367" s="1">
        <f>HYPERLINK("http://www.twitter.com/NathanBLawrence/status/988591349745274880", "988591349745274880")</f>
        <v/>
      </c>
      <c r="B1367" s="2" t="n">
        <v>43214.06387731482</v>
      </c>
      <c r="C1367" t="n">
        <v>0</v>
      </c>
      <c r="D1367" t="n">
        <v>17372</v>
      </c>
      <c r="E1367" t="s">
        <v>1378</v>
      </c>
      <c r="F1367">
        <f>HYPERLINK("http://pbs.twimg.com/media/Dbab1avV4AANUCf.jpg", "http://pbs.twimg.com/media/Dbab1avV4AANUCf.jpg")</f>
        <v/>
      </c>
      <c r="G1367" t="s"/>
      <c r="H1367" t="s"/>
      <c r="I1367" t="s"/>
      <c r="J1367" t="n">
        <v>0.6597</v>
      </c>
      <c r="K1367" t="n">
        <v>0</v>
      </c>
      <c r="L1367" t="n">
        <v>0.787</v>
      </c>
      <c r="M1367" t="n">
        <v>0.213</v>
      </c>
    </row>
    <row r="1368" spans="1:13">
      <c r="A1368" s="1">
        <f>HYPERLINK("http://www.twitter.com/NathanBLawrence/status/988590912346513408", "988590912346513408")</f>
        <v/>
      </c>
      <c r="B1368" s="2" t="n">
        <v>43214.06267361111</v>
      </c>
      <c r="C1368" t="n">
        <v>0</v>
      </c>
      <c r="D1368" t="n">
        <v>12</v>
      </c>
      <c r="E1368" t="s">
        <v>1379</v>
      </c>
      <c r="F1368" t="s"/>
      <c r="G1368" t="s"/>
      <c r="H1368" t="s"/>
      <c r="I1368" t="s"/>
      <c r="J1368" t="n">
        <v>0</v>
      </c>
      <c r="K1368" t="n">
        <v>0</v>
      </c>
      <c r="L1368" t="n">
        <v>1</v>
      </c>
      <c r="M1368" t="n">
        <v>0</v>
      </c>
    </row>
    <row r="1369" spans="1:13">
      <c r="A1369" s="1">
        <f>HYPERLINK("http://www.twitter.com/NathanBLawrence/status/988589264849047552", "988589264849047552")</f>
        <v/>
      </c>
      <c r="B1369" s="2" t="n">
        <v>43214.058125</v>
      </c>
      <c r="C1369" t="n">
        <v>0</v>
      </c>
      <c r="D1369" t="n">
        <v>1317</v>
      </c>
      <c r="E1369" t="s">
        <v>1380</v>
      </c>
      <c r="F1369">
        <f>HYPERLINK("http://pbs.twimg.com/media/DbgK5mBVwAAchTq.jpg", "http://pbs.twimg.com/media/DbgK5mBVwAAchTq.jpg")</f>
        <v/>
      </c>
      <c r="G1369" t="s"/>
      <c r="H1369" t="s"/>
      <c r="I1369" t="s"/>
      <c r="J1369" t="n">
        <v>0</v>
      </c>
      <c r="K1369" t="n">
        <v>0</v>
      </c>
      <c r="L1369" t="n">
        <v>1</v>
      </c>
      <c r="M1369" t="n">
        <v>0</v>
      </c>
    </row>
    <row r="1370" spans="1:13">
      <c r="A1370" s="1">
        <f>HYPERLINK("http://www.twitter.com/NathanBLawrence/status/988429455843647488", "988429455843647488")</f>
        <v/>
      </c>
      <c r="B1370" s="2" t="n">
        <v>43213.6171412037</v>
      </c>
      <c r="C1370" t="n">
        <v>0</v>
      </c>
      <c r="D1370" t="n">
        <v>882</v>
      </c>
      <c r="E1370" t="s">
        <v>1381</v>
      </c>
      <c r="F1370" t="s"/>
      <c r="G1370" t="s"/>
      <c r="H1370" t="s"/>
      <c r="I1370" t="s"/>
      <c r="J1370" t="n">
        <v>-0.3595</v>
      </c>
      <c r="K1370" t="n">
        <v>0.106</v>
      </c>
      <c r="L1370" t="n">
        <v>0.894</v>
      </c>
      <c r="M1370" t="n">
        <v>0</v>
      </c>
    </row>
    <row r="1371" spans="1:13">
      <c r="A1371" s="1">
        <f>HYPERLINK("http://www.twitter.com/NathanBLawrence/status/988427405386764288", "988427405386764288")</f>
        <v/>
      </c>
      <c r="B1371" s="2" t="n">
        <v>43213.61148148148</v>
      </c>
      <c r="C1371" t="n">
        <v>0</v>
      </c>
      <c r="D1371" t="n">
        <v>311</v>
      </c>
      <c r="E1371" t="s">
        <v>1382</v>
      </c>
      <c r="F1371">
        <f>HYPERLINK("http://pbs.twimg.com/media/DbeYYh-WAAAVfLl.jpg", "http://pbs.twimg.com/media/DbeYYh-WAAAVfLl.jpg")</f>
        <v/>
      </c>
      <c r="G1371" t="s"/>
      <c r="H1371" t="s"/>
      <c r="I1371" t="s"/>
      <c r="J1371" t="n">
        <v>0.5266999999999999</v>
      </c>
      <c r="K1371" t="n">
        <v>0</v>
      </c>
      <c r="L1371" t="n">
        <v>0.841</v>
      </c>
      <c r="M1371" t="n">
        <v>0.159</v>
      </c>
    </row>
    <row r="1372" spans="1:13">
      <c r="A1372" s="1">
        <f>HYPERLINK("http://www.twitter.com/NathanBLawrence/status/988427301053521924", "988427301053521924")</f>
        <v/>
      </c>
      <c r="B1372" s="2" t="n">
        <v>43213.61119212963</v>
      </c>
      <c r="C1372" t="n">
        <v>0</v>
      </c>
      <c r="D1372" t="n">
        <v>1129</v>
      </c>
      <c r="E1372" t="s">
        <v>1383</v>
      </c>
      <c r="F1372">
        <f>HYPERLINK("https://video.twimg.com/ext_tw_video/988240954904657920/pu/vid/640x360/FNMuPM95dkjNzxxD.mp4?tag=3", "https://video.twimg.com/ext_tw_video/988240954904657920/pu/vid/640x360/FNMuPM95dkjNzxxD.mp4?tag=3")</f>
        <v/>
      </c>
      <c r="G1372" t="s"/>
      <c r="H1372" t="s"/>
      <c r="I1372" t="s"/>
      <c r="J1372" t="n">
        <v>0.34</v>
      </c>
      <c r="K1372" t="n">
        <v>0</v>
      </c>
      <c r="L1372" t="n">
        <v>0.906</v>
      </c>
      <c r="M1372" t="n">
        <v>0.094</v>
      </c>
    </row>
    <row r="1373" spans="1:13">
      <c r="A1373" s="1">
        <f>HYPERLINK("http://www.twitter.com/NathanBLawrence/status/988424209637441536", "988424209637441536")</f>
        <v/>
      </c>
      <c r="B1373" s="2" t="n">
        <v>43213.60266203704</v>
      </c>
      <c r="C1373" t="n">
        <v>0</v>
      </c>
      <c r="D1373" t="n">
        <v>22770</v>
      </c>
      <c r="E1373" t="s">
        <v>1384</v>
      </c>
      <c r="F1373" t="s"/>
      <c r="G1373" t="s"/>
      <c r="H1373" t="s"/>
      <c r="I1373" t="s"/>
      <c r="J1373" t="n">
        <v>-0.1027</v>
      </c>
      <c r="K1373" t="n">
        <v>0.065</v>
      </c>
      <c r="L1373" t="n">
        <v>0.9350000000000001</v>
      </c>
      <c r="M1373" t="n">
        <v>0</v>
      </c>
    </row>
    <row r="1374" spans="1:13">
      <c r="A1374" s="1">
        <f>HYPERLINK("http://www.twitter.com/NathanBLawrence/status/988422293939421184", "988422293939421184")</f>
        <v/>
      </c>
      <c r="B1374" s="2" t="n">
        <v>43213.59737268519</v>
      </c>
      <c r="C1374" t="n">
        <v>0</v>
      </c>
      <c r="D1374" t="n">
        <v>184</v>
      </c>
      <c r="E1374" t="s">
        <v>1385</v>
      </c>
      <c r="F1374">
        <f>HYPERLINK("http://pbs.twimg.com/media/Dbd8b9OWsAAaBbD.jpg", "http://pbs.twimg.com/media/Dbd8b9OWsAAaBbD.jpg")</f>
        <v/>
      </c>
      <c r="G1374" t="s"/>
      <c r="H1374" t="s"/>
      <c r="I1374" t="s"/>
      <c r="J1374" t="n">
        <v>-0.2263</v>
      </c>
      <c r="K1374" t="n">
        <v>0.079</v>
      </c>
      <c r="L1374" t="n">
        <v>0.921</v>
      </c>
      <c r="M1374" t="n">
        <v>0</v>
      </c>
    </row>
    <row r="1375" spans="1:13">
      <c r="A1375" s="1">
        <f>HYPERLINK("http://www.twitter.com/NathanBLawrence/status/988420558139412481", "988420558139412481")</f>
        <v/>
      </c>
      <c r="B1375" s="2" t="n">
        <v>43213.59258101852</v>
      </c>
      <c r="C1375" t="n">
        <v>0</v>
      </c>
      <c r="D1375" t="n">
        <v>1837</v>
      </c>
      <c r="E1375" t="s">
        <v>1386</v>
      </c>
      <c r="F1375">
        <f>HYPERLINK("http://pbs.twimg.com/media/DbbBnSiWsAIQZAt.jpg", "http://pbs.twimg.com/media/DbbBnSiWsAIQZAt.jpg")</f>
        <v/>
      </c>
      <c r="G1375" t="s"/>
      <c r="H1375" t="s"/>
      <c r="I1375" t="s"/>
      <c r="J1375" t="n">
        <v>0.7721</v>
      </c>
      <c r="K1375" t="n">
        <v>0</v>
      </c>
      <c r="L1375" t="n">
        <v>0.6879999999999999</v>
      </c>
      <c r="M1375" t="n">
        <v>0.312</v>
      </c>
    </row>
    <row r="1376" spans="1:13">
      <c r="A1376" s="1">
        <f>HYPERLINK("http://www.twitter.com/NathanBLawrence/status/988419401530699776", "988419401530699776")</f>
        <v/>
      </c>
      <c r="B1376" s="2" t="n">
        <v>43213.58938657407</v>
      </c>
      <c r="C1376" t="n">
        <v>4</v>
      </c>
      <c r="D1376" t="n">
        <v>0</v>
      </c>
      <c r="E1376" t="s">
        <v>1387</v>
      </c>
      <c r="F1376" t="s"/>
      <c r="G1376" t="s"/>
      <c r="H1376" t="s"/>
      <c r="I1376" t="s"/>
      <c r="J1376" t="n">
        <v>0</v>
      </c>
      <c r="K1376" t="n">
        <v>0</v>
      </c>
      <c r="L1376" t="n">
        <v>1</v>
      </c>
      <c r="M1376" t="n">
        <v>0</v>
      </c>
    </row>
    <row r="1377" spans="1:13">
      <c r="A1377" s="1">
        <f>HYPERLINK("http://www.twitter.com/NathanBLawrence/status/988419270508974081", "988419270508974081")</f>
        <v/>
      </c>
      <c r="B1377" s="2" t="n">
        <v>43213.58902777778</v>
      </c>
      <c r="C1377" t="n">
        <v>0</v>
      </c>
      <c r="D1377" t="n">
        <v>186</v>
      </c>
      <c r="E1377" t="s">
        <v>1388</v>
      </c>
      <c r="F1377">
        <f>HYPERLINK("http://pbs.twimg.com/media/DbcYwZUV4AAObqU.jpg", "http://pbs.twimg.com/media/DbcYwZUV4AAObqU.jpg")</f>
        <v/>
      </c>
      <c r="G1377" t="s"/>
      <c r="H1377" t="s"/>
      <c r="I1377" t="s"/>
      <c r="J1377" t="n">
        <v>0.4199</v>
      </c>
      <c r="K1377" t="n">
        <v>0</v>
      </c>
      <c r="L1377" t="n">
        <v>0.834</v>
      </c>
      <c r="M1377" t="n">
        <v>0.166</v>
      </c>
    </row>
    <row r="1378" spans="1:13">
      <c r="A1378" s="1">
        <f>HYPERLINK("http://www.twitter.com/NathanBLawrence/status/988241475078119425", "988241475078119425")</f>
        <v/>
      </c>
      <c r="B1378" s="2" t="n">
        <v>43213.09840277778</v>
      </c>
      <c r="C1378" t="n">
        <v>0</v>
      </c>
      <c r="D1378" t="n">
        <v>527</v>
      </c>
      <c r="E1378" t="s">
        <v>1389</v>
      </c>
      <c r="F1378" t="s"/>
      <c r="G1378" t="s"/>
      <c r="H1378" t="s"/>
      <c r="I1378" t="s"/>
      <c r="J1378" t="n">
        <v>-0.2732</v>
      </c>
      <c r="K1378" t="n">
        <v>0.104</v>
      </c>
      <c r="L1378" t="n">
        <v>0.896</v>
      </c>
      <c r="M1378" t="n">
        <v>0</v>
      </c>
    </row>
    <row r="1379" spans="1:13">
      <c r="A1379" s="1">
        <f>HYPERLINK("http://www.twitter.com/NathanBLawrence/status/988221215092461568", "988221215092461568")</f>
        <v/>
      </c>
      <c r="B1379" s="2" t="n">
        <v>43213.0425</v>
      </c>
      <c r="C1379" t="n">
        <v>0</v>
      </c>
      <c r="D1379" t="n">
        <v>1025</v>
      </c>
      <c r="E1379" t="s">
        <v>1390</v>
      </c>
      <c r="F1379">
        <f>HYPERLINK("https://video.twimg.com/amplify_video/988196478953779200/vid/720x720/gGf4gRTQqZaXq-22.mp4?tag=2", "https://video.twimg.com/amplify_video/988196478953779200/vid/720x720/gGf4gRTQqZaXq-22.mp4?tag=2")</f>
        <v/>
      </c>
      <c r="G1379" t="s"/>
      <c r="H1379" t="s"/>
      <c r="I1379" t="s"/>
      <c r="J1379" t="n">
        <v>0.886</v>
      </c>
      <c r="K1379" t="n">
        <v>0</v>
      </c>
      <c r="L1379" t="n">
        <v>0.366</v>
      </c>
      <c r="M1379" t="n">
        <v>0.634</v>
      </c>
    </row>
    <row r="1380" spans="1:13">
      <c r="A1380" s="1">
        <f>HYPERLINK("http://www.twitter.com/NathanBLawrence/status/988220469429055490", "988220469429055490")</f>
        <v/>
      </c>
      <c r="B1380" s="2" t="n">
        <v>43213.04043981482</v>
      </c>
      <c r="C1380" t="n">
        <v>0</v>
      </c>
      <c r="D1380" t="n">
        <v>846</v>
      </c>
      <c r="E1380" t="s">
        <v>1391</v>
      </c>
      <c r="F1380" t="s"/>
      <c r="G1380" t="s"/>
      <c r="H1380" t="s"/>
      <c r="I1380" t="s"/>
      <c r="J1380" t="n">
        <v>-0.5242</v>
      </c>
      <c r="K1380" t="n">
        <v>0.253</v>
      </c>
      <c r="L1380" t="n">
        <v>0.642</v>
      </c>
      <c r="M1380" t="n">
        <v>0.105</v>
      </c>
    </row>
    <row r="1381" spans="1:13">
      <c r="A1381" s="1">
        <f>HYPERLINK("http://www.twitter.com/NathanBLawrence/status/988152933933109248", "988152933933109248")</f>
        <v/>
      </c>
      <c r="B1381" s="2" t="n">
        <v>43212.85408564815</v>
      </c>
      <c r="C1381" t="n">
        <v>0</v>
      </c>
      <c r="D1381" t="n">
        <v>3247</v>
      </c>
      <c r="E1381" t="s">
        <v>1392</v>
      </c>
      <c r="F1381">
        <f>HYPERLINK("http://pbs.twimg.com/media/DbZ82sTU8AAHTv1.jpg", "http://pbs.twimg.com/media/DbZ82sTU8AAHTv1.jpg")</f>
        <v/>
      </c>
      <c r="G1381" t="s"/>
      <c r="H1381" t="s"/>
      <c r="I1381" t="s"/>
      <c r="J1381" t="n">
        <v>0</v>
      </c>
      <c r="K1381" t="n">
        <v>0</v>
      </c>
      <c r="L1381" t="n">
        <v>1</v>
      </c>
      <c r="M1381" t="n">
        <v>0</v>
      </c>
    </row>
    <row r="1382" spans="1:13">
      <c r="A1382" s="1">
        <f>HYPERLINK("http://www.twitter.com/NathanBLawrence/status/988061602233638913", "988061602233638913")</f>
        <v/>
      </c>
      <c r="B1382" s="2" t="n">
        <v>43212.60204861111</v>
      </c>
      <c r="C1382" t="n">
        <v>0</v>
      </c>
      <c r="D1382" t="n">
        <v>1912</v>
      </c>
      <c r="E1382" t="s">
        <v>1393</v>
      </c>
      <c r="F1382" t="s"/>
      <c r="G1382" t="s"/>
      <c r="H1382" t="s"/>
      <c r="I1382" t="s"/>
      <c r="J1382" t="n">
        <v>0.7845</v>
      </c>
      <c r="K1382" t="n">
        <v>0</v>
      </c>
      <c r="L1382" t="n">
        <v>0.706</v>
      </c>
      <c r="M1382" t="n">
        <v>0.294</v>
      </c>
    </row>
    <row r="1383" spans="1:13">
      <c r="A1383" s="1">
        <f>HYPERLINK("http://www.twitter.com/NathanBLawrence/status/988058780683395072", "988058780683395072")</f>
        <v/>
      </c>
      <c r="B1383" s="2" t="n">
        <v>43212.59427083333</v>
      </c>
      <c r="C1383" t="n">
        <v>0</v>
      </c>
      <c r="D1383" t="n">
        <v>4</v>
      </c>
      <c r="E1383" t="s">
        <v>1394</v>
      </c>
      <c r="F1383" t="s"/>
      <c r="G1383" t="s"/>
      <c r="H1383" t="s"/>
      <c r="I1383" t="s"/>
      <c r="J1383" t="n">
        <v>0</v>
      </c>
      <c r="K1383" t="n">
        <v>0</v>
      </c>
      <c r="L1383" t="n">
        <v>1</v>
      </c>
      <c r="M1383" t="n">
        <v>0</v>
      </c>
    </row>
    <row r="1384" spans="1:13">
      <c r="A1384" s="1">
        <f>HYPERLINK("http://www.twitter.com/NathanBLawrence/status/988058746013339648", "988058746013339648")</f>
        <v/>
      </c>
      <c r="B1384" s="2" t="n">
        <v>43212.59416666667</v>
      </c>
      <c r="C1384" t="n">
        <v>0</v>
      </c>
      <c r="D1384" t="n">
        <v>374</v>
      </c>
      <c r="E1384" t="s">
        <v>1395</v>
      </c>
      <c r="F1384" t="s"/>
      <c r="G1384" t="s"/>
      <c r="H1384" t="s"/>
      <c r="I1384" t="s"/>
      <c r="J1384" t="n">
        <v>-0.1406</v>
      </c>
      <c r="K1384" t="n">
        <v>0.078</v>
      </c>
      <c r="L1384" t="n">
        <v>0.866</v>
      </c>
      <c r="M1384" t="n">
        <v>0.056</v>
      </c>
    </row>
    <row r="1385" spans="1:13">
      <c r="A1385" s="1">
        <f>HYPERLINK("http://www.twitter.com/NathanBLawrence/status/988057975091814401", "988057975091814401")</f>
        <v/>
      </c>
      <c r="B1385" s="2" t="n">
        <v>43212.59204861111</v>
      </c>
      <c r="C1385" t="n">
        <v>0</v>
      </c>
      <c r="D1385" t="n">
        <v>253</v>
      </c>
      <c r="E1385" t="s">
        <v>1396</v>
      </c>
      <c r="F1385">
        <f>HYPERLINK("http://pbs.twimg.com/media/DbWSfwAX4AIKRqK.jpg", "http://pbs.twimg.com/media/DbWSfwAX4AIKRqK.jpg")</f>
        <v/>
      </c>
      <c r="G1385" t="s"/>
      <c r="H1385" t="s"/>
      <c r="I1385" t="s"/>
      <c r="J1385" t="n">
        <v>0.3182</v>
      </c>
      <c r="K1385" t="n">
        <v>0</v>
      </c>
      <c r="L1385" t="n">
        <v>0.798</v>
      </c>
      <c r="M1385" t="n">
        <v>0.202</v>
      </c>
    </row>
    <row r="1386" spans="1:13">
      <c r="A1386" s="1">
        <f>HYPERLINK("http://www.twitter.com/NathanBLawrence/status/988057263570128902", "988057263570128902")</f>
        <v/>
      </c>
      <c r="B1386" s="2" t="n">
        <v>43212.59008101852</v>
      </c>
      <c r="C1386" t="n">
        <v>0</v>
      </c>
      <c r="D1386" t="n">
        <v>590</v>
      </c>
      <c r="E1386" t="s">
        <v>1397</v>
      </c>
      <c r="F1386">
        <f>HYPERLINK("http://pbs.twimg.com/media/DbZHrBBW4AEaQh4.jpg", "http://pbs.twimg.com/media/DbZHrBBW4AEaQh4.jpg")</f>
        <v/>
      </c>
      <c r="G1386" t="s"/>
      <c r="H1386" t="s"/>
      <c r="I1386" t="s"/>
      <c r="J1386" t="n">
        <v>0</v>
      </c>
      <c r="K1386" t="n">
        <v>0</v>
      </c>
      <c r="L1386" t="n">
        <v>1</v>
      </c>
      <c r="M1386" t="n">
        <v>0</v>
      </c>
    </row>
    <row r="1387" spans="1:13">
      <c r="A1387" s="1">
        <f>HYPERLINK("http://www.twitter.com/NathanBLawrence/status/988054892152487937", "988054892152487937")</f>
        <v/>
      </c>
      <c r="B1387" s="2" t="n">
        <v>43212.58354166667</v>
      </c>
      <c r="C1387" t="n">
        <v>0</v>
      </c>
      <c r="D1387" t="n">
        <v>6795</v>
      </c>
      <c r="E1387" t="s">
        <v>1398</v>
      </c>
      <c r="F1387">
        <f>HYPERLINK("http://pbs.twimg.com/media/DbUuXNSUwAAmgRU.jpg", "http://pbs.twimg.com/media/DbUuXNSUwAAmgRU.jpg")</f>
        <v/>
      </c>
      <c r="G1387" t="s"/>
      <c r="H1387" t="s"/>
      <c r="I1387" t="s"/>
      <c r="J1387" t="n">
        <v>0.8658</v>
      </c>
      <c r="K1387" t="n">
        <v>0</v>
      </c>
      <c r="L1387" t="n">
        <v>0.573</v>
      </c>
      <c r="M1387" t="n">
        <v>0.427</v>
      </c>
    </row>
    <row r="1388" spans="1:13">
      <c r="A1388" s="1">
        <f>HYPERLINK("http://www.twitter.com/NathanBLawrence/status/988052229528719363", "988052229528719363")</f>
        <v/>
      </c>
      <c r="B1388" s="2" t="n">
        <v>43212.57619212963</v>
      </c>
      <c r="C1388" t="n">
        <v>0</v>
      </c>
      <c r="D1388" t="n">
        <v>7833</v>
      </c>
      <c r="E1388" t="s">
        <v>1399</v>
      </c>
      <c r="F1388" t="s"/>
      <c r="G1388" t="s"/>
      <c r="H1388" t="s"/>
      <c r="I1388" t="s"/>
      <c r="J1388" t="n">
        <v>0.5598</v>
      </c>
      <c r="K1388" t="n">
        <v>0</v>
      </c>
      <c r="L1388" t="n">
        <v>0.806</v>
      </c>
      <c r="M1388" t="n">
        <v>0.194</v>
      </c>
    </row>
    <row r="1389" spans="1:13">
      <c r="A1389" s="1">
        <f>HYPERLINK("http://www.twitter.com/NathanBLawrence/status/988052053053370373", "988052053053370373")</f>
        <v/>
      </c>
      <c r="B1389" s="2" t="n">
        <v>43212.57570601852</v>
      </c>
      <c r="C1389" t="n">
        <v>0</v>
      </c>
      <c r="D1389" t="n">
        <v>21987</v>
      </c>
      <c r="E1389" t="s">
        <v>1400</v>
      </c>
      <c r="F1389" t="s"/>
      <c r="G1389" t="s"/>
      <c r="H1389" t="s"/>
      <c r="I1389" t="s"/>
      <c r="J1389" t="n">
        <v>0</v>
      </c>
      <c r="K1389" t="n">
        <v>0</v>
      </c>
      <c r="L1389" t="n">
        <v>1</v>
      </c>
      <c r="M1389" t="n">
        <v>0</v>
      </c>
    </row>
    <row r="1390" spans="1:13">
      <c r="A1390" s="1">
        <f>HYPERLINK("http://www.twitter.com/NathanBLawrence/status/987912829620584448", "987912829620584448")</f>
        <v/>
      </c>
      <c r="B1390" s="2" t="n">
        <v>43212.1915162037</v>
      </c>
      <c r="C1390" t="n">
        <v>0</v>
      </c>
      <c r="D1390" t="n">
        <v>683</v>
      </c>
      <c r="E1390" t="s">
        <v>1401</v>
      </c>
      <c r="F1390">
        <f>HYPERLINK("https://video.twimg.com/ext_tw_video/984138257414762496/pu/vid/1280x720/hI_Angqf-O3hyJht.mp4?tag=2", "https://video.twimg.com/ext_tw_video/984138257414762496/pu/vid/1280x720/hI_Angqf-O3hyJht.mp4?tag=2")</f>
        <v/>
      </c>
      <c r="G1390" t="s"/>
      <c r="H1390" t="s"/>
      <c r="I1390" t="s"/>
      <c r="J1390" t="n">
        <v>-0.4404</v>
      </c>
      <c r="K1390" t="n">
        <v>0.121</v>
      </c>
      <c r="L1390" t="n">
        <v>0.879</v>
      </c>
      <c r="M1390" t="n">
        <v>0</v>
      </c>
    </row>
    <row r="1391" spans="1:13">
      <c r="A1391" s="1">
        <f>HYPERLINK("http://www.twitter.com/NathanBLawrence/status/987907894233518080", "987907894233518080")</f>
        <v/>
      </c>
      <c r="B1391" s="2" t="n">
        <v>43212.17790509259</v>
      </c>
      <c r="C1391" t="n">
        <v>0</v>
      </c>
      <c r="D1391" t="n">
        <v>294</v>
      </c>
      <c r="E1391" t="s">
        <v>1402</v>
      </c>
      <c r="F1391" t="s"/>
      <c r="G1391" t="s"/>
      <c r="H1391" t="s"/>
      <c r="I1391" t="s"/>
      <c r="J1391" t="n">
        <v>-0.1531</v>
      </c>
      <c r="K1391" t="n">
        <v>0.242</v>
      </c>
      <c r="L1391" t="n">
        <v>0.758</v>
      </c>
      <c r="M1391" t="n">
        <v>0</v>
      </c>
    </row>
    <row r="1392" spans="1:13">
      <c r="A1392" s="1">
        <f>HYPERLINK("http://www.twitter.com/NathanBLawrence/status/987907610585239552", "987907610585239552")</f>
        <v/>
      </c>
      <c r="B1392" s="2" t="n">
        <v>43212.17711805556</v>
      </c>
      <c r="C1392" t="n">
        <v>0</v>
      </c>
      <c r="D1392" t="n">
        <v>18</v>
      </c>
      <c r="E1392" t="s">
        <v>1403</v>
      </c>
      <c r="F1392">
        <f>HYPERLINK("http://pbs.twimg.com/media/DbW0XQnX4AEZTB4.jpg", "http://pbs.twimg.com/media/DbW0XQnX4AEZTB4.jpg")</f>
        <v/>
      </c>
      <c r="G1392" t="s"/>
      <c r="H1392" t="s"/>
      <c r="I1392" t="s"/>
      <c r="J1392" t="n">
        <v>0</v>
      </c>
      <c r="K1392" t="n">
        <v>0</v>
      </c>
      <c r="L1392" t="n">
        <v>1</v>
      </c>
      <c r="M1392" t="n">
        <v>0</v>
      </c>
    </row>
    <row r="1393" spans="1:13">
      <c r="A1393" s="1">
        <f>HYPERLINK("http://www.twitter.com/NathanBLawrence/status/987705589634600960", "987705589634600960")</f>
        <v/>
      </c>
      <c r="B1393" s="2" t="n">
        <v>43211.6196412037</v>
      </c>
      <c r="C1393" t="n">
        <v>0</v>
      </c>
      <c r="D1393" t="n">
        <v>417</v>
      </c>
      <c r="E1393" t="s">
        <v>1404</v>
      </c>
      <c r="F1393" t="s"/>
      <c r="G1393" t="s"/>
      <c r="H1393" t="s"/>
      <c r="I1393" t="s"/>
      <c r="J1393" t="n">
        <v>-0.2263</v>
      </c>
      <c r="K1393" t="n">
        <v>0.119</v>
      </c>
      <c r="L1393" t="n">
        <v>0.881</v>
      </c>
      <c r="M1393" t="n">
        <v>0</v>
      </c>
    </row>
    <row r="1394" spans="1:13">
      <c r="A1394" s="1">
        <f>HYPERLINK("http://www.twitter.com/NathanBLawrence/status/987705476753379329", "987705476753379329")</f>
        <v/>
      </c>
      <c r="B1394" s="2" t="n">
        <v>43211.6193287037</v>
      </c>
      <c r="C1394" t="n">
        <v>0</v>
      </c>
      <c r="D1394" t="n">
        <v>13144</v>
      </c>
      <c r="E1394" t="s">
        <v>1405</v>
      </c>
      <c r="F1394">
        <f>HYPERLINK("http://pbs.twimg.com/media/DbQiCWCX4AAoYHc.jpg", "http://pbs.twimg.com/media/DbQiCWCX4AAoYHc.jpg")</f>
        <v/>
      </c>
      <c r="G1394" t="s"/>
      <c r="H1394" t="s"/>
      <c r="I1394" t="s"/>
      <c r="J1394" t="n">
        <v>-0.2263</v>
      </c>
      <c r="K1394" t="n">
        <v>0.182</v>
      </c>
      <c r="L1394" t="n">
        <v>0.711</v>
      </c>
      <c r="M1394" t="n">
        <v>0.107</v>
      </c>
    </row>
    <row r="1395" spans="1:13">
      <c r="A1395" s="1">
        <f>HYPERLINK("http://www.twitter.com/NathanBLawrence/status/987704337722994689", "987704337722994689")</f>
        <v/>
      </c>
      <c r="B1395" s="2" t="n">
        <v>43211.61619212963</v>
      </c>
      <c r="C1395" t="n">
        <v>0</v>
      </c>
      <c r="D1395" t="n">
        <v>3614</v>
      </c>
      <c r="E1395" t="s">
        <v>1406</v>
      </c>
      <c r="F1395" t="s"/>
      <c r="G1395" t="s"/>
      <c r="H1395" t="s"/>
      <c r="I1395" t="s"/>
      <c r="J1395" t="n">
        <v>0</v>
      </c>
      <c r="K1395" t="n">
        <v>0</v>
      </c>
      <c r="L1395" t="n">
        <v>1</v>
      </c>
      <c r="M1395" t="n">
        <v>0</v>
      </c>
    </row>
    <row r="1396" spans="1:13">
      <c r="A1396" s="1">
        <f>HYPERLINK("http://www.twitter.com/NathanBLawrence/status/987703598799839232", "987703598799839232")</f>
        <v/>
      </c>
      <c r="B1396" s="2" t="n">
        <v>43211.61415509259</v>
      </c>
      <c r="C1396" t="n">
        <v>0</v>
      </c>
      <c r="D1396" t="n">
        <v>13</v>
      </c>
      <c r="E1396" t="s">
        <v>1407</v>
      </c>
      <c r="F1396" t="s"/>
      <c r="G1396" t="s"/>
      <c r="H1396" t="s"/>
      <c r="I1396" t="s"/>
      <c r="J1396" t="n">
        <v>-0.5093</v>
      </c>
      <c r="K1396" t="n">
        <v>0.136</v>
      </c>
      <c r="L1396" t="n">
        <v>0.864</v>
      </c>
      <c r="M1396" t="n">
        <v>0</v>
      </c>
    </row>
    <row r="1397" spans="1:13">
      <c r="A1397" s="1">
        <f>HYPERLINK("http://www.twitter.com/NathanBLawrence/status/987703222675664896", "987703222675664896")</f>
        <v/>
      </c>
      <c r="B1397" s="2" t="n">
        <v>43211.61311342593</v>
      </c>
      <c r="C1397" t="n">
        <v>0</v>
      </c>
      <c r="D1397" t="n">
        <v>101</v>
      </c>
      <c r="E1397" t="s">
        <v>1408</v>
      </c>
      <c r="F1397">
        <f>HYPERLINK("http://pbs.twimg.com/media/DbUE2XhV4AECEf0.jpg", "http://pbs.twimg.com/media/DbUE2XhV4AECEf0.jpg")</f>
        <v/>
      </c>
      <c r="G1397" t="s"/>
      <c r="H1397" t="s"/>
      <c r="I1397" t="s"/>
      <c r="J1397" t="n">
        <v>0.4215</v>
      </c>
      <c r="K1397" t="n">
        <v>0</v>
      </c>
      <c r="L1397" t="n">
        <v>0.882</v>
      </c>
      <c r="M1397" t="n">
        <v>0.118</v>
      </c>
    </row>
    <row r="1398" spans="1:13">
      <c r="A1398" s="1">
        <f>HYPERLINK("http://www.twitter.com/NathanBLawrence/status/987701846914498568", "987701846914498568")</f>
        <v/>
      </c>
      <c r="B1398" s="2" t="n">
        <v>43211.60931712963</v>
      </c>
      <c r="C1398" t="n">
        <v>0</v>
      </c>
      <c r="D1398" t="n">
        <v>706</v>
      </c>
      <c r="E1398" t="s">
        <v>1409</v>
      </c>
      <c r="F1398" t="s"/>
      <c r="G1398" t="s"/>
      <c r="H1398" t="s"/>
      <c r="I1398" t="s"/>
      <c r="J1398" t="n">
        <v>-0.2714</v>
      </c>
      <c r="K1398" t="n">
        <v>0.151</v>
      </c>
      <c r="L1398" t="n">
        <v>0.74</v>
      </c>
      <c r="M1398" t="n">
        <v>0.109</v>
      </c>
    </row>
    <row r="1399" spans="1:13">
      <c r="A1399" s="1">
        <f>HYPERLINK("http://www.twitter.com/NathanBLawrence/status/987701676982272000", "987701676982272000")</f>
        <v/>
      </c>
      <c r="B1399" s="2" t="n">
        <v>43211.60885416667</v>
      </c>
      <c r="C1399" t="n">
        <v>0</v>
      </c>
      <c r="D1399" t="n">
        <v>4894</v>
      </c>
      <c r="E1399" t="s">
        <v>1410</v>
      </c>
      <c r="F1399">
        <f>HYPERLINK("https://video.twimg.com/ext_tw_video/933619199057920000/pu/vid/1280x720/J84UMuNuxI4rxUHS.mp4", "https://video.twimg.com/ext_tw_video/933619199057920000/pu/vid/1280x720/J84UMuNuxI4rxUHS.mp4")</f>
        <v/>
      </c>
      <c r="G1399" t="s"/>
      <c r="H1399" t="s"/>
      <c r="I1399" t="s"/>
      <c r="J1399" t="n">
        <v>0.4019</v>
      </c>
      <c r="K1399" t="n">
        <v>0</v>
      </c>
      <c r="L1399" t="n">
        <v>0.886</v>
      </c>
      <c r="M1399" t="n">
        <v>0.114</v>
      </c>
    </row>
    <row r="1400" spans="1:13">
      <c r="A1400" s="1">
        <f>HYPERLINK("http://www.twitter.com/NathanBLawrence/status/987698379194093574", "987698379194093574")</f>
        <v/>
      </c>
      <c r="B1400" s="2" t="n">
        <v>43211.59974537037</v>
      </c>
      <c r="C1400" t="n">
        <v>0</v>
      </c>
      <c r="D1400" t="n">
        <v>189</v>
      </c>
      <c r="E1400" t="s">
        <v>1411</v>
      </c>
      <c r="F1400" t="s"/>
      <c r="G1400" t="s"/>
      <c r="H1400" t="s"/>
      <c r="I1400" t="s"/>
      <c r="J1400" t="n">
        <v>0.4939</v>
      </c>
      <c r="K1400" t="n">
        <v>0.073</v>
      </c>
      <c r="L1400" t="n">
        <v>0.731</v>
      </c>
      <c r="M1400" t="n">
        <v>0.196</v>
      </c>
    </row>
    <row r="1401" spans="1:13">
      <c r="A1401" s="1">
        <f>HYPERLINK("http://www.twitter.com/NathanBLawrence/status/987697752724459521", "987697752724459521")</f>
        <v/>
      </c>
      <c r="B1401" s="2" t="n">
        <v>43211.59802083333</v>
      </c>
      <c r="C1401" t="n">
        <v>0</v>
      </c>
      <c r="D1401" t="n">
        <v>1997</v>
      </c>
      <c r="E1401" t="s">
        <v>1412</v>
      </c>
      <c r="F1401">
        <f>HYPERLINK("http://pbs.twimg.com/media/DbT3IXxV4AIf3MK.jpg", "http://pbs.twimg.com/media/DbT3IXxV4AIf3MK.jpg")</f>
        <v/>
      </c>
      <c r="G1401" t="s"/>
      <c r="H1401" t="s"/>
      <c r="I1401" t="s"/>
      <c r="J1401" t="n">
        <v>0</v>
      </c>
      <c r="K1401" t="n">
        <v>0</v>
      </c>
      <c r="L1401" t="n">
        <v>1</v>
      </c>
      <c r="M1401" t="n">
        <v>0</v>
      </c>
    </row>
    <row r="1402" spans="1:13">
      <c r="A1402" s="1">
        <f>HYPERLINK("http://www.twitter.com/NathanBLawrence/status/987697598978056193", "987697598978056193")</f>
        <v/>
      </c>
      <c r="B1402" s="2" t="n">
        <v>43211.5975925926</v>
      </c>
      <c r="C1402" t="n">
        <v>0</v>
      </c>
      <c r="D1402" t="n">
        <v>188</v>
      </c>
      <c r="E1402" t="s">
        <v>1413</v>
      </c>
      <c r="F1402" t="s"/>
      <c r="G1402" t="s"/>
      <c r="H1402" t="s"/>
      <c r="I1402" t="s"/>
      <c r="J1402" t="n">
        <v>-0.3818</v>
      </c>
      <c r="K1402" t="n">
        <v>0.24</v>
      </c>
      <c r="L1402" t="n">
        <v>0.65</v>
      </c>
      <c r="M1402" t="n">
        <v>0.11</v>
      </c>
    </row>
    <row r="1403" spans="1:13">
      <c r="A1403" s="1">
        <f>HYPERLINK("http://www.twitter.com/NathanBLawrence/status/987697231812808704", "987697231812808704")</f>
        <v/>
      </c>
      <c r="B1403" s="2" t="n">
        <v>43211.59658564815</v>
      </c>
      <c r="C1403" t="n">
        <v>0</v>
      </c>
      <c r="D1403" t="n">
        <v>304</v>
      </c>
      <c r="E1403" t="s">
        <v>1414</v>
      </c>
      <c r="F1403">
        <f>HYPERLINK("http://pbs.twimg.com/media/DbT2ZzWU0AAWetK.jpg", "http://pbs.twimg.com/media/DbT2ZzWU0AAWetK.jpg")</f>
        <v/>
      </c>
      <c r="G1403" t="s"/>
      <c r="H1403" t="s"/>
      <c r="I1403" t="s"/>
      <c r="J1403" t="n">
        <v>0.3182</v>
      </c>
      <c r="K1403" t="n">
        <v>0</v>
      </c>
      <c r="L1403" t="n">
        <v>0.8129999999999999</v>
      </c>
      <c r="M1403" t="n">
        <v>0.187</v>
      </c>
    </row>
    <row r="1404" spans="1:13">
      <c r="A1404" s="1">
        <f>HYPERLINK("http://www.twitter.com/NathanBLawrence/status/987697151760269312", "987697151760269312")</f>
        <v/>
      </c>
      <c r="B1404" s="2" t="n">
        <v>43211.59636574074</v>
      </c>
      <c r="C1404" t="n">
        <v>0</v>
      </c>
      <c r="D1404" t="n">
        <v>443</v>
      </c>
      <c r="E1404" t="s">
        <v>1415</v>
      </c>
      <c r="F1404">
        <f>HYPERLINK("https://video.twimg.com/ext_tw_video/987645216772403201/pu/vid/1280x720/5jmoTCsEEc4b7APn.mp4?tag=3", "https://video.twimg.com/ext_tw_video/987645216772403201/pu/vid/1280x720/5jmoTCsEEc4b7APn.mp4?tag=3")</f>
        <v/>
      </c>
      <c r="G1404" t="s"/>
      <c r="H1404" t="s"/>
      <c r="I1404" t="s"/>
      <c r="J1404" t="n">
        <v>0.2716</v>
      </c>
      <c r="K1404" t="n">
        <v>0</v>
      </c>
      <c r="L1404" t="n">
        <v>0.909</v>
      </c>
      <c r="M1404" t="n">
        <v>0.091</v>
      </c>
    </row>
    <row r="1405" spans="1:13">
      <c r="A1405" s="1">
        <f>HYPERLINK("http://www.twitter.com/NathanBLawrence/status/987696362270744577", "987696362270744577")</f>
        <v/>
      </c>
      <c r="B1405" s="2" t="n">
        <v>43211.59417824074</v>
      </c>
      <c r="C1405" t="n">
        <v>0</v>
      </c>
      <c r="D1405" t="n">
        <v>160</v>
      </c>
      <c r="E1405" t="s">
        <v>1416</v>
      </c>
      <c r="F1405" t="s"/>
      <c r="G1405" t="s"/>
      <c r="H1405" t="s"/>
      <c r="I1405" t="s"/>
      <c r="J1405" t="n">
        <v>0</v>
      </c>
      <c r="K1405" t="n">
        <v>0</v>
      </c>
      <c r="L1405" t="n">
        <v>1</v>
      </c>
      <c r="M1405" t="n">
        <v>0</v>
      </c>
    </row>
    <row r="1406" spans="1:13">
      <c r="A1406" s="1">
        <f>HYPERLINK("http://www.twitter.com/NathanBLawrence/status/987696134947770368", "987696134947770368")</f>
        <v/>
      </c>
      <c r="B1406" s="2" t="n">
        <v>43211.59355324074</v>
      </c>
      <c r="C1406" t="n">
        <v>0</v>
      </c>
      <c r="D1406" t="n">
        <v>10821</v>
      </c>
      <c r="E1406" t="s">
        <v>1417</v>
      </c>
      <c r="F1406">
        <f>HYPERLINK("http://pbs.twimg.com/media/DbTzowmXkAAaSzi.jpg", "http://pbs.twimg.com/media/DbTzowmXkAAaSzi.jpg")</f>
        <v/>
      </c>
      <c r="G1406" t="s"/>
      <c r="H1406" t="s"/>
      <c r="I1406" t="s"/>
      <c r="J1406" t="n">
        <v>0.3595</v>
      </c>
      <c r="K1406" t="n">
        <v>0</v>
      </c>
      <c r="L1406" t="n">
        <v>0.872</v>
      </c>
      <c r="M1406" t="n">
        <v>0.128</v>
      </c>
    </row>
    <row r="1407" spans="1:13">
      <c r="A1407" s="1">
        <f>HYPERLINK("http://www.twitter.com/NathanBLawrence/status/987695297555062786", "987695297555062786")</f>
        <v/>
      </c>
      <c r="B1407" s="2" t="n">
        <v>43211.59125</v>
      </c>
      <c r="C1407" t="n">
        <v>0</v>
      </c>
      <c r="D1407" t="n">
        <v>14442</v>
      </c>
      <c r="E1407" t="s">
        <v>1418</v>
      </c>
      <c r="F1407" t="s"/>
      <c r="G1407" t="s"/>
      <c r="H1407" t="s"/>
      <c r="I1407" t="s"/>
      <c r="J1407" t="n">
        <v>0</v>
      </c>
      <c r="K1407" t="n">
        <v>0</v>
      </c>
      <c r="L1407" t="n">
        <v>1</v>
      </c>
      <c r="M1407" t="n">
        <v>0</v>
      </c>
    </row>
    <row r="1408" spans="1:13">
      <c r="A1408" s="1">
        <f>HYPERLINK("http://www.twitter.com/NathanBLawrence/status/987695287882874881", "987695287882874881")</f>
        <v/>
      </c>
      <c r="B1408" s="2" t="n">
        <v>43211.59121527777</v>
      </c>
      <c r="C1408" t="n">
        <v>0</v>
      </c>
      <c r="D1408" t="n">
        <v>10714</v>
      </c>
      <c r="E1408" t="s">
        <v>1419</v>
      </c>
      <c r="F1408" t="s"/>
      <c r="G1408" t="s"/>
      <c r="H1408" t="s"/>
      <c r="I1408" t="s"/>
      <c r="J1408" t="n">
        <v>-0.2023</v>
      </c>
      <c r="K1408" t="n">
        <v>0.254</v>
      </c>
      <c r="L1408" t="n">
        <v>0.524</v>
      </c>
      <c r="M1408" t="n">
        <v>0.222</v>
      </c>
    </row>
    <row r="1409" spans="1:13">
      <c r="A1409" s="1">
        <f>HYPERLINK("http://www.twitter.com/NathanBLawrence/status/987695278458396673", "987695278458396673")</f>
        <v/>
      </c>
      <c r="B1409" s="2" t="n">
        <v>43211.59119212963</v>
      </c>
      <c r="C1409" t="n">
        <v>0</v>
      </c>
      <c r="D1409" t="n">
        <v>11280</v>
      </c>
      <c r="E1409" t="s">
        <v>1420</v>
      </c>
      <c r="F1409" t="s"/>
      <c r="G1409" t="s"/>
      <c r="H1409" t="s"/>
      <c r="I1409" t="s"/>
      <c r="J1409" t="n">
        <v>0.067</v>
      </c>
      <c r="K1409" t="n">
        <v>0.17</v>
      </c>
      <c r="L1409" t="n">
        <v>0.651</v>
      </c>
      <c r="M1409" t="n">
        <v>0.179</v>
      </c>
    </row>
    <row r="1410" spans="1:13">
      <c r="A1410" s="1">
        <f>HYPERLINK("http://www.twitter.com/NathanBLawrence/status/987548383580737536", "987548383580737536")</f>
        <v/>
      </c>
      <c r="B1410" s="2" t="n">
        <v>43211.18584490741</v>
      </c>
      <c r="C1410" t="n">
        <v>0</v>
      </c>
      <c r="D1410" t="n">
        <v>1037</v>
      </c>
      <c r="E1410" t="s">
        <v>1421</v>
      </c>
      <c r="F1410" t="s"/>
      <c r="G1410" t="s"/>
      <c r="H1410" t="s"/>
      <c r="I1410" t="s"/>
      <c r="J1410" t="n">
        <v>0</v>
      </c>
      <c r="K1410" t="n">
        <v>0</v>
      </c>
      <c r="L1410" t="n">
        <v>1</v>
      </c>
      <c r="M1410" t="n">
        <v>0</v>
      </c>
    </row>
    <row r="1411" spans="1:13">
      <c r="A1411" s="1">
        <f>HYPERLINK("http://www.twitter.com/NathanBLawrence/status/987548331118383104", "987548331118383104")</f>
        <v/>
      </c>
      <c r="B1411" s="2" t="n">
        <v>43211.18569444444</v>
      </c>
      <c r="C1411" t="n">
        <v>0</v>
      </c>
      <c r="D1411" t="n">
        <v>71</v>
      </c>
      <c r="E1411" t="s">
        <v>1422</v>
      </c>
      <c r="F1411" t="s"/>
      <c r="G1411" t="s"/>
      <c r="H1411" t="s"/>
      <c r="I1411" t="s"/>
      <c r="J1411" t="n">
        <v>0.5994</v>
      </c>
      <c r="K1411" t="n">
        <v>0</v>
      </c>
      <c r="L1411" t="n">
        <v>0.843</v>
      </c>
      <c r="M1411" t="n">
        <v>0.157</v>
      </c>
    </row>
    <row r="1412" spans="1:13">
      <c r="A1412" s="1">
        <f>HYPERLINK("http://www.twitter.com/NathanBLawrence/status/987548166940655617", "987548166940655617")</f>
        <v/>
      </c>
      <c r="B1412" s="2" t="n">
        <v>43211.18524305556</v>
      </c>
      <c r="C1412" t="n">
        <v>0</v>
      </c>
      <c r="D1412" t="n">
        <v>3770</v>
      </c>
      <c r="E1412" t="s">
        <v>1423</v>
      </c>
      <c r="F1412">
        <f>HYPERLINK("https://video.twimg.com/amplify_video/908517252034711553/vid/540x360/1hLSLu2MuJu6OfUc.mp4", "https://video.twimg.com/amplify_video/908517252034711553/vid/540x360/1hLSLu2MuJu6OfUc.mp4")</f>
        <v/>
      </c>
      <c r="G1412" t="s"/>
      <c r="H1412" t="s"/>
      <c r="I1412" t="s"/>
      <c r="J1412" t="n">
        <v>-0.1111</v>
      </c>
      <c r="K1412" t="n">
        <v>0.122</v>
      </c>
      <c r="L1412" t="n">
        <v>0.775</v>
      </c>
      <c r="M1412" t="n">
        <v>0.103</v>
      </c>
    </row>
    <row r="1413" spans="1:13">
      <c r="A1413" s="1">
        <f>HYPERLINK("http://www.twitter.com/NathanBLawrence/status/987547964825534464", "987547964825534464")</f>
        <v/>
      </c>
      <c r="B1413" s="2" t="n">
        <v>43211.1846875</v>
      </c>
      <c r="C1413" t="n">
        <v>0</v>
      </c>
      <c r="D1413" t="n">
        <v>24</v>
      </c>
      <c r="E1413" t="s">
        <v>1424</v>
      </c>
      <c r="F1413">
        <f>HYPERLINK("http://pbs.twimg.com/media/DbR4wLXVwAA2XEy.jpg", "http://pbs.twimg.com/media/DbR4wLXVwAA2XEy.jpg")</f>
        <v/>
      </c>
      <c r="G1413" t="s"/>
      <c r="H1413" t="s"/>
      <c r="I1413" t="s"/>
      <c r="J1413" t="n">
        <v>0</v>
      </c>
      <c r="K1413" t="n">
        <v>0</v>
      </c>
      <c r="L1413" t="n">
        <v>1</v>
      </c>
      <c r="M1413" t="n">
        <v>0</v>
      </c>
    </row>
    <row r="1414" spans="1:13">
      <c r="A1414" s="1">
        <f>HYPERLINK("http://www.twitter.com/NathanBLawrence/status/987547072835522560", "987547072835522560")</f>
        <v/>
      </c>
      <c r="B1414" s="2" t="n">
        <v>43211.18222222223</v>
      </c>
      <c r="C1414" t="n">
        <v>0</v>
      </c>
      <c r="D1414" t="n">
        <v>654</v>
      </c>
      <c r="E1414" t="s">
        <v>1425</v>
      </c>
      <c r="F1414" t="s"/>
      <c r="G1414" t="s"/>
      <c r="H1414" t="s"/>
      <c r="I1414" t="s"/>
      <c r="J1414" t="n">
        <v>0</v>
      </c>
      <c r="K1414" t="n">
        <v>0</v>
      </c>
      <c r="L1414" t="n">
        <v>1</v>
      </c>
      <c r="M1414" t="n">
        <v>0</v>
      </c>
    </row>
    <row r="1415" spans="1:13">
      <c r="A1415" s="1">
        <f>HYPERLINK("http://www.twitter.com/NathanBLawrence/status/987545975626567681", "987545975626567681")</f>
        <v/>
      </c>
      <c r="B1415" s="2" t="n">
        <v>43211.17918981481</v>
      </c>
      <c r="C1415" t="n">
        <v>0</v>
      </c>
      <c r="D1415" t="n">
        <v>4433</v>
      </c>
      <c r="E1415" t="s">
        <v>1426</v>
      </c>
      <c r="F1415" t="s"/>
      <c r="G1415" t="s"/>
      <c r="H1415" t="s"/>
      <c r="I1415" t="s"/>
      <c r="J1415" t="n">
        <v>0.6486</v>
      </c>
      <c r="K1415" t="n">
        <v>0.08599999999999999</v>
      </c>
      <c r="L1415" t="n">
        <v>0.612</v>
      </c>
      <c r="M1415" t="n">
        <v>0.302</v>
      </c>
    </row>
    <row r="1416" spans="1:13">
      <c r="A1416" s="1">
        <f>HYPERLINK("http://www.twitter.com/NathanBLawrence/status/987545794826964993", "987545794826964993")</f>
        <v/>
      </c>
      <c r="B1416" s="2" t="n">
        <v>43211.17869212963</v>
      </c>
      <c r="C1416" t="n">
        <v>0</v>
      </c>
      <c r="D1416" t="n">
        <v>202</v>
      </c>
      <c r="E1416" t="s">
        <v>1427</v>
      </c>
      <c r="F1416">
        <f>HYPERLINK("http://pbs.twimg.com/media/DbRSM1HVQAEjbkb.jpg", "http://pbs.twimg.com/media/DbRSM1HVQAEjbkb.jpg")</f>
        <v/>
      </c>
      <c r="G1416" t="s"/>
      <c r="H1416" t="s"/>
      <c r="I1416" t="s"/>
      <c r="J1416" t="n">
        <v>0.2023</v>
      </c>
      <c r="K1416" t="n">
        <v>0</v>
      </c>
      <c r="L1416" t="n">
        <v>0.893</v>
      </c>
      <c r="M1416" t="n">
        <v>0.107</v>
      </c>
    </row>
    <row r="1417" spans="1:13">
      <c r="A1417" s="1">
        <f>HYPERLINK("http://www.twitter.com/NathanBLawrence/status/987545503163351041", "987545503163351041")</f>
        <v/>
      </c>
      <c r="B1417" s="2" t="n">
        <v>43211.17789351852</v>
      </c>
      <c r="C1417" t="n">
        <v>0</v>
      </c>
      <c r="D1417" t="n">
        <v>231</v>
      </c>
      <c r="E1417" t="s">
        <v>1428</v>
      </c>
      <c r="F1417" t="s"/>
      <c r="G1417" t="s"/>
      <c r="H1417" t="s"/>
      <c r="I1417" t="s"/>
      <c r="J1417" t="n">
        <v>-0.296</v>
      </c>
      <c r="K1417" t="n">
        <v>0.128</v>
      </c>
      <c r="L1417" t="n">
        <v>0.872</v>
      </c>
      <c r="M1417" t="n">
        <v>0</v>
      </c>
    </row>
    <row r="1418" spans="1:13">
      <c r="A1418" s="1">
        <f>HYPERLINK("http://www.twitter.com/NathanBLawrence/status/987545269154799617", "987545269154799617")</f>
        <v/>
      </c>
      <c r="B1418" s="2" t="n">
        <v>43211.17724537037</v>
      </c>
      <c r="C1418" t="n">
        <v>0</v>
      </c>
      <c r="D1418" t="n">
        <v>31830</v>
      </c>
      <c r="E1418" t="s">
        <v>1429</v>
      </c>
      <c r="F1418" t="s"/>
      <c r="G1418" t="s"/>
      <c r="H1418" t="s"/>
      <c r="I1418" t="s"/>
      <c r="J1418" t="n">
        <v>-0.296</v>
      </c>
      <c r="K1418" t="n">
        <v>0.109</v>
      </c>
      <c r="L1418" t="n">
        <v>0.891</v>
      </c>
      <c r="M1418" t="n">
        <v>0</v>
      </c>
    </row>
    <row r="1419" spans="1:13">
      <c r="A1419" s="1">
        <f>HYPERLINK("http://www.twitter.com/NathanBLawrence/status/987354342050103297", "987354342050103297")</f>
        <v/>
      </c>
      <c r="B1419" s="2" t="n">
        <v>43210.65038194445</v>
      </c>
      <c r="C1419" t="n">
        <v>0</v>
      </c>
      <c r="D1419" t="n">
        <v>752</v>
      </c>
      <c r="E1419" t="s">
        <v>1430</v>
      </c>
      <c r="F1419" t="s"/>
      <c r="G1419" t="s"/>
      <c r="H1419" t="s"/>
      <c r="I1419" t="s"/>
      <c r="J1419" t="n">
        <v>0.5106000000000001</v>
      </c>
      <c r="K1419" t="n">
        <v>0.172</v>
      </c>
      <c r="L1419" t="n">
        <v>0.518</v>
      </c>
      <c r="M1419" t="n">
        <v>0.311</v>
      </c>
    </row>
    <row r="1420" spans="1:13">
      <c r="A1420" s="1">
        <f>HYPERLINK("http://www.twitter.com/NathanBLawrence/status/987354191436935168", "987354191436935168")</f>
        <v/>
      </c>
      <c r="B1420" s="2" t="n">
        <v>43210.64997685186</v>
      </c>
      <c r="C1420" t="n">
        <v>0</v>
      </c>
      <c r="D1420" t="n">
        <v>69</v>
      </c>
      <c r="E1420" t="s">
        <v>1431</v>
      </c>
      <c r="F1420" t="s"/>
      <c r="G1420" t="s"/>
      <c r="H1420" t="s"/>
      <c r="I1420" t="s"/>
      <c r="J1420" t="n">
        <v>0</v>
      </c>
      <c r="K1420" t="n">
        <v>0</v>
      </c>
      <c r="L1420" t="n">
        <v>1</v>
      </c>
      <c r="M1420" t="n">
        <v>0</v>
      </c>
    </row>
    <row r="1421" spans="1:13">
      <c r="A1421" s="1">
        <f>HYPERLINK("http://www.twitter.com/NathanBLawrence/status/987353640426983424", "987353640426983424")</f>
        <v/>
      </c>
      <c r="B1421" s="2" t="n">
        <v>43210.64844907408</v>
      </c>
      <c r="C1421" t="n">
        <v>0</v>
      </c>
      <c r="D1421" t="n">
        <v>45</v>
      </c>
      <c r="E1421" t="s">
        <v>1432</v>
      </c>
      <c r="F1421" t="s"/>
      <c r="G1421" t="s"/>
      <c r="H1421" t="s"/>
      <c r="I1421" t="s"/>
      <c r="J1421" t="n">
        <v>-0.3612</v>
      </c>
      <c r="K1421" t="n">
        <v>0.102</v>
      </c>
      <c r="L1421" t="n">
        <v>0.898</v>
      </c>
      <c r="M1421" t="n">
        <v>0</v>
      </c>
    </row>
    <row r="1422" spans="1:13">
      <c r="A1422" s="1">
        <f>HYPERLINK("http://www.twitter.com/NathanBLawrence/status/987353469777600514", "987353469777600514")</f>
        <v/>
      </c>
      <c r="B1422" s="2" t="n">
        <v>43210.64797453704</v>
      </c>
      <c r="C1422" t="n">
        <v>0</v>
      </c>
      <c r="D1422" t="n">
        <v>3</v>
      </c>
      <c r="E1422" t="s">
        <v>1433</v>
      </c>
      <c r="F1422" t="s"/>
      <c r="G1422" t="s"/>
      <c r="H1422" t="s"/>
      <c r="I1422" t="s"/>
      <c r="J1422" t="n">
        <v>-0.3875</v>
      </c>
      <c r="K1422" t="n">
        <v>0.127</v>
      </c>
      <c r="L1422" t="n">
        <v>0.873</v>
      </c>
      <c r="M1422" t="n">
        <v>0</v>
      </c>
    </row>
    <row r="1423" spans="1:13">
      <c r="A1423" s="1">
        <f>HYPERLINK("http://www.twitter.com/NathanBLawrence/status/987353078675406848", "987353078675406848")</f>
        <v/>
      </c>
      <c r="B1423" s="2" t="n">
        <v>43210.64689814814</v>
      </c>
      <c r="C1423" t="n">
        <v>0</v>
      </c>
      <c r="D1423" t="n">
        <v>3</v>
      </c>
      <c r="E1423" t="s">
        <v>1434</v>
      </c>
      <c r="F1423" t="s"/>
      <c r="G1423" t="s"/>
      <c r="H1423" t="s"/>
      <c r="I1423" t="s"/>
      <c r="J1423" t="n">
        <v>-0.743</v>
      </c>
      <c r="K1423" t="n">
        <v>0.344</v>
      </c>
      <c r="L1423" t="n">
        <v>0.656</v>
      </c>
      <c r="M1423" t="n">
        <v>0</v>
      </c>
    </row>
    <row r="1424" spans="1:13">
      <c r="A1424" s="1">
        <f>HYPERLINK("http://www.twitter.com/NathanBLawrence/status/987352722386145282", "987352722386145282")</f>
        <v/>
      </c>
      <c r="B1424" s="2" t="n">
        <v>43210.64591435185</v>
      </c>
      <c r="C1424" t="n">
        <v>0</v>
      </c>
      <c r="D1424" t="n">
        <v>45</v>
      </c>
      <c r="E1424" t="s">
        <v>1435</v>
      </c>
      <c r="F1424">
        <f>HYPERLINK("http://pbs.twimg.com/media/DbPEruNVMAA4fHj.jpg", "http://pbs.twimg.com/media/DbPEruNVMAA4fHj.jpg")</f>
        <v/>
      </c>
      <c r="G1424" t="s"/>
      <c r="H1424" t="s"/>
      <c r="I1424" t="s"/>
      <c r="J1424" t="n">
        <v>0.4404</v>
      </c>
      <c r="K1424" t="n">
        <v>0</v>
      </c>
      <c r="L1424" t="n">
        <v>0.873</v>
      </c>
      <c r="M1424" t="n">
        <v>0.127</v>
      </c>
    </row>
    <row r="1425" spans="1:13">
      <c r="A1425" s="1">
        <f>HYPERLINK("http://www.twitter.com/NathanBLawrence/status/987352354671480833", "987352354671480833")</f>
        <v/>
      </c>
      <c r="B1425" s="2" t="n">
        <v>43210.6449074074</v>
      </c>
      <c r="C1425" t="n">
        <v>0</v>
      </c>
      <c r="D1425" t="n">
        <v>910</v>
      </c>
      <c r="E1425" t="s">
        <v>1436</v>
      </c>
      <c r="F1425" t="s"/>
      <c r="G1425" t="s"/>
      <c r="H1425" t="s"/>
      <c r="I1425" t="s"/>
      <c r="J1425" t="n">
        <v>0</v>
      </c>
      <c r="K1425" t="n">
        <v>0</v>
      </c>
      <c r="L1425" t="n">
        <v>1</v>
      </c>
      <c r="M1425" t="n">
        <v>0</v>
      </c>
    </row>
    <row r="1426" spans="1:13">
      <c r="A1426" s="1">
        <f>HYPERLINK("http://www.twitter.com/NathanBLawrence/status/987351969357619202", "987351969357619202")</f>
        <v/>
      </c>
      <c r="B1426" s="2" t="n">
        <v>43210.6438425926</v>
      </c>
      <c r="C1426" t="n">
        <v>0</v>
      </c>
      <c r="D1426" t="n">
        <v>458</v>
      </c>
      <c r="E1426" t="s">
        <v>1437</v>
      </c>
      <c r="F1426">
        <f>HYPERLINK("http://pbs.twimg.com/media/DbMzDyUU8AAYE-s.jpg", "http://pbs.twimg.com/media/DbMzDyUU8AAYE-s.jpg")</f>
        <v/>
      </c>
      <c r="G1426" t="s"/>
      <c r="H1426" t="s"/>
      <c r="I1426" t="s"/>
      <c r="J1426" t="n">
        <v>-0.6249</v>
      </c>
      <c r="K1426" t="n">
        <v>0.163</v>
      </c>
      <c r="L1426" t="n">
        <v>0.837</v>
      </c>
      <c r="M1426" t="n">
        <v>0</v>
      </c>
    </row>
    <row r="1427" spans="1:13">
      <c r="A1427" s="1">
        <f>HYPERLINK("http://www.twitter.com/NathanBLawrence/status/987350205422022656", "987350205422022656")</f>
        <v/>
      </c>
      <c r="B1427" s="2" t="n">
        <v>43210.63896990741</v>
      </c>
      <c r="C1427" t="n">
        <v>0</v>
      </c>
      <c r="D1427" t="n">
        <v>88</v>
      </c>
      <c r="E1427" t="s">
        <v>1438</v>
      </c>
      <c r="F1427" t="s"/>
      <c r="G1427" t="s"/>
      <c r="H1427" t="s"/>
      <c r="I1427" t="s"/>
      <c r="J1427" t="n">
        <v>0.3182</v>
      </c>
      <c r="K1427" t="n">
        <v>0.149</v>
      </c>
      <c r="L1427" t="n">
        <v>0.621</v>
      </c>
      <c r="M1427" t="n">
        <v>0.23</v>
      </c>
    </row>
    <row r="1428" spans="1:13">
      <c r="A1428" s="1">
        <f>HYPERLINK("http://www.twitter.com/NathanBLawrence/status/987349935032094721", "987349935032094721")</f>
        <v/>
      </c>
      <c r="B1428" s="2" t="n">
        <v>43210.63822916667</v>
      </c>
      <c r="C1428" t="n">
        <v>0</v>
      </c>
      <c r="D1428" t="n">
        <v>23874</v>
      </c>
      <c r="E1428" t="s">
        <v>1439</v>
      </c>
      <c r="F1428" t="s"/>
      <c r="G1428" t="s"/>
      <c r="H1428" t="s"/>
      <c r="I1428" t="s"/>
      <c r="J1428" t="n">
        <v>0.3612</v>
      </c>
      <c r="K1428" t="n">
        <v>0</v>
      </c>
      <c r="L1428" t="n">
        <v>0.906</v>
      </c>
      <c r="M1428" t="n">
        <v>0.094</v>
      </c>
    </row>
    <row r="1429" spans="1:13">
      <c r="A1429" s="1">
        <f>HYPERLINK("http://www.twitter.com/NathanBLawrence/status/987349575571836929", "987349575571836929")</f>
        <v/>
      </c>
      <c r="B1429" s="2" t="n">
        <v>43210.6372337963</v>
      </c>
      <c r="C1429" t="n">
        <v>0</v>
      </c>
      <c r="D1429" t="n">
        <v>784</v>
      </c>
      <c r="E1429" t="s">
        <v>1440</v>
      </c>
      <c r="F1429" t="s"/>
      <c r="G1429" t="s"/>
      <c r="H1429" t="s"/>
      <c r="I1429" t="s"/>
      <c r="J1429" t="n">
        <v>-0.5574</v>
      </c>
      <c r="K1429" t="n">
        <v>0.167</v>
      </c>
      <c r="L1429" t="n">
        <v>0.833</v>
      </c>
      <c r="M1429" t="n">
        <v>0</v>
      </c>
    </row>
    <row r="1430" spans="1:13">
      <c r="A1430" s="1">
        <f>HYPERLINK("http://www.twitter.com/NathanBLawrence/status/987349484442136586", "987349484442136586")</f>
        <v/>
      </c>
      <c r="B1430" s="2" t="n">
        <v>43210.63697916667</v>
      </c>
      <c r="C1430" t="n">
        <v>0</v>
      </c>
      <c r="D1430" t="n">
        <v>353</v>
      </c>
      <c r="E1430" t="s">
        <v>1441</v>
      </c>
      <c r="F1430" t="s"/>
      <c r="G1430" t="s"/>
      <c r="H1430" t="s"/>
      <c r="I1430" t="s"/>
      <c r="J1430" t="n">
        <v>0.296</v>
      </c>
      <c r="K1430" t="n">
        <v>0</v>
      </c>
      <c r="L1430" t="n">
        <v>0.916</v>
      </c>
      <c r="M1430" t="n">
        <v>0.08400000000000001</v>
      </c>
    </row>
    <row r="1431" spans="1:13">
      <c r="A1431" s="1">
        <f>HYPERLINK("http://www.twitter.com/NathanBLawrence/status/987349372395491334", "987349372395491334")</f>
        <v/>
      </c>
      <c r="B1431" s="2" t="n">
        <v>43210.63667824074</v>
      </c>
      <c r="C1431" t="n">
        <v>0</v>
      </c>
      <c r="D1431" t="n">
        <v>1043</v>
      </c>
      <c r="E1431" t="s">
        <v>1442</v>
      </c>
      <c r="F1431">
        <f>HYPERLINK("https://video.twimg.com/ext_tw_video/987342295048511488/pu/vid/1280x720/JCag9VHxQC7QGdWi.mp4?tag=3", "https://video.twimg.com/ext_tw_video/987342295048511488/pu/vid/1280x720/JCag9VHxQC7QGdWi.mp4?tag=3")</f>
        <v/>
      </c>
      <c r="G1431" t="s"/>
      <c r="H1431" t="s"/>
      <c r="I1431" t="s"/>
      <c r="J1431" t="n">
        <v>0</v>
      </c>
      <c r="K1431" t="n">
        <v>0</v>
      </c>
      <c r="L1431" t="n">
        <v>1</v>
      </c>
      <c r="M1431" t="n">
        <v>0</v>
      </c>
    </row>
    <row r="1432" spans="1:13">
      <c r="A1432" s="1">
        <f>HYPERLINK("http://www.twitter.com/NathanBLawrence/status/987349213666336769", "987349213666336769")</f>
        <v/>
      </c>
      <c r="B1432" s="2" t="n">
        <v>43210.63623842593</v>
      </c>
      <c r="C1432" t="n">
        <v>0</v>
      </c>
      <c r="D1432" t="n">
        <v>114</v>
      </c>
      <c r="E1432" t="s">
        <v>1443</v>
      </c>
      <c r="F1432" t="s"/>
      <c r="G1432" t="s"/>
      <c r="H1432" t="s"/>
      <c r="I1432" t="s"/>
      <c r="J1432" t="n">
        <v>0.6369</v>
      </c>
      <c r="K1432" t="n">
        <v>0</v>
      </c>
      <c r="L1432" t="n">
        <v>0.776</v>
      </c>
      <c r="M1432" t="n">
        <v>0.224</v>
      </c>
    </row>
    <row r="1433" spans="1:13">
      <c r="A1433" s="1">
        <f>HYPERLINK("http://www.twitter.com/NathanBLawrence/status/987346396113199104", "987346396113199104")</f>
        <v/>
      </c>
      <c r="B1433" s="2" t="n">
        <v>43210.62846064815</v>
      </c>
      <c r="C1433" t="n">
        <v>0</v>
      </c>
      <c r="D1433" t="n">
        <v>2127</v>
      </c>
      <c r="E1433" t="s">
        <v>1444</v>
      </c>
      <c r="F1433">
        <f>HYPERLINK("http://pbs.twimg.com/media/DbJkj9oU0AAoV4K.jpg", "http://pbs.twimg.com/media/DbJkj9oU0AAoV4K.jpg")</f>
        <v/>
      </c>
      <c r="G1433" t="s"/>
      <c r="H1433" t="s"/>
      <c r="I1433" t="s"/>
      <c r="J1433" t="n">
        <v>0</v>
      </c>
      <c r="K1433" t="n">
        <v>0</v>
      </c>
      <c r="L1433" t="n">
        <v>1</v>
      </c>
      <c r="M1433" t="n">
        <v>0</v>
      </c>
    </row>
    <row r="1434" spans="1:13">
      <c r="A1434" s="1">
        <f>HYPERLINK("http://www.twitter.com/NathanBLawrence/status/987346290890694656", "987346290890694656")</f>
        <v/>
      </c>
      <c r="B1434" s="2" t="n">
        <v>43210.6281712963</v>
      </c>
      <c r="C1434" t="n">
        <v>0</v>
      </c>
      <c r="D1434" t="n">
        <v>265</v>
      </c>
      <c r="E1434" t="s">
        <v>1445</v>
      </c>
      <c r="F1434" t="s"/>
      <c r="G1434" t="s"/>
      <c r="H1434" t="s"/>
      <c r="I1434" t="s"/>
      <c r="J1434" t="n">
        <v>-0.3818</v>
      </c>
      <c r="K1434" t="n">
        <v>0.206</v>
      </c>
      <c r="L1434" t="n">
        <v>0.794</v>
      </c>
      <c r="M1434" t="n">
        <v>0</v>
      </c>
    </row>
    <row r="1435" spans="1:13">
      <c r="A1435" s="1">
        <f>HYPERLINK("http://www.twitter.com/NathanBLawrence/status/987346183801704448", "987346183801704448")</f>
        <v/>
      </c>
      <c r="B1435" s="2" t="n">
        <v>43210.62787037037</v>
      </c>
      <c r="C1435" t="n">
        <v>0</v>
      </c>
      <c r="D1435" t="n">
        <v>41</v>
      </c>
      <c r="E1435" t="s">
        <v>1446</v>
      </c>
      <c r="F1435" t="s"/>
      <c r="G1435" t="s"/>
      <c r="H1435" t="s"/>
      <c r="I1435" t="s"/>
      <c r="J1435" t="n">
        <v>-0.5994</v>
      </c>
      <c r="K1435" t="n">
        <v>0.145</v>
      </c>
      <c r="L1435" t="n">
        <v>0.855</v>
      </c>
      <c r="M1435" t="n">
        <v>0</v>
      </c>
    </row>
    <row r="1436" spans="1:13">
      <c r="A1436" s="1">
        <f>HYPERLINK("http://www.twitter.com/NathanBLawrence/status/987345974770139136", "987345974770139136")</f>
        <v/>
      </c>
      <c r="B1436" s="2" t="n">
        <v>43210.62730324074</v>
      </c>
      <c r="C1436" t="n">
        <v>0</v>
      </c>
      <c r="D1436" t="n">
        <v>381</v>
      </c>
      <c r="E1436" t="s">
        <v>1447</v>
      </c>
      <c r="F1436">
        <f>HYPERLINK("http://pbs.twimg.com/media/DbJ8L0tXUAYHWnB.jpg", "http://pbs.twimg.com/media/DbJ8L0tXUAYHWnB.jpg")</f>
        <v/>
      </c>
      <c r="G1436" t="s"/>
      <c r="H1436" t="s"/>
      <c r="I1436" t="s"/>
      <c r="J1436" t="n">
        <v>-0.6597</v>
      </c>
      <c r="K1436" t="n">
        <v>0.283</v>
      </c>
      <c r="L1436" t="n">
        <v>0.605</v>
      </c>
      <c r="M1436" t="n">
        <v>0.111</v>
      </c>
    </row>
    <row r="1437" spans="1:13">
      <c r="A1437" s="1">
        <f>HYPERLINK("http://www.twitter.com/NathanBLawrence/status/987345055764697088", "987345055764697088")</f>
        <v/>
      </c>
      <c r="B1437" s="2" t="n">
        <v>43210.62475694445</v>
      </c>
      <c r="C1437" t="n">
        <v>0</v>
      </c>
      <c r="D1437" t="n">
        <v>71</v>
      </c>
      <c r="E1437" t="s">
        <v>1448</v>
      </c>
      <c r="F1437" t="s"/>
      <c r="G1437" t="s"/>
      <c r="H1437" t="s"/>
      <c r="I1437" t="s"/>
      <c r="J1437" t="n">
        <v>0.3034</v>
      </c>
      <c r="K1437" t="n">
        <v>0</v>
      </c>
      <c r="L1437" t="n">
        <v>0.862</v>
      </c>
      <c r="M1437" t="n">
        <v>0.138</v>
      </c>
    </row>
    <row r="1438" spans="1:13">
      <c r="A1438" s="1">
        <f>HYPERLINK("http://www.twitter.com/NathanBLawrence/status/987187060778954752", "987187060778954752")</f>
        <v/>
      </c>
      <c r="B1438" s="2" t="n">
        <v>43210.18877314815</v>
      </c>
      <c r="C1438" t="n">
        <v>0</v>
      </c>
      <c r="D1438" t="n">
        <v>2090</v>
      </c>
      <c r="E1438" t="s">
        <v>1449</v>
      </c>
      <c r="F1438" t="s"/>
      <c r="G1438" t="s"/>
      <c r="H1438" t="s"/>
      <c r="I1438" t="s"/>
      <c r="J1438" t="n">
        <v>-0.1007</v>
      </c>
      <c r="K1438" t="n">
        <v>0.154</v>
      </c>
      <c r="L1438" t="n">
        <v>0.715</v>
      </c>
      <c r="M1438" t="n">
        <v>0.131</v>
      </c>
    </row>
    <row r="1439" spans="1:13">
      <c r="A1439" s="1">
        <f>HYPERLINK("http://www.twitter.com/NathanBLawrence/status/987186806562095104", "987186806562095104")</f>
        <v/>
      </c>
      <c r="B1439" s="2" t="n">
        <v>43210.1880787037</v>
      </c>
      <c r="C1439" t="n">
        <v>0</v>
      </c>
      <c r="D1439" t="n">
        <v>791</v>
      </c>
      <c r="E1439" t="s">
        <v>1450</v>
      </c>
      <c r="F1439">
        <f>HYPERLINK("http://pbs.twimg.com/media/DbLHBegUMAA_dOY.jpg", "http://pbs.twimg.com/media/DbLHBegUMAA_dOY.jpg")</f>
        <v/>
      </c>
      <c r="G1439" t="s"/>
      <c r="H1439" t="s"/>
      <c r="I1439" t="s"/>
      <c r="J1439" t="n">
        <v>0</v>
      </c>
      <c r="K1439" t="n">
        <v>0</v>
      </c>
      <c r="L1439" t="n">
        <v>1</v>
      </c>
      <c r="M1439" t="n">
        <v>0</v>
      </c>
    </row>
    <row r="1440" spans="1:13">
      <c r="A1440" s="1">
        <f>HYPERLINK("http://www.twitter.com/NathanBLawrence/status/987182482834407426", "987182482834407426")</f>
        <v/>
      </c>
      <c r="B1440" s="2" t="n">
        <v>43210.17614583333</v>
      </c>
      <c r="C1440" t="n">
        <v>0</v>
      </c>
      <c r="D1440" t="n">
        <v>428</v>
      </c>
      <c r="E1440" t="s">
        <v>1451</v>
      </c>
      <c r="F1440">
        <f>HYPERLINK("http://pbs.twimg.com/media/DbLq5_BWAAIQ5Zp.jpg", "http://pbs.twimg.com/media/DbLq5_BWAAIQ5Zp.jpg")</f>
        <v/>
      </c>
      <c r="G1440">
        <f>HYPERLINK("http://pbs.twimg.com/media/DbLJjK4XcAAyjpy.jpg", "http://pbs.twimg.com/media/DbLJjK4XcAAyjpy.jpg")</f>
        <v/>
      </c>
      <c r="H1440" t="s"/>
      <c r="I1440" t="s"/>
      <c r="J1440" t="n">
        <v>0.7712</v>
      </c>
      <c r="K1440" t="n">
        <v>0</v>
      </c>
      <c r="L1440" t="n">
        <v>0.705</v>
      </c>
      <c r="M1440" t="n">
        <v>0.295</v>
      </c>
    </row>
    <row r="1441" spans="1:13">
      <c r="A1441" s="1">
        <f>HYPERLINK("http://www.twitter.com/NathanBLawrence/status/986992775173419011", "986992775173419011")</f>
        <v/>
      </c>
      <c r="B1441" s="2" t="n">
        <v>43209.65265046297</v>
      </c>
      <c r="C1441" t="n">
        <v>0</v>
      </c>
      <c r="D1441" t="n">
        <v>1561</v>
      </c>
      <c r="E1441" t="s">
        <v>1452</v>
      </c>
      <c r="F1441" t="s"/>
      <c r="G1441" t="s"/>
      <c r="H1441" t="s"/>
      <c r="I1441" t="s"/>
      <c r="J1441" t="n">
        <v>0</v>
      </c>
      <c r="K1441" t="n">
        <v>0</v>
      </c>
      <c r="L1441" t="n">
        <v>1</v>
      </c>
      <c r="M1441" t="n">
        <v>0</v>
      </c>
    </row>
    <row r="1442" spans="1:13">
      <c r="A1442" s="1">
        <f>HYPERLINK("http://www.twitter.com/NathanBLawrence/status/986991343804313607", "986991343804313607")</f>
        <v/>
      </c>
      <c r="B1442" s="2" t="n">
        <v>43209.6487037037</v>
      </c>
      <c r="C1442" t="n">
        <v>0</v>
      </c>
      <c r="D1442" t="n">
        <v>412</v>
      </c>
      <c r="E1442" t="s">
        <v>1453</v>
      </c>
      <c r="F1442" t="s"/>
      <c r="G1442" t="s"/>
      <c r="H1442" t="s"/>
      <c r="I1442" t="s"/>
      <c r="J1442" t="n">
        <v>-0.6688</v>
      </c>
      <c r="K1442" t="n">
        <v>0.25</v>
      </c>
      <c r="L1442" t="n">
        <v>0.665</v>
      </c>
      <c r="M1442" t="n">
        <v>0.08500000000000001</v>
      </c>
    </row>
    <row r="1443" spans="1:13">
      <c r="A1443" s="1">
        <f>HYPERLINK("http://www.twitter.com/NathanBLawrence/status/986991004359282688", "986991004359282688")</f>
        <v/>
      </c>
      <c r="B1443" s="2" t="n">
        <v>43209.64776620371</v>
      </c>
      <c r="C1443" t="n">
        <v>0</v>
      </c>
      <c r="D1443" t="n">
        <v>420</v>
      </c>
      <c r="E1443" t="s">
        <v>1454</v>
      </c>
      <c r="F1443">
        <f>HYPERLINK("http://pbs.twimg.com/media/DbJ4FtlVMAAQxTe.jpg", "http://pbs.twimg.com/media/DbJ4FtlVMAAQxTe.jpg")</f>
        <v/>
      </c>
      <c r="G1443" t="s"/>
      <c r="H1443" t="s"/>
      <c r="I1443" t="s"/>
      <c r="J1443" t="n">
        <v>0.2484</v>
      </c>
      <c r="K1443" t="n">
        <v>0</v>
      </c>
      <c r="L1443" t="n">
        <v>0.917</v>
      </c>
      <c r="M1443" t="n">
        <v>0.083</v>
      </c>
    </row>
    <row r="1444" spans="1:13">
      <c r="A1444" s="1">
        <f>HYPERLINK("http://www.twitter.com/NathanBLawrence/status/986990909291196416", "986990909291196416")</f>
        <v/>
      </c>
      <c r="B1444" s="2" t="n">
        <v>43209.6475</v>
      </c>
      <c r="C1444" t="n">
        <v>0</v>
      </c>
      <c r="D1444" t="n">
        <v>554</v>
      </c>
      <c r="E1444" t="s">
        <v>1455</v>
      </c>
      <c r="F1444" t="s"/>
      <c r="G1444" t="s"/>
      <c r="H1444" t="s"/>
      <c r="I1444" t="s"/>
      <c r="J1444" t="n">
        <v>0</v>
      </c>
      <c r="K1444" t="n">
        <v>0</v>
      </c>
      <c r="L1444" t="n">
        <v>1</v>
      </c>
      <c r="M1444" t="n">
        <v>0</v>
      </c>
    </row>
    <row r="1445" spans="1:13">
      <c r="A1445" s="1">
        <f>HYPERLINK("http://www.twitter.com/NathanBLawrence/status/986990855688019973", "986990855688019973")</f>
        <v/>
      </c>
      <c r="B1445" s="2" t="n">
        <v>43209.64736111111</v>
      </c>
      <c r="C1445" t="n">
        <v>0</v>
      </c>
      <c r="D1445" t="n">
        <v>519</v>
      </c>
      <c r="E1445" t="s">
        <v>1456</v>
      </c>
      <c r="F1445">
        <f>HYPERLINK("http://pbs.twimg.com/media/DbGzNdhVAAAvZJb.jpg", "http://pbs.twimg.com/media/DbGzNdhVAAAvZJb.jpg")</f>
        <v/>
      </c>
      <c r="G1445" t="s"/>
      <c r="H1445" t="s"/>
      <c r="I1445" t="s"/>
      <c r="J1445" t="n">
        <v>0.3612</v>
      </c>
      <c r="K1445" t="n">
        <v>0</v>
      </c>
      <c r="L1445" t="n">
        <v>0.737</v>
      </c>
      <c r="M1445" t="n">
        <v>0.263</v>
      </c>
    </row>
    <row r="1446" spans="1:13">
      <c r="A1446" s="1">
        <f>HYPERLINK("http://www.twitter.com/NathanBLawrence/status/986990384868986880", "986990384868986880")</f>
        <v/>
      </c>
      <c r="B1446" s="2" t="n">
        <v>43209.64605324074</v>
      </c>
      <c r="C1446" t="n">
        <v>0</v>
      </c>
      <c r="D1446" t="n">
        <v>306</v>
      </c>
      <c r="E1446" t="s">
        <v>1457</v>
      </c>
      <c r="F1446" t="s"/>
      <c r="G1446" t="s"/>
      <c r="H1446" t="s"/>
      <c r="I1446" t="s"/>
      <c r="J1446" t="n">
        <v>-0.6457000000000001</v>
      </c>
      <c r="K1446" t="n">
        <v>0.283</v>
      </c>
      <c r="L1446" t="n">
        <v>0.6</v>
      </c>
      <c r="M1446" t="n">
        <v>0.117</v>
      </c>
    </row>
    <row r="1447" spans="1:13">
      <c r="A1447" s="1">
        <f>HYPERLINK("http://www.twitter.com/NathanBLawrence/status/986990049853140992", "986990049853140992")</f>
        <v/>
      </c>
      <c r="B1447" s="2" t="n">
        <v>43209.64512731481</v>
      </c>
      <c r="C1447" t="n">
        <v>0</v>
      </c>
      <c r="D1447" t="n">
        <v>14</v>
      </c>
      <c r="E1447" t="s">
        <v>1458</v>
      </c>
      <c r="F1447" t="s"/>
      <c r="G1447" t="s"/>
      <c r="H1447" t="s"/>
      <c r="I1447" t="s"/>
      <c r="J1447" t="n">
        <v>0</v>
      </c>
      <c r="K1447" t="n">
        <v>0</v>
      </c>
      <c r="L1447" t="n">
        <v>1</v>
      </c>
      <c r="M1447" t="n">
        <v>0</v>
      </c>
    </row>
    <row r="1448" spans="1:13">
      <c r="A1448" s="1">
        <f>HYPERLINK("http://www.twitter.com/NathanBLawrence/status/986989459643224065", "986989459643224065")</f>
        <v/>
      </c>
      <c r="B1448" s="2" t="n">
        <v>43209.64350694444</v>
      </c>
      <c r="C1448" t="n">
        <v>0</v>
      </c>
      <c r="D1448" t="n">
        <v>1407</v>
      </c>
      <c r="E1448" t="s">
        <v>1459</v>
      </c>
      <c r="F1448" t="s"/>
      <c r="G1448" t="s"/>
      <c r="H1448" t="s"/>
      <c r="I1448" t="s"/>
      <c r="J1448" t="n">
        <v>-0.5106000000000001</v>
      </c>
      <c r="K1448" t="n">
        <v>0.268</v>
      </c>
      <c r="L1448" t="n">
        <v>0.732</v>
      </c>
      <c r="M1448" t="n">
        <v>0</v>
      </c>
    </row>
    <row r="1449" spans="1:13">
      <c r="A1449" s="1">
        <f>HYPERLINK("http://www.twitter.com/NathanBLawrence/status/986988428117061642", "986988428117061642")</f>
        <v/>
      </c>
      <c r="B1449" s="2" t="n">
        <v>43209.64065972222</v>
      </c>
      <c r="C1449" t="n">
        <v>0</v>
      </c>
      <c r="D1449" t="n">
        <v>393</v>
      </c>
      <c r="E1449" t="s">
        <v>1460</v>
      </c>
      <c r="F1449">
        <f>HYPERLINK("http://pbs.twimg.com/media/DbJ19TRWsAAACGk.jpg", "http://pbs.twimg.com/media/DbJ19TRWsAAACGk.jpg")</f>
        <v/>
      </c>
      <c r="G1449" t="s"/>
      <c r="H1449" t="s"/>
      <c r="I1449" t="s"/>
      <c r="J1449" t="n">
        <v>-0.3818</v>
      </c>
      <c r="K1449" t="n">
        <v>0.106</v>
      </c>
      <c r="L1449" t="n">
        <v>0.894</v>
      </c>
      <c r="M1449" t="n">
        <v>0</v>
      </c>
    </row>
    <row r="1450" spans="1:13">
      <c r="A1450" s="1">
        <f>HYPERLINK("http://www.twitter.com/NathanBLawrence/status/986987497858183169", "986987497858183169")</f>
        <v/>
      </c>
      <c r="B1450" s="2" t="n">
        <v>43209.63809027777</v>
      </c>
      <c r="C1450" t="n">
        <v>0</v>
      </c>
      <c r="D1450" t="n">
        <v>88</v>
      </c>
      <c r="E1450" t="s">
        <v>1461</v>
      </c>
      <c r="F1450">
        <f>HYPERLINK("http://pbs.twimg.com/media/DbJd3fJU8AEoX4N.jpg", "http://pbs.twimg.com/media/DbJd3fJU8AEoX4N.jpg")</f>
        <v/>
      </c>
      <c r="G1450" t="s"/>
      <c r="H1450" t="s"/>
      <c r="I1450" t="s"/>
      <c r="J1450" t="n">
        <v>0.3182</v>
      </c>
      <c r="K1450" t="n">
        <v>0</v>
      </c>
      <c r="L1450" t="n">
        <v>0.881</v>
      </c>
      <c r="M1450" t="n">
        <v>0.119</v>
      </c>
    </row>
    <row r="1451" spans="1:13">
      <c r="A1451" s="1">
        <f>HYPERLINK("http://www.twitter.com/NathanBLawrence/status/986987254605340672", "986987254605340672")</f>
        <v/>
      </c>
      <c r="B1451" s="2" t="n">
        <v>43209.63741898148</v>
      </c>
      <c r="C1451" t="n">
        <v>0</v>
      </c>
      <c r="D1451" t="n">
        <v>726</v>
      </c>
      <c r="E1451" t="s">
        <v>1462</v>
      </c>
      <c r="F1451" t="s"/>
      <c r="G1451" t="s"/>
      <c r="H1451" t="s"/>
      <c r="I1451" t="s"/>
      <c r="J1451" t="n">
        <v>0.1531</v>
      </c>
      <c r="K1451" t="n">
        <v>0.076</v>
      </c>
      <c r="L1451" t="n">
        <v>0.828</v>
      </c>
      <c r="M1451" t="n">
        <v>0.097</v>
      </c>
    </row>
    <row r="1452" spans="1:13">
      <c r="A1452" s="1">
        <f>HYPERLINK("http://www.twitter.com/NathanBLawrence/status/986986967249424384", "986986967249424384")</f>
        <v/>
      </c>
      <c r="B1452" s="2" t="n">
        <v>43209.63662037037</v>
      </c>
      <c r="C1452" t="n">
        <v>0</v>
      </c>
      <c r="D1452" t="n">
        <v>198</v>
      </c>
      <c r="E1452" t="s">
        <v>1463</v>
      </c>
      <c r="F1452">
        <f>HYPERLINK("http://pbs.twimg.com/media/DbHIm7tU0AEJ9IN.jpg", "http://pbs.twimg.com/media/DbHIm7tU0AEJ9IN.jpg")</f>
        <v/>
      </c>
      <c r="G1452">
        <f>HYPERLINK("http://pbs.twimg.com/media/DbHInfRUMAAES_P.jpg", "http://pbs.twimg.com/media/DbHInfRUMAAES_P.jpg")</f>
        <v/>
      </c>
      <c r="H1452" t="s"/>
      <c r="I1452" t="s"/>
      <c r="J1452" t="n">
        <v>0</v>
      </c>
      <c r="K1452" t="n">
        <v>0</v>
      </c>
      <c r="L1452" t="n">
        <v>1</v>
      </c>
      <c r="M1452" t="n">
        <v>0</v>
      </c>
    </row>
    <row r="1453" spans="1:13">
      <c r="A1453" s="1">
        <f>HYPERLINK("http://www.twitter.com/NathanBLawrence/status/986986724801875969", "986986724801875969")</f>
        <v/>
      </c>
      <c r="B1453" s="2" t="n">
        <v>43209.63596064815</v>
      </c>
      <c r="C1453" t="n">
        <v>0</v>
      </c>
      <c r="D1453" t="n">
        <v>101</v>
      </c>
      <c r="E1453" t="s">
        <v>1464</v>
      </c>
      <c r="F1453" t="s"/>
      <c r="G1453" t="s"/>
      <c r="H1453" t="s"/>
      <c r="I1453" t="s"/>
      <c r="J1453" t="n">
        <v>0.5859</v>
      </c>
      <c r="K1453" t="n">
        <v>0</v>
      </c>
      <c r="L1453" t="n">
        <v>0.8169999999999999</v>
      </c>
      <c r="M1453" t="n">
        <v>0.183</v>
      </c>
    </row>
    <row r="1454" spans="1:13">
      <c r="A1454" s="1">
        <f>HYPERLINK("http://www.twitter.com/NathanBLawrence/status/986983514569674753", "986983514569674753")</f>
        <v/>
      </c>
      <c r="B1454" s="2" t="n">
        <v>43209.62709490741</v>
      </c>
      <c r="C1454" t="n">
        <v>0</v>
      </c>
      <c r="D1454" t="n">
        <v>180</v>
      </c>
      <c r="E1454" t="s">
        <v>1465</v>
      </c>
      <c r="F1454">
        <f>HYPERLINK("http://pbs.twimg.com/media/DbHp0L0W0AAwtC4.jpg", "http://pbs.twimg.com/media/DbHp0L0W0AAwtC4.jpg")</f>
        <v/>
      </c>
      <c r="G1454" t="s"/>
      <c r="H1454" t="s"/>
      <c r="I1454" t="s"/>
      <c r="J1454" t="n">
        <v>0.5719</v>
      </c>
      <c r="K1454" t="n">
        <v>0</v>
      </c>
      <c r="L1454" t="n">
        <v>0.837</v>
      </c>
      <c r="M1454" t="n">
        <v>0.163</v>
      </c>
    </row>
    <row r="1455" spans="1:13">
      <c r="A1455" s="1">
        <f>HYPERLINK("http://www.twitter.com/NathanBLawrence/status/986983176986939394", "986983176986939394")</f>
        <v/>
      </c>
      <c r="B1455" s="2" t="n">
        <v>43209.62616898148</v>
      </c>
      <c r="C1455" t="n">
        <v>0</v>
      </c>
      <c r="D1455" t="n">
        <v>532</v>
      </c>
      <c r="E1455" t="s">
        <v>1466</v>
      </c>
      <c r="F1455">
        <f>HYPERLINK("http://pbs.twimg.com/media/DbJwOOGWsAAhVwZ.jpg", "http://pbs.twimg.com/media/DbJwOOGWsAAhVwZ.jpg")</f>
        <v/>
      </c>
      <c r="G1455">
        <f>HYPERLINK("http://pbs.twimg.com/media/DbJwOODXcAI-5vR.jpg", "http://pbs.twimg.com/media/DbJwOODXcAI-5vR.jpg")</f>
        <v/>
      </c>
      <c r="H1455" t="s"/>
      <c r="I1455" t="s"/>
      <c r="J1455" t="n">
        <v>0.0772</v>
      </c>
      <c r="K1455" t="n">
        <v>0</v>
      </c>
      <c r="L1455" t="n">
        <v>0.9360000000000001</v>
      </c>
      <c r="M1455" t="n">
        <v>0.064</v>
      </c>
    </row>
    <row r="1456" spans="1:13">
      <c r="A1456" s="1">
        <f>HYPERLINK("http://www.twitter.com/NathanBLawrence/status/986976151422865409", "986976151422865409")</f>
        <v/>
      </c>
      <c r="B1456" s="2" t="n">
        <v>43209.60678240741</v>
      </c>
      <c r="C1456" t="n">
        <v>0</v>
      </c>
      <c r="D1456" t="n">
        <v>895</v>
      </c>
      <c r="E1456" t="s">
        <v>1467</v>
      </c>
      <c r="F1456">
        <f>HYPERLINK("http://pbs.twimg.com/media/DbHcrY8XcAEKLzu.jpg", "http://pbs.twimg.com/media/DbHcrY8XcAEKLzu.jpg")</f>
        <v/>
      </c>
      <c r="G1456">
        <f>HYPERLINK("http://pbs.twimg.com/media/DbHcrY8XUAUKYTO.jpg", "http://pbs.twimg.com/media/DbHcrY8XUAUKYTO.jpg")</f>
        <v/>
      </c>
      <c r="H1456" t="s"/>
      <c r="I1456" t="s"/>
      <c r="J1456" t="n">
        <v>0</v>
      </c>
      <c r="K1456" t="n">
        <v>0</v>
      </c>
      <c r="L1456" t="n">
        <v>1</v>
      </c>
      <c r="M1456" t="n">
        <v>0</v>
      </c>
    </row>
    <row r="1457" spans="1:13">
      <c r="A1457" s="1">
        <f>HYPERLINK("http://www.twitter.com/NathanBLawrence/status/986973580809338880", "986973580809338880")</f>
        <v/>
      </c>
      <c r="B1457" s="2" t="n">
        <v>43209.5996875</v>
      </c>
      <c r="C1457" t="n">
        <v>0</v>
      </c>
      <c r="D1457" t="n">
        <v>95</v>
      </c>
      <c r="E1457" t="s">
        <v>1468</v>
      </c>
      <c r="F1457" t="s"/>
      <c r="G1457" t="s"/>
      <c r="H1457" t="s"/>
      <c r="I1457" t="s"/>
      <c r="J1457" t="n">
        <v>0.296</v>
      </c>
      <c r="K1457" t="n">
        <v>0</v>
      </c>
      <c r="L1457" t="n">
        <v>0.891</v>
      </c>
      <c r="M1457" t="n">
        <v>0.109</v>
      </c>
    </row>
    <row r="1458" spans="1:13">
      <c r="A1458" s="1">
        <f>HYPERLINK("http://www.twitter.com/NathanBLawrence/status/986972378931646464", "986972378931646464")</f>
        <v/>
      </c>
      <c r="B1458" s="2" t="n">
        <v>43209.59636574074</v>
      </c>
      <c r="C1458" t="n">
        <v>0</v>
      </c>
      <c r="D1458" t="n">
        <v>586</v>
      </c>
      <c r="E1458" t="s">
        <v>1469</v>
      </c>
      <c r="F1458" t="s"/>
      <c r="G1458" t="s"/>
      <c r="H1458" t="s"/>
      <c r="I1458" t="s"/>
      <c r="J1458" t="n">
        <v>-0.0572</v>
      </c>
      <c r="K1458" t="n">
        <v>0.058</v>
      </c>
      <c r="L1458" t="n">
        <v>0.9419999999999999</v>
      </c>
      <c r="M1458" t="n">
        <v>0</v>
      </c>
    </row>
    <row r="1459" spans="1:13">
      <c r="A1459" s="1">
        <f>HYPERLINK("http://www.twitter.com/NathanBLawrence/status/986971774100344834", "986971774100344834")</f>
        <v/>
      </c>
      <c r="B1459" s="2" t="n">
        <v>43209.59469907408</v>
      </c>
      <c r="C1459" t="n">
        <v>0</v>
      </c>
      <c r="D1459" t="n">
        <v>419</v>
      </c>
      <c r="E1459" t="s">
        <v>1470</v>
      </c>
      <c r="F1459" t="s"/>
      <c r="G1459" t="s"/>
      <c r="H1459" t="s"/>
      <c r="I1459" t="s"/>
      <c r="J1459" t="n">
        <v>0.296</v>
      </c>
      <c r="K1459" t="n">
        <v>0.099</v>
      </c>
      <c r="L1459" t="n">
        <v>0.714</v>
      </c>
      <c r="M1459" t="n">
        <v>0.187</v>
      </c>
    </row>
    <row r="1460" spans="1:13">
      <c r="A1460" s="1">
        <f>HYPERLINK("http://www.twitter.com/NathanBLawrence/status/986969956272271365", "986969956272271365")</f>
        <v/>
      </c>
      <c r="B1460" s="2" t="n">
        <v>43209.5896875</v>
      </c>
      <c r="C1460" t="n">
        <v>0</v>
      </c>
      <c r="D1460" t="n">
        <v>6963</v>
      </c>
      <c r="E1460" t="s">
        <v>1471</v>
      </c>
      <c r="F1460" t="s"/>
      <c r="G1460" t="s"/>
      <c r="H1460" t="s"/>
      <c r="I1460" t="s"/>
      <c r="J1460" t="n">
        <v>0.4404</v>
      </c>
      <c r="K1460" t="n">
        <v>0</v>
      </c>
      <c r="L1460" t="n">
        <v>0.707</v>
      </c>
      <c r="M1460" t="n">
        <v>0.293</v>
      </c>
    </row>
    <row r="1461" spans="1:13">
      <c r="A1461" s="1">
        <f>HYPERLINK("http://www.twitter.com/NathanBLawrence/status/986968793602719746", "986968793602719746")</f>
        <v/>
      </c>
      <c r="B1461" s="2" t="n">
        <v>43209.58648148148</v>
      </c>
      <c r="C1461" t="n">
        <v>0</v>
      </c>
      <c r="D1461" t="n">
        <v>151</v>
      </c>
      <c r="E1461" t="s">
        <v>1472</v>
      </c>
      <c r="F1461" t="s"/>
      <c r="G1461" t="s"/>
      <c r="H1461" t="s"/>
      <c r="I1461" t="s"/>
      <c r="J1461" t="n">
        <v>-0.1027</v>
      </c>
      <c r="K1461" t="n">
        <v>0.113</v>
      </c>
      <c r="L1461" t="n">
        <v>0.887</v>
      </c>
      <c r="M1461" t="n">
        <v>0</v>
      </c>
    </row>
    <row r="1462" spans="1:13">
      <c r="A1462" s="1">
        <f>HYPERLINK("http://www.twitter.com/NathanBLawrence/status/986966954194931713", "986966954194931713")</f>
        <v/>
      </c>
      <c r="B1462" s="2" t="n">
        <v>43209.58140046296</v>
      </c>
      <c r="C1462" t="n">
        <v>0</v>
      </c>
      <c r="D1462" t="n">
        <v>604</v>
      </c>
      <c r="E1462" t="s">
        <v>1473</v>
      </c>
      <c r="F1462" t="s"/>
      <c r="G1462" t="s"/>
      <c r="H1462" t="s"/>
      <c r="I1462" t="s"/>
      <c r="J1462" t="n">
        <v>-0.6487000000000001</v>
      </c>
      <c r="K1462" t="n">
        <v>0.185</v>
      </c>
      <c r="L1462" t="n">
        <v>0.8149999999999999</v>
      </c>
      <c r="M1462" t="n">
        <v>0</v>
      </c>
    </row>
    <row r="1463" spans="1:13">
      <c r="A1463" s="1">
        <f>HYPERLINK("http://www.twitter.com/NathanBLawrence/status/986775321637785602", "986775321637785602")</f>
        <v/>
      </c>
      <c r="B1463" s="2" t="n">
        <v>43209.05259259259</v>
      </c>
      <c r="C1463" t="n">
        <v>0</v>
      </c>
      <c r="D1463" t="n">
        <v>831</v>
      </c>
      <c r="E1463" t="s">
        <v>1474</v>
      </c>
      <c r="F1463" t="s"/>
      <c r="G1463" t="s"/>
      <c r="H1463" t="s"/>
      <c r="I1463" t="s"/>
      <c r="J1463" t="n">
        <v>0</v>
      </c>
      <c r="K1463" t="n">
        <v>0</v>
      </c>
      <c r="L1463" t="n">
        <v>1</v>
      </c>
      <c r="M1463" t="n">
        <v>0</v>
      </c>
    </row>
    <row r="1464" spans="1:13">
      <c r="A1464" s="1">
        <f>HYPERLINK("http://www.twitter.com/NathanBLawrence/status/986775020004356096", "986775020004356096")</f>
        <v/>
      </c>
      <c r="B1464" s="2" t="n">
        <v>43209.05175925926</v>
      </c>
      <c r="C1464" t="n">
        <v>0</v>
      </c>
      <c r="D1464" t="n">
        <v>672</v>
      </c>
      <c r="E1464" t="s">
        <v>1475</v>
      </c>
      <c r="F1464" t="s"/>
      <c r="G1464" t="s"/>
      <c r="H1464" t="s"/>
      <c r="I1464" t="s"/>
      <c r="J1464" t="n">
        <v>-0.0516</v>
      </c>
      <c r="K1464" t="n">
        <v>0.066</v>
      </c>
      <c r="L1464" t="n">
        <v>0.9340000000000001</v>
      </c>
      <c r="M1464" t="n">
        <v>0</v>
      </c>
    </row>
    <row r="1465" spans="1:13">
      <c r="A1465" s="1">
        <f>HYPERLINK("http://www.twitter.com/NathanBLawrence/status/986774790156574720", "986774790156574720")</f>
        <v/>
      </c>
      <c r="B1465" s="2" t="n">
        <v>43209.05113425926</v>
      </c>
      <c r="C1465" t="n">
        <v>0</v>
      </c>
      <c r="D1465" t="n">
        <v>359</v>
      </c>
      <c r="E1465" t="s">
        <v>1476</v>
      </c>
      <c r="F1465">
        <f>HYPERLINK("https://video.twimg.com/amplify_video/986739485667971073/vid/720x720/0YCnXSVzvMn75V_i.mp4?tag=6", "https://video.twimg.com/amplify_video/986739485667971073/vid/720x720/0YCnXSVzvMn75V_i.mp4?tag=6")</f>
        <v/>
      </c>
      <c r="G1465" t="s"/>
      <c r="H1465" t="s"/>
      <c r="I1465" t="s"/>
      <c r="J1465" t="n">
        <v>-0.34</v>
      </c>
      <c r="K1465" t="n">
        <v>0.107</v>
      </c>
      <c r="L1465" t="n">
        <v>0.893</v>
      </c>
      <c r="M1465" t="n">
        <v>0</v>
      </c>
    </row>
    <row r="1466" spans="1:13">
      <c r="A1466" s="1">
        <f>HYPERLINK("http://www.twitter.com/NathanBLawrence/status/986774259862261760", "986774259862261760")</f>
        <v/>
      </c>
      <c r="B1466" s="2" t="n">
        <v>43209.04966435185</v>
      </c>
      <c r="C1466" t="n">
        <v>0</v>
      </c>
      <c r="D1466" t="n">
        <v>206</v>
      </c>
      <c r="E1466" t="s">
        <v>1477</v>
      </c>
      <c r="F1466">
        <f>HYPERLINK("http://pbs.twimg.com/media/DbG4W-uV4AAVmBF.jpg", "http://pbs.twimg.com/media/DbG4W-uV4AAVmBF.jpg")</f>
        <v/>
      </c>
      <c r="G1466" t="s"/>
      <c r="H1466" t="s"/>
      <c r="I1466" t="s"/>
      <c r="J1466" t="n">
        <v>0</v>
      </c>
      <c r="K1466" t="n">
        <v>0</v>
      </c>
      <c r="L1466" t="n">
        <v>1</v>
      </c>
      <c r="M1466" t="n">
        <v>0</v>
      </c>
    </row>
    <row r="1467" spans="1:13">
      <c r="A1467" s="1">
        <f>HYPERLINK("http://www.twitter.com/NathanBLawrence/status/986774017465077762", "986774017465077762")</f>
        <v/>
      </c>
      <c r="B1467" s="2" t="n">
        <v>43209.04899305556</v>
      </c>
      <c r="C1467" t="n">
        <v>0</v>
      </c>
      <c r="D1467" t="n">
        <v>334</v>
      </c>
      <c r="E1467" t="s">
        <v>1478</v>
      </c>
      <c r="F1467">
        <f>HYPERLINK("https://video.twimg.com/ext_tw_video/986759403994013697/pu/vid/1268x720/hyK9mifXaqWbGp5s.mp4?tag=3", "https://video.twimg.com/ext_tw_video/986759403994013697/pu/vid/1268x720/hyK9mifXaqWbGp5s.mp4?tag=3")</f>
        <v/>
      </c>
      <c r="G1467" t="s"/>
      <c r="H1467" t="s"/>
      <c r="I1467" t="s"/>
      <c r="J1467" t="n">
        <v>-0.7148</v>
      </c>
      <c r="K1467" t="n">
        <v>0.311</v>
      </c>
      <c r="L1467" t="n">
        <v>0.6889999999999999</v>
      </c>
      <c r="M1467" t="n">
        <v>0</v>
      </c>
    </row>
    <row r="1468" spans="1:13">
      <c r="A1468" s="1">
        <f>HYPERLINK("http://www.twitter.com/NathanBLawrence/status/986773201354199040", "986773201354199040")</f>
        <v/>
      </c>
      <c r="B1468" s="2" t="n">
        <v>43209.04674768518</v>
      </c>
      <c r="C1468" t="n">
        <v>0</v>
      </c>
      <c r="D1468" t="n">
        <v>243</v>
      </c>
      <c r="E1468" t="s">
        <v>1479</v>
      </c>
      <c r="F1468" t="s"/>
      <c r="G1468" t="s"/>
      <c r="H1468" t="s"/>
      <c r="I1468" t="s"/>
      <c r="J1468" t="n">
        <v>0.2732</v>
      </c>
      <c r="K1468" t="n">
        <v>0</v>
      </c>
      <c r="L1468" t="n">
        <v>0.913</v>
      </c>
      <c r="M1468" t="n">
        <v>0.08699999999999999</v>
      </c>
    </row>
    <row r="1469" spans="1:13">
      <c r="A1469" s="1">
        <f>HYPERLINK("http://www.twitter.com/NathanBLawrence/status/986772991823499265", "986772991823499265")</f>
        <v/>
      </c>
      <c r="B1469" s="2" t="n">
        <v>43209.04616898148</v>
      </c>
      <c r="C1469" t="n">
        <v>0</v>
      </c>
      <c r="D1469" t="n">
        <v>417</v>
      </c>
      <c r="E1469" t="s">
        <v>1480</v>
      </c>
      <c r="F1469" t="s"/>
      <c r="G1469" t="s"/>
      <c r="H1469" t="s"/>
      <c r="I1469" t="s"/>
      <c r="J1469" t="n">
        <v>-0.4767</v>
      </c>
      <c r="K1469" t="n">
        <v>0.252</v>
      </c>
      <c r="L1469" t="n">
        <v>0.598</v>
      </c>
      <c r="M1469" t="n">
        <v>0.15</v>
      </c>
    </row>
    <row r="1470" spans="1:13">
      <c r="A1470" s="1">
        <f>HYPERLINK("http://www.twitter.com/NathanBLawrence/status/986746305509765120", "986746305509765120")</f>
        <v/>
      </c>
      <c r="B1470" s="2" t="n">
        <v>43208.97252314815</v>
      </c>
      <c r="C1470" t="n">
        <v>0</v>
      </c>
      <c r="D1470" t="n">
        <v>88</v>
      </c>
      <c r="E1470" t="s">
        <v>1481</v>
      </c>
      <c r="F1470" t="s"/>
      <c r="G1470" t="s"/>
      <c r="H1470" t="s"/>
      <c r="I1470" t="s"/>
      <c r="J1470" t="n">
        <v>-0.2516</v>
      </c>
      <c r="K1470" t="n">
        <v>0.074</v>
      </c>
      <c r="L1470" t="n">
        <v>0.926</v>
      </c>
      <c r="M1470" t="n">
        <v>0</v>
      </c>
    </row>
    <row r="1471" spans="1:13">
      <c r="A1471" s="1">
        <f>HYPERLINK("http://www.twitter.com/NathanBLawrence/status/986744643864944641", "986744643864944641")</f>
        <v/>
      </c>
      <c r="B1471" s="2" t="n">
        <v>43208.96793981481</v>
      </c>
      <c r="C1471" t="n">
        <v>0</v>
      </c>
      <c r="D1471" t="n">
        <v>10414</v>
      </c>
      <c r="E1471" t="s">
        <v>1482</v>
      </c>
      <c r="F1471" t="s"/>
      <c r="G1471" t="s"/>
      <c r="H1471" t="s"/>
      <c r="I1471" t="s"/>
      <c r="J1471" t="n">
        <v>0.4215</v>
      </c>
      <c r="K1471" t="n">
        <v>0</v>
      </c>
      <c r="L1471" t="n">
        <v>0.872</v>
      </c>
      <c r="M1471" t="n">
        <v>0.128</v>
      </c>
    </row>
    <row r="1472" spans="1:13">
      <c r="A1472" s="1">
        <f>HYPERLINK("http://www.twitter.com/NathanBLawrence/status/986744466374561793", "986744466374561793")</f>
        <v/>
      </c>
      <c r="B1472" s="2" t="n">
        <v>43208.96745370371</v>
      </c>
      <c r="C1472" t="n">
        <v>0</v>
      </c>
      <c r="D1472" t="n">
        <v>162</v>
      </c>
      <c r="E1472" t="s">
        <v>1483</v>
      </c>
      <c r="F1472">
        <f>HYPERLINK("http://pbs.twimg.com/media/DbD-AfjV4AAsL4A.jpg", "http://pbs.twimg.com/media/DbD-AfjV4AAsL4A.jpg")</f>
        <v/>
      </c>
      <c r="G1472" t="s"/>
      <c r="H1472" t="s"/>
      <c r="I1472" t="s"/>
      <c r="J1472" t="n">
        <v>-0.1901</v>
      </c>
      <c r="K1472" t="n">
        <v>0.077</v>
      </c>
      <c r="L1472" t="n">
        <v>0.923</v>
      </c>
      <c r="M1472" t="n">
        <v>0</v>
      </c>
    </row>
    <row r="1473" spans="1:13">
      <c r="A1473" s="1">
        <f>HYPERLINK("http://www.twitter.com/NathanBLawrence/status/986743482952962049", "986743482952962049")</f>
        <v/>
      </c>
      <c r="B1473" s="2" t="n">
        <v>43208.9647337963</v>
      </c>
      <c r="C1473" t="n">
        <v>0</v>
      </c>
      <c r="D1473" t="n">
        <v>2</v>
      </c>
      <c r="E1473" t="s">
        <v>1484</v>
      </c>
      <c r="F1473" t="s"/>
      <c r="G1473" t="s"/>
      <c r="H1473" t="s"/>
      <c r="I1473" t="s"/>
      <c r="J1473" t="n">
        <v>0.3818</v>
      </c>
      <c r="K1473" t="n">
        <v>0</v>
      </c>
      <c r="L1473" t="n">
        <v>0.536</v>
      </c>
      <c r="M1473" t="n">
        <v>0.464</v>
      </c>
    </row>
    <row r="1474" spans="1:13">
      <c r="A1474" s="1">
        <f>HYPERLINK("http://www.twitter.com/NathanBLawrence/status/986742851253006337", "986742851253006337")</f>
        <v/>
      </c>
      <c r="B1474" s="2" t="n">
        <v>43208.96299768519</v>
      </c>
      <c r="C1474" t="n">
        <v>0</v>
      </c>
      <c r="D1474" t="n">
        <v>2748</v>
      </c>
      <c r="E1474" t="s">
        <v>1485</v>
      </c>
      <c r="F1474">
        <f>HYPERLINK("http://pbs.twimg.com/media/DbE6KsKW0AEkbWR.jpg", "http://pbs.twimg.com/media/DbE6KsKW0AEkbWR.jpg")</f>
        <v/>
      </c>
      <c r="G1474">
        <f>HYPERLINK("http://pbs.twimg.com/media/DbE6M4WWAAIXyLU.jpg", "http://pbs.twimg.com/media/DbE6M4WWAAIXyLU.jpg")</f>
        <v/>
      </c>
      <c r="H1474">
        <f>HYPERLINK("http://pbs.twimg.com/media/DbE6NrvXUAAAbC2.jpg", "http://pbs.twimg.com/media/DbE6NrvXUAAAbC2.jpg")</f>
        <v/>
      </c>
      <c r="I1474">
        <f>HYPERLINK("http://pbs.twimg.com/media/DbE6OcsWkAssR5F.jpg", "http://pbs.twimg.com/media/DbE6OcsWkAssR5F.jpg")</f>
        <v/>
      </c>
      <c r="J1474" t="n">
        <v>-0.5423</v>
      </c>
      <c r="K1474" t="n">
        <v>0.179</v>
      </c>
      <c r="L1474" t="n">
        <v>0.821</v>
      </c>
      <c r="M1474" t="n">
        <v>0</v>
      </c>
    </row>
    <row r="1475" spans="1:13">
      <c r="A1475" s="1">
        <f>HYPERLINK("http://www.twitter.com/NathanBLawrence/status/986741104388255745", "986741104388255745")</f>
        <v/>
      </c>
      <c r="B1475" s="2" t="n">
        <v>43208.9581712963</v>
      </c>
      <c r="C1475" t="n">
        <v>0</v>
      </c>
      <c r="D1475" t="n">
        <v>790</v>
      </c>
      <c r="E1475" t="s">
        <v>1486</v>
      </c>
      <c r="F1475" t="s"/>
      <c r="G1475" t="s"/>
      <c r="H1475" t="s"/>
      <c r="I1475" t="s"/>
      <c r="J1475" t="n">
        <v>0.8633</v>
      </c>
      <c r="K1475" t="n">
        <v>0</v>
      </c>
      <c r="L1475" t="n">
        <v>0.653</v>
      </c>
      <c r="M1475" t="n">
        <v>0.347</v>
      </c>
    </row>
    <row r="1476" spans="1:13">
      <c r="A1476" s="1">
        <f>HYPERLINK("http://www.twitter.com/NathanBLawrence/status/986738354602627072", "986738354602627072")</f>
        <v/>
      </c>
      <c r="B1476" s="2" t="n">
        <v>43208.95059027777</v>
      </c>
      <c r="C1476" t="n">
        <v>0</v>
      </c>
      <c r="D1476" t="n">
        <v>18</v>
      </c>
      <c r="E1476" t="s">
        <v>1487</v>
      </c>
      <c r="F1476" t="s"/>
      <c r="G1476" t="s"/>
      <c r="H1476" t="s"/>
      <c r="I1476" t="s"/>
      <c r="J1476" t="n">
        <v>0</v>
      </c>
      <c r="K1476" t="n">
        <v>0</v>
      </c>
      <c r="L1476" t="n">
        <v>1</v>
      </c>
      <c r="M1476" t="n">
        <v>0</v>
      </c>
    </row>
    <row r="1477" spans="1:13">
      <c r="A1477" s="1">
        <f>HYPERLINK("http://www.twitter.com/NathanBLawrence/status/986737749284806656", "986737749284806656")</f>
        <v/>
      </c>
      <c r="B1477" s="2" t="n">
        <v>43208.94891203703</v>
      </c>
      <c r="C1477" t="n">
        <v>0</v>
      </c>
      <c r="D1477" t="n">
        <v>20</v>
      </c>
      <c r="E1477" t="s">
        <v>1488</v>
      </c>
      <c r="F1477" t="s"/>
      <c r="G1477" t="s"/>
      <c r="H1477" t="s"/>
      <c r="I1477" t="s"/>
      <c r="J1477" t="n">
        <v>0</v>
      </c>
      <c r="K1477" t="n">
        <v>0</v>
      </c>
      <c r="L1477" t="n">
        <v>1</v>
      </c>
      <c r="M1477" t="n">
        <v>0</v>
      </c>
    </row>
    <row r="1478" spans="1:13">
      <c r="A1478" s="1">
        <f>HYPERLINK("http://www.twitter.com/NathanBLawrence/status/986737353967497216", "986737353967497216")</f>
        <v/>
      </c>
      <c r="B1478" s="2" t="n">
        <v>43208.94782407407</v>
      </c>
      <c r="C1478" t="n">
        <v>0</v>
      </c>
      <c r="D1478" t="n">
        <v>12</v>
      </c>
      <c r="E1478" t="s">
        <v>1489</v>
      </c>
      <c r="F1478" t="s"/>
      <c r="G1478" t="s"/>
      <c r="H1478" t="s"/>
      <c r="I1478" t="s"/>
      <c r="J1478" t="n">
        <v>0</v>
      </c>
      <c r="K1478" t="n">
        <v>0</v>
      </c>
      <c r="L1478" t="n">
        <v>1</v>
      </c>
      <c r="M1478" t="n">
        <v>0</v>
      </c>
    </row>
    <row r="1479" spans="1:13">
      <c r="A1479" s="1">
        <f>HYPERLINK("http://www.twitter.com/NathanBLawrence/status/986737196840423424", "986737196840423424")</f>
        <v/>
      </c>
      <c r="B1479" s="2" t="n">
        <v>43208.94739583333</v>
      </c>
      <c r="C1479" t="n">
        <v>0</v>
      </c>
      <c r="D1479" t="n">
        <v>260</v>
      </c>
      <c r="E1479" t="s">
        <v>1490</v>
      </c>
      <c r="F1479">
        <f>HYPERLINK("http://pbs.twimg.com/media/DbF3qILVwAAeQNG.jpg", "http://pbs.twimg.com/media/DbF3qILVwAAeQNG.jpg")</f>
        <v/>
      </c>
      <c r="G1479" t="s"/>
      <c r="H1479" t="s"/>
      <c r="I1479" t="s"/>
      <c r="J1479" t="n">
        <v>0</v>
      </c>
      <c r="K1479" t="n">
        <v>0</v>
      </c>
      <c r="L1479" t="n">
        <v>1</v>
      </c>
      <c r="M1479" t="n">
        <v>0</v>
      </c>
    </row>
    <row r="1480" spans="1:13">
      <c r="A1480" s="1">
        <f>HYPERLINK("http://www.twitter.com/NathanBLawrence/status/986736385016188928", "986736385016188928")</f>
        <v/>
      </c>
      <c r="B1480" s="2" t="n">
        <v>43208.94515046296</v>
      </c>
      <c r="C1480" t="n">
        <v>0</v>
      </c>
      <c r="D1480" t="n">
        <v>740</v>
      </c>
      <c r="E1480" t="s">
        <v>1491</v>
      </c>
      <c r="F1480">
        <f>HYPERLINK("http://pbs.twimg.com/media/DbEsDHYVwAACKd9.jpg", "http://pbs.twimg.com/media/DbEsDHYVwAACKd9.jpg")</f>
        <v/>
      </c>
      <c r="G1480" t="s"/>
      <c r="H1480" t="s"/>
      <c r="I1480" t="s"/>
      <c r="J1480" t="n">
        <v>-0.5994</v>
      </c>
      <c r="K1480" t="n">
        <v>0.145</v>
      </c>
      <c r="L1480" t="n">
        <v>0.855</v>
      </c>
      <c r="M1480" t="n">
        <v>0</v>
      </c>
    </row>
    <row r="1481" spans="1:13">
      <c r="A1481" s="1">
        <f>HYPERLINK("http://www.twitter.com/NathanBLawrence/status/986736202886909953", "986736202886909953")</f>
        <v/>
      </c>
      <c r="B1481" s="2" t="n">
        <v>43208.94465277778</v>
      </c>
      <c r="C1481" t="n">
        <v>0</v>
      </c>
      <c r="D1481" t="n">
        <v>615</v>
      </c>
      <c r="E1481" t="s">
        <v>1492</v>
      </c>
      <c r="F1481">
        <f>HYPERLINK("http://pbs.twimg.com/media/DbF0Xd6X0AAlRgs.jpg", "http://pbs.twimg.com/media/DbF0Xd6X0AAlRgs.jpg")</f>
        <v/>
      </c>
      <c r="G1481" t="s"/>
      <c r="H1481" t="s"/>
      <c r="I1481" t="s"/>
      <c r="J1481" t="n">
        <v>0.891</v>
      </c>
      <c r="K1481" t="n">
        <v>0</v>
      </c>
      <c r="L1481" t="n">
        <v>0.642</v>
      </c>
      <c r="M1481" t="n">
        <v>0.358</v>
      </c>
    </row>
    <row r="1482" spans="1:13">
      <c r="A1482" s="1">
        <f>HYPERLINK("http://www.twitter.com/NathanBLawrence/status/986735991368151040", "986735991368151040")</f>
        <v/>
      </c>
      <c r="B1482" s="2" t="n">
        <v>43208.9440625</v>
      </c>
      <c r="C1482" t="n">
        <v>0</v>
      </c>
      <c r="D1482" t="n">
        <v>157</v>
      </c>
      <c r="E1482" t="s">
        <v>1493</v>
      </c>
      <c r="F1482">
        <f>HYPERLINK("https://video.twimg.com/amplify_video/986732893358571520/vid/640x360/46Gz53nh6yBd2ktk.mp4?tag=6", "https://video.twimg.com/amplify_video/986732893358571520/vid/640x360/46Gz53nh6yBd2ktk.mp4?tag=6")</f>
        <v/>
      </c>
      <c r="G1482" t="s"/>
      <c r="H1482" t="s"/>
      <c r="I1482" t="s"/>
      <c r="J1482" t="n">
        <v>0</v>
      </c>
      <c r="K1482" t="n">
        <v>0</v>
      </c>
      <c r="L1482" t="n">
        <v>1</v>
      </c>
      <c r="M1482" t="n">
        <v>0</v>
      </c>
    </row>
    <row r="1483" spans="1:13">
      <c r="A1483" s="1">
        <f>HYPERLINK("http://www.twitter.com/NathanBLawrence/status/986735540606259201", "986735540606259201")</f>
        <v/>
      </c>
      <c r="B1483" s="2" t="n">
        <v>43208.94282407407</v>
      </c>
      <c r="C1483" t="n">
        <v>0</v>
      </c>
      <c r="D1483" t="n">
        <v>108</v>
      </c>
      <c r="E1483" t="s">
        <v>1494</v>
      </c>
      <c r="F1483" t="s"/>
      <c r="G1483" t="s"/>
      <c r="H1483" t="s"/>
      <c r="I1483" t="s"/>
      <c r="J1483" t="n">
        <v>0</v>
      </c>
      <c r="K1483" t="n">
        <v>0</v>
      </c>
      <c r="L1483" t="n">
        <v>1</v>
      </c>
      <c r="M1483" t="n">
        <v>0</v>
      </c>
    </row>
    <row r="1484" spans="1:13">
      <c r="A1484" s="1">
        <f>HYPERLINK("http://www.twitter.com/NathanBLawrence/status/986735219800670210", "986735219800670210")</f>
        <v/>
      </c>
      <c r="B1484" s="2" t="n">
        <v>43208.94193287037</v>
      </c>
      <c r="C1484" t="n">
        <v>0</v>
      </c>
      <c r="D1484" t="n">
        <v>262</v>
      </c>
      <c r="E1484" t="s">
        <v>1495</v>
      </c>
      <c r="F1484">
        <f>HYPERLINK("http://pbs.twimg.com/media/DbGPhghXkAE01nD.jpg", "http://pbs.twimg.com/media/DbGPhghXkAE01nD.jpg")</f>
        <v/>
      </c>
      <c r="G1484" t="s"/>
      <c r="H1484" t="s"/>
      <c r="I1484" t="s"/>
      <c r="J1484" t="n">
        <v>0.5423</v>
      </c>
      <c r="K1484" t="n">
        <v>0</v>
      </c>
      <c r="L1484" t="n">
        <v>0.632</v>
      </c>
      <c r="M1484" t="n">
        <v>0.368</v>
      </c>
    </row>
    <row r="1485" spans="1:13">
      <c r="A1485" s="1">
        <f>HYPERLINK("http://www.twitter.com/NathanBLawrence/status/986735116285292544", "986735116285292544")</f>
        <v/>
      </c>
      <c r="B1485" s="2" t="n">
        <v>43208.9416550926</v>
      </c>
      <c r="C1485" t="n">
        <v>0</v>
      </c>
      <c r="D1485" t="n">
        <v>100</v>
      </c>
      <c r="E1485" t="s">
        <v>1496</v>
      </c>
      <c r="F1485">
        <f>HYPERLINK("http://pbs.twimg.com/media/DbGPQ1nVAAAbAGX.jpg", "http://pbs.twimg.com/media/DbGPQ1nVAAAbAGX.jpg")</f>
        <v/>
      </c>
      <c r="G1485" t="s"/>
      <c r="H1485" t="s"/>
      <c r="I1485" t="s"/>
      <c r="J1485" t="n">
        <v>0.2714</v>
      </c>
      <c r="K1485" t="n">
        <v>0</v>
      </c>
      <c r="L1485" t="n">
        <v>0.905</v>
      </c>
      <c r="M1485" t="n">
        <v>0.095</v>
      </c>
    </row>
    <row r="1486" spans="1:13">
      <c r="A1486" s="1">
        <f>HYPERLINK("http://www.twitter.com/NathanBLawrence/status/986727284718567425", "986727284718567425")</f>
        <v/>
      </c>
      <c r="B1486" s="2" t="n">
        <v>43208.92003472222</v>
      </c>
      <c r="C1486" t="n">
        <v>0</v>
      </c>
      <c r="D1486" t="n">
        <v>465</v>
      </c>
      <c r="E1486" t="s">
        <v>1497</v>
      </c>
      <c r="F1486">
        <f>HYPERLINK("http://pbs.twimg.com/media/DbFzMrxVAAEYCRR.jpg", "http://pbs.twimg.com/media/DbFzMrxVAAEYCRR.jpg")</f>
        <v/>
      </c>
      <c r="G1486" t="s"/>
      <c r="H1486" t="s"/>
      <c r="I1486" t="s"/>
      <c r="J1486" t="n">
        <v>-0.5266999999999999</v>
      </c>
      <c r="K1486" t="n">
        <v>0.207</v>
      </c>
      <c r="L1486" t="n">
        <v>0.793</v>
      </c>
      <c r="M1486" t="n">
        <v>0</v>
      </c>
    </row>
    <row r="1487" spans="1:13">
      <c r="A1487" s="1">
        <f>HYPERLINK("http://www.twitter.com/NathanBLawrence/status/986727062005321731", "986727062005321731")</f>
        <v/>
      </c>
      <c r="B1487" s="2" t="n">
        <v>43208.9194212963</v>
      </c>
      <c r="C1487" t="n">
        <v>0</v>
      </c>
      <c r="D1487" t="n">
        <v>3174</v>
      </c>
      <c r="E1487" t="s">
        <v>1498</v>
      </c>
      <c r="F1487">
        <f>HYPERLINK("http://pbs.twimg.com/media/DbFv5VwU0AAn0Eg.jpg", "http://pbs.twimg.com/media/DbFv5VwU0AAn0Eg.jpg")</f>
        <v/>
      </c>
      <c r="G1487" t="s"/>
      <c r="H1487" t="s"/>
      <c r="I1487" t="s"/>
      <c r="J1487" t="n">
        <v>0.836</v>
      </c>
      <c r="K1487" t="n">
        <v>0</v>
      </c>
      <c r="L1487" t="n">
        <v>0.602</v>
      </c>
      <c r="M1487" t="n">
        <v>0.398</v>
      </c>
    </row>
    <row r="1488" spans="1:13">
      <c r="A1488" s="1">
        <f>HYPERLINK("http://www.twitter.com/NathanBLawrence/status/986726825148796929", "986726825148796929")</f>
        <v/>
      </c>
      <c r="B1488" s="2" t="n">
        <v>43208.91877314815</v>
      </c>
      <c r="C1488" t="n">
        <v>0</v>
      </c>
      <c r="D1488" t="n">
        <v>15157</v>
      </c>
      <c r="E1488" t="s">
        <v>1499</v>
      </c>
      <c r="F1488">
        <f>HYPERLINK("http://pbs.twimg.com/media/DbGAJeoVQAABeuv.jpg", "http://pbs.twimg.com/media/DbGAJeoVQAABeuv.jpg")</f>
        <v/>
      </c>
      <c r="G1488" t="s"/>
      <c r="H1488" t="s"/>
      <c r="I1488" t="s"/>
      <c r="J1488" t="n">
        <v>0.4404</v>
      </c>
      <c r="K1488" t="n">
        <v>0</v>
      </c>
      <c r="L1488" t="n">
        <v>0.868</v>
      </c>
      <c r="M1488" t="n">
        <v>0.132</v>
      </c>
    </row>
    <row r="1489" spans="1:13">
      <c r="A1489" s="1">
        <f>HYPERLINK("http://www.twitter.com/NathanBLawrence/status/986726511934935042", "986726511934935042")</f>
        <v/>
      </c>
      <c r="B1489" s="2" t="n">
        <v>43208.9179050926</v>
      </c>
      <c r="C1489" t="n">
        <v>0</v>
      </c>
      <c r="D1489" t="n">
        <v>1452</v>
      </c>
      <c r="E1489" t="s">
        <v>1500</v>
      </c>
      <c r="F1489">
        <f>HYPERLINK("http://pbs.twimg.com/media/DbGFpzMV4AAzq5g.jpg", "http://pbs.twimg.com/media/DbGFpzMV4AAzq5g.jpg")</f>
        <v/>
      </c>
      <c r="G1489" t="s"/>
      <c r="H1489" t="s"/>
      <c r="I1489" t="s"/>
      <c r="J1489" t="n">
        <v>0</v>
      </c>
      <c r="K1489" t="n">
        <v>0.132</v>
      </c>
      <c r="L1489" t="n">
        <v>0.736</v>
      </c>
      <c r="M1489" t="n">
        <v>0.132</v>
      </c>
    </row>
    <row r="1490" spans="1:13">
      <c r="A1490" s="1">
        <f>HYPERLINK("http://www.twitter.com/NathanBLawrence/status/986726233487675393", "986726233487675393")</f>
        <v/>
      </c>
      <c r="B1490" s="2" t="n">
        <v>43208.9171412037</v>
      </c>
      <c r="C1490" t="n">
        <v>0</v>
      </c>
      <c r="D1490" t="n">
        <v>173</v>
      </c>
      <c r="E1490" t="s">
        <v>1501</v>
      </c>
      <c r="F1490">
        <f>HYPERLINK("http://pbs.twimg.com/media/DbF-iHPWsAE7Ne7.jpg", "http://pbs.twimg.com/media/DbF-iHPWsAE7Ne7.jpg")</f>
        <v/>
      </c>
      <c r="G1490" t="s"/>
      <c r="H1490" t="s"/>
      <c r="I1490" t="s"/>
      <c r="J1490" t="n">
        <v>0.2575</v>
      </c>
      <c r="K1490" t="n">
        <v>0.089</v>
      </c>
      <c r="L1490" t="n">
        <v>0.752</v>
      </c>
      <c r="M1490" t="n">
        <v>0.159</v>
      </c>
    </row>
    <row r="1491" spans="1:13">
      <c r="A1491" s="1">
        <f>HYPERLINK("http://www.twitter.com/NathanBLawrence/status/986598870984642560", "986598870984642560")</f>
        <v/>
      </c>
      <c r="B1491" s="2" t="n">
        <v>43208.56568287037</v>
      </c>
      <c r="C1491" t="n">
        <v>0</v>
      </c>
      <c r="D1491" t="n">
        <v>211</v>
      </c>
      <c r="E1491" t="s">
        <v>1502</v>
      </c>
      <c r="F1491">
        <f>HYPERLINK("http://pbs.twimg.com/media/DbEY9Y3UQAA_QcT.jpg", "http://pbs.twimg.com/media/DbEY9Y3UQAA_QcT.jpg")</f>
        <v/>
      </c>
      <c r="G1491" t="s"/>
      <c r="H1491" t="s"/>
      <c r="I1491" t="s"/>
      <c r="J1491" t="n">
        <v>0</v>
      </c>
      <c r="K1491" t="n">
        <v>0</v>
      </c>
      <c r="L1491" t="n">
        <v>1</v>
      </c>
      <c r="M1491" t="n">
        <v>0</v>
      </c>
    </row>
    <row r="1492" spans="1:13">
      <c r="A1492" s="1">
        <f>HYPERLINK("http://www.twitter.com/NathanBLawrence/status/986597052661542912", "986597052661542912")</f>
        <v/>
      </c>
      <c r="B1492" s="2" t="n">
        <v>43208.5606712963</v>
      </c>
      <c r="C1492" t="n">
        <v>0</v>
      </c>
      <c r="D1492" t="n">
        <v>17957</v>
      </c>
      <c r="E1492" t="s">
        <v>1503</v>
      </c>
      <c r="F1492" t="s"/>
      <c r="G1492" t="s"/>
      <c r="H1492" t="s"/>
      <c r="I1492" t="s"/>
      <c r="J1492" t="n">
        <v>0.7783</v>
      </c>
      <c r="K1492" t="n">
        <v>0</v>
      </c>
      <c r="L1492" t="n">
        <v>0.747</v>
      </c>
      <c r="M1492" t="n">
        <v>0.253</v>
      </c>
    </row>
    <row r="1493" spans="1:13">
      <c r="A1493" s="1">
        <f>HYPERLINK("http://www.twitter.com/NathanBLawrence/status/986595296636489728", "986595296636489728")</f>
        <v/>
      </c>
      <c r="B1493" s="2" t="n">
        <v>43208.55582175926</v>
      </c>
      <c r="C1493" t="n">
        <v>0</v>
      </c>
      <c r="D1493" t="n">
        <v>28801</v>
      </c>
      <c r="E1493" t="s">
        <v>1504</v>
      </c>
      <c r="F1493" t="s"/>
      <c r="G1493" t="s"/>
      <c r="H1493" t="s"/>
      <c r="I1493" t="s"/>
      <c r="J1493" t="n">
        <v>-0.7248</v>
      </c>
      <c r="K1493" t="n">
        <v>0.248</v>
      </c>
      <c r="L1493" t="n">
        <v>0.701</v>
      </c>
      <c r="M1493" t="n">
        <v>0.051</v>
      </c>
    </row>
    <row r="1494" spans="1:13">
      <c r="A1494" s="1">
        <f>HYPERLINK("http://www.twitter.com/NathanBLawrence/status/986594824378896384", "986594824378896384")</f>
        <v/>
      </c>
      <c r="B1494" s="2" t="n">
        <v>43208.55451388889</v>
      </c>
      <c r="C1494" t="n">
        <v>0</v>
      </c>
      <c r="D1494" t="n">
        <v>290</v>
      </c>
      <c r="E1494" t="s">
        <v>1505</v>
      </c>
      <c r="F1494" t="s"/>
      <c r="G1494" t="s"/>
      <c r="H1494" t="s"/>
      <c r="I1494" t="s"/>
      <c r="J1494" t="n">
        <v>0.1027</v>
      </c>
      <c r="K1494" t="n">
        <v>0.06</v>
      </c>
      <c r="L1494" t="n">
        <v>0.862</v>
      </c>
      <c r="M1494" t="n">
        <v>0.078</v>
      </c>
    </row>
    <row r="1495" spans="1:13">
      <c r="A1495" s="1">
        <f>HYPERLINK("http://www.twitter.com/NathanBLawrence/status/986592549652582400", "986592549652582400")</f>
        <v/>
      </c>
      <c r="B1495" s="2" t="n">
        <v>43208.54824074074</v>
      </c>
      <c r="C1495" t="n">
        <v>0</v>
      </c>
      <c r="D1495" t="n">
        <v>19</v>
      </c>
      <c r="E1495" t="s">
        <v>1506</v>
      </c>
      <c r="F1495" t="s"/>
      <c r="G1495" t="s"/>
      <c r="H1495" t="s"/>
      <c r="I1495" t="s"/>
      <c r="J1495" t="n">
        <v>0.4767</v>
      </c>
      <c r="K1495" t="n">
        <v>0</v>
      </c>
      <c r="L1495" t="n">
        <v>0.806</v>
      </c>
      <c r="M1495" t="n">
        <v>0.194</v>
      </c>
    </row>
    <row r="1496" spans="1:13">
      <c r="A1496" s="1">
        <f>HYPERLINK("http://www.twitter.com/NathanBLawrence/status/986592112195133440", "986592112195133440")</f>
        <v/>
      </c>
      <c r="B1496" s="2" t="n">
        <v>43208.54703703704</v>
      </c>
      <c r="C1496" t="n">
        <v>0</v>
      </c>
      <c r="D1496" t="n">
        <v>2808</v>
      </c>
      <c r="E1496" t="s">
        <v>1507</v>
      </c>
      <c r="F1496" t="s"/>
      <c r="G1496" t="s"/>
      <c r="H1496" t="s"/>
      <c r="I1496" t="s"/>
      <c r="J1496" t="n">
        <v>0.0018</v>
      </c>
      <c r="K1496" t="n">
        <v>0.146</v>
      </c>
      <c r="L1496" t="n">
        <v>0.709</v>
      </c>
      <c r="M1496" t="n">
        <v>0.146</v>
      </c>
    </row>
    <row r="1497" spans="1:13">
      <c r="A1497" s="1">
        <f>HYPERLINK("http://www.twitter.com/NathanBLawrence/status/986591665640046598", "986591665640046598")</f>
        <v/>
      </c>
      <c r="B1497" s="2" t="n">
        <v>43208.54579861111</v>
      </c>
      <c r="C1497" t="n">
        <v>0</v>
      </c>
      <c r="D1497" t="n">
        <v>19</v>
      </c>
      <c r="E1497" t="s">
        <v>1508</v>
      </c>
      <c r="F1497">
        <f>HYPERLINK("http://pbs.twimg.com/media/Da7Xo-FWsAYnC5y.jpg", "http://pbs.twimg.com/media/Da7Xo-FWsAYnC5y.jpg")</f>
        <v/>
      </c>
      <c r="G1497">
        <f>HYPERLINK("http://pbs.twimg.com/media/Da7XpyYXkAAb0k_.jpg", "http://pbs.twimg.com/media/Da7XpyYXkAAb0k_.jpg")</f>
        <v/>
      </c>
      <c r="H1497">
        <f>HYPERLINK("http://pbs.twimg.com/media/Da7XrnxX4AA-msK.jpg", "http://pbs.twimg.com/media/Da7XrnxX4AA-msK.jpg")</f>
        <v/>
      </c>
      <c r="I1497" t="s"/>
      <c r="J1497" t="n">
        <v>0</v>
      </c>
      <c r="K1497" t="n">
        <v>0</v>
      </c>
      <c r="L1497" t="n">
        <v>1</v>
      </c>
      <c r="M1497" t="n">
        <v>0</v>
      </c>
    </row>
    <row r="1498" spans="1:13">
      <c r="A1498" s="1">
        <f>HYPERLINK("http://www.twitter.com/NathanBLawrence/status/986413428452614145", "986413428452614145")</f>
        <v/>
      </c>
      <c r="B1498" s="2" t="n">
        <v>43208.05395833333</v>
      </c>
      <c r="C1498" t="n">
        <v>0</v>
      </c>
      <c r="D1498" t="n">
        <v>8365</v>
      </c>
      <c r="E1498" t="s">
        <v>1509</v>
      </c>
      <c r="F1498">
        <f>HYPERLINK("http://pbs.twimg.com/media/DbBYL7PU8AAMw5t.jpg", "http://pbs.twimg.com/media/DbBYL7PU8AAMw5t.jpg")</f>
        <v/>
      </c>
      <c r="G1498" t="s"/>
      <c r="H1498" t="s"/>
      <c r="I1498" t="s"/>
      <c r="J1498" t="n">
        <v>0</v>
      </c>
      <c r="K1498" t="n">
        <v>0</v>
      </c>
      <c r="L1498" t="n">
        <v>1</v>
      </c>
      <c r="M1498" t="n">
        <v>0</v>
      </c>
    </row>
    <row r="1499" spans="1:13">
      <c r="A1499" s="1">
        <f>HYPERLINK("http://www.twitter.com/NathanBLawrence/status/986413192908890112", "986413192908890112")</f>
        <v/>
      </c>
      <c r="B1499" s="2" t="n">
        <v>43208.05331018518</v>
      </c>
      <c r="C1499" t="n">
        <v>0</v>
      </c>
      <c r="D1499" t="n">
        <v>428</v>
      </c>
      <c r="E1499" t="s">
        <v>1510</v>
      </c>
      <c r="F1499" t="s"/>
      <c r="G1499" t="s"/>
      <c r="H1499" t="s"/>
      <c r="I1499" t="s"/>
      <c r="J1499" t="n">
        <v>0</v>
      </c>
      <c r="K1499" t="n">
        <v>0</v>
      </c>
      <c r="L1499" t="n">
        <v>1</v>
      </c>
      <c r="M1499" t="n">
        <v>0</v>
      </c>
    </row>
    <row r="1500" spans="1:13">
      <c r="A1500" s="1">
        <f>HYPERLINK("http://www.twitter.com/NathanBLawrence/status/986412795829907456", "986412795829907456")</f>
        <v/>
      </c>
      <c r="B1500" s="2" t="n">
        <v>43208.05221064815</v>
      </c>
      <c r="C1500" t="n">
        <v>0</v>
      </c>
      <c r="D1500" t="n">
        <v>193</v>
      </c>
      <c r="E1500" t="s">
        <v>1511</v>
      </c>
      <c r="F1500" t="s"/>
      <c r="G1500" t="s"/>
      <c r="H1500" t="s"/>
      <c r="I1500" t="s"/>
      <c r="J1500" t="n">
        <v>-0.3182</v>
      </c>
      <c r="K1500" t="n">
        <v>0.099</v>
      </c>
      <c r="L1500" t="n">
        <v>0.901</v>
      </c>
      <c r="M1500" t="n">
        <v>0</v>
      </c>
    </row>
    <row r="1501" spans="1:13">
      <c r="A1501" s="1">
        <f>HYPERLINK("http://www.twitter.com/NathanBLawrence/status/986412676074139648", "986412676074139648")</f>
        <v/>
      </c>
      <c r="B1501" s="2" t="n">
        <v>43208.05188657407</v>
      </c>
      <c r="C1501" t="n">
        <v>0</v>
      </c>
      <c r="D1501" t="n">
        <v>52</v>
      </c>
      <c r="E1501" t="s">
        <v>1512</v>
      </c>
      <c r="F1501">
        <f>HYPERLINK("http://pbs.twimg.com/media/DbBwrP7WAAAfO2Y.jpg", "http://pbs.twimg.com/media/DbBwrP7WAAAfO2Y.jpg")</f>
        <v/>
      </c>
      <c r="G1501" t="s"/>
      <c r="H1501" t="s"/>
      <c r="I1501" t="s"/>
      <c r="J1501" t="n">
        <v>0</v>
      </c>
      <c r="K1501" t="n">
        <v>0</v>
      </c>
      <c r="L1501" t="n">
        <v>1</v>
      </c>
      <c r="M1501" t="n">
        <v>0</v>
      </c>
    </row>
    <row r="1502" spans="1:13">
      <c r="A1502" s="1">
        <f>HYPERLINK("http://www.twitter.com/NathanBLawrence/status/986412577281462272", "986412577281462272")</f>
        <v/>
      </c>
      <c r="B1502" s="2" t="n">
        <v>43208.0516087963</v>
      </c>
      <c r="C1502" t="n">
        <v>0</v>
      </c>
      <c r="D1502" t="n">
        <v>153</v>
      </c>
      <c r="E1502" t="s">
        <v>1513</v>
      </c>
      <c r="F1502">
        <f>HYPERLINK("http://pbs.twimg.com/media/DbBkDsTUMAAjTue.jpg", "http://pbs.twimg.com/media/DbBkDsTUMAAjTue.jpg")</f>
        <v/>
      </c>
      <c r="G1502" t="s"/>
      <c r="H1502" t="s"/>
      <c r="I1502" t="s"/>
      <c r="J1502" t="n">
        <v>0</v>
      </c>
      <c r="K1502" t="n">
        <v>0</v>
      </c>
      <c r="L1502" t="n">
        <v>1</v>
      </c>
      <c r="M1502" t="n">
        <v>0</v>
      </c>
    </row>
    <row r="1503" spans="1:13">
      <c r="A1503" s="1">
        <f>HYPERLINK("http://www.twitter.com/NathanBLawrence/status/986412225593257987", "986412225593257987")</f>
        <v/>
      </c>
      <c r="B1503" s="2" t="n">
        <v>43208.05063657407</v>
      </c>
      <c r="C1503" t="n">
        <v>0</v>
      </c>
      <c r="D1503" t="n">
        <v>337</v>
      </c>
      <c r="E1503" t="s">
        <v>1514</v>
      </c>
      <c r="F1503" t="s"/>
      <c r="G1503" t="s"/>
      <c r="H1503" t="s"/>
      <c r="I1503" t="s"/>
      <c r="J1503" t="n">
        <v>0</v>
      </c>
      <c r="K1503" t="n">
        <v>0</v>
      </c>
      <c r="L1503" t="n">
        <v>1</v>
      </c>
      <c r="M1503" t="n">
        <v>0</v>
      </c>
    </row>
    <row r="1504" spans="1:13">
      <c r="A1504" s="1">
        <f>HYPERLINK("http://www.twitter.com/NathanBLawrence/status/986411698918756354", "986411698918756354")</f>
        <v/>
      </c>
      <c r="B1504" s="2" t="n">
        <v>43208.04918981482</v>
      </c>
      <c r="C1504" t="n">
        <v>0</v>
      </c>
      <c r="D1504" t="n">
        <v>1730</v>
      </c>
      <c r="E1504" t="s">
        <v>1515</v>
      </c>
      <c r="F1504" t="s"/>
      <c r="G1504" t="s"/>
      <c r="H1504" t="s"/>
      <c r="I1504" t="s"/>
      <c r="J1504" t="n">
        <v>0.128</v>
      </c>
      <c r="K1504" t="n">
        <v>0</v>
      </c>
      <c r="L1504" t="n">
        <v>0.9330000000000001</v>
      </c>
      <c r="M1504" t="n">
        <v>0.067</v>
      </c>
    </row>
    <row r="1505" spans="1:13">
      <c r="A1505" s="1">
        <f>HYPERLINK("http://www.twitter.com/NathanBLawrence/status/986411355417833472", "986411355417833472")</f>
        <v/>
      </c>
      <c r="B1505" s="2" t="n">
        <v>43208.04824074074</v>
      </c>
      <c r="C1505" t="n">
        <v>0</v>
      </c>
      <c r="D1505" t="n">
        <v>633</v>
      </c>
      <c r="E1505" t="s">
        <v>1516</v>
      </c>
      <c r="F1505">
        <f>HYPERLINK("http://pbs.twimg.com/media/DbBeOiZWsAEHvEf.jpg", "http://pbs.twimg.com/media/DbBeOiZWsAEHvEf.jpg")</f>
        <v/>
      </c>
      <c r="G1505" t="s"/>
      <c r="H1505" t="s"/>
      <c r="I1505" t="s"/>
      <c r="J1505" t="n">
        <v>0.3182</v>
      </c>
      <c r="K1505" t="n">
        <v>0</v>
      </c>
      <c r="L1505" t="n">
        <v>0.867</v>
      </c>
      <c r="M1505" t="n">
        <v>0.133</v>
      </c>
    </row>
    <row r="1506" spans="1:13">
      <c r="A1506" s="1">
        <f>HYPERLINK("http://www.twitter.com/NathanBLawrence/status/986410486592868352", "986410486592868352")</f>
        <v/>
      </c>
      <c r="B1506" s="2" t="n">
        <v>43208.04584490741</v>
      </c>
      <c r="C1506" t="n">
        <v>0</v>
      </c>
      <c r="D1506" t="n">
        <v>306</v>
      </c>
      <c r="E1506" t="s">
        <v>1517</v>
      </c>
      <c r="F1506">
        <f>HYPERLINK("http://pbs.twimg.com/media/DbBH5EzUMAAtsz9.jpg", "http://pbs.twimg.com/media/DbBH5EzUMAAtsz9.jpg")</f>
        <v/>
      </c>
      <c r="G1506" t="s"/>
      <c r="H1506" t="s"/>
      <c r="I1506" t="s"/>
      <c r="J1506" t="n">
        <v>0.6249</v>
      </c>
      <c r="K1506" t="n">
        <v>0</v>
      </c>
      <c r="L1506" t="n">
        <v>0.788</v>
      </c>
      <c r="M1506" t="n">
        <v>0.212</v>
      </c>
    </row>
    <row r="1507" spans="1:13">
      <c r="A1507" s="1">
        <f>HYPERLINK("http://www.twitter.com/NathanBLawrence/status/986410311489122305", "986410311489122305")</f>
        <v/>
      </c>
      <c r="B1507" s="2" t="n">
        <v>43208.0453587963</v>
      </c>
      <c r="C1507" t="n">
        <v>0</v>
      </c>
      <c r="D1507" t="n">
        <v>304</v>
      </c>
      <c r="E1507" t="s">
        <v>1518</v>
      </c>
      <c r="F1507">
        <f>HYPERLINK("http://pbs.twimg.com/media/DbAjrMhVMAAILtd.jpg", "http://pbs.twimg.com/media/DbAjrMhVMAAILtd.jpg")</f>
        <v/>
      </c>
      <c r="G1507" t="s"/>
      <c r="H1507" t="s"/>
      <c r="I1507" t="s"/>
      <c r="J1507" t="n">
        <v>-0.8126</v>
      </c>
      <c r="K1507" t="n">
        <v>0.291</v>
      </c>
      <c r="L1507" t="n">
        <v>0.709</v>
      </c>
      <c r="M1507" t="n">
        <v>0</v>
      </c>
    </row>
    <row r="1508" spans="1:13">
      <c r="A1508" s="1">
        <f>HYPERLINK("http://www.twitter.com/NathanBLawrence/status/986410139631718400", "986410139631718400")</f>
        <v/>
      </c>
      <c r="B1508" s="2" t="n">
        <v>43208.04488425926</v>
      </c>
      <c r="C1508" t="n">
        <v>0</v>
      </c>
      <c r="D1508" t="n">
        <v>1459</v>
      </c>
      <c r="E1508" t="s">
        <v>1519</v>
      </c>
      <c r="F1508" t="s"/>
      <c r="G1508" t="s"/>
      <c r="H1508" t="s"/>
      <c r="I1508" t="s"/>
      <c r="J1508" t="n">
        <v>0.3182</v>
      </c>
      <c r="K1508" t="n">
        <v>0</v>
      </c>
      <c r="L1508" t="n">
        <v>0.916</v>
      </c>
      <c r="M1508" t="n">
        <v>0.08400000000000001</v>
      </c>
    </row>
    <row r="1509" spans="1:13">
      <c r="A1509" s="1">
        <f>HYPERLINK("http://www.twitter.com/NathanBLawrence/status/986410023483006976", "986410023483006976")</f>
        <v/>
      </c>
      <c r="B1509" s="2" t="n">
        <v>43208.04456018518</v>
      </c>
      <c r="C1509" t="n">
        <v>0</v>
      </c>
      <c r="D1509" t="n">
        <v>83</v>
      </c>
      <c r="E1509" t="s">
        <v>1520</v>
      </c>
      <c r="F1509">
        <f>HYPERLINK("http://pbs.twimg.com/media/DbBtkbWVMAAhzyG.jpg", "http://pbs.twimg.com/media/DbBtkbWVMAAhzyG.jpg")</f>
        <v/>
      </c>
      <c r="G1509" t="s"/>
      <c r="H1509" t="s"/>
      <c r="I1509" t="s"/>
      <c r="J1509" t="n">
        <v>0</v>
      </c>
      <c r="K1509" t="n">
        <v>0</v>
      </c>
      <c r="L1509" t="n">
        <v>1</v>
      </c>
      <c r="M1509" t="n">
        <v>0</v>
      </c>
    </row>
    <row r="1510" spans="1:13">
      <c r="A1510" s="1">
        <f>HYPERLINK("http://www.twitter.com/NathanBLawrence/status/986409300615712770", "986409300615712770")</f>
        <v/>
      </c>
      <c r="B1510" s="2" t="n">
        <v>43208.04256944444</v>
      </c>
      <c r="C1510" t="n">
        <v>0</v>
      </c>
      <c r="D1510" t="n">
        <v>2734</v>
      </c>
      <c r="E1510" t="s">
        <v>1521</v>
      </c>
      <c r="F1510">
        <f>HYPERLINK("http://pbs.twimg.com/media/DbBpGk_VwAAqsio.jpg", "http://pbs.twimg.com/media/DbBpGk_VwAAqsio.jpg")</f>
        <v/>
      </c>
      <c r="G1510" t="s"/>
      <c r="H1510" t="s"/>
      <c r="I1510" t="s"/>
      <c r="J1510" t="n">
        <v>0</v>
      </c>
      <c r="K1510" t="n">
        <v>0</v>
      </c>
      <c r="L1510" t="n">
        <v>1</v>
      </c>
      <c r="M1510" t="n">
        <v>0</v>
      </c>
    </row>
    <row r="1511" spans="1:13">
      <c r="A1511" s="1">
        <f>HYPERLINK("http://www.twitter.com/NathanBLawrence/status/986408836746629120", "986408836746629120")</f>
        <v/>
      </c>
      <c r="B1511" s="2" t="n">
        <v>43208.04128472223</v>
      </c>
      <c r="C1511" t="n">
        <v>0</v>
      </c>
      <c r="D1511" t="n">
        <v>1371</v>
      </c>
      <c r="E1511" t="s">
        <v>1522</v>
      </c>
      <c r="F1511" t="s"/>
      <c r="G1511" t="s"/>
      <c r="H1511" t="s"/>
      <c r="I1511" t="s"/>
      <c r="J1511" t="n">
        <v>0.4389</v>
      </c>
      <c r="K1511" t="n">
        <v>0</v>
      </c>
      <c r="L1511" t="n">
        <v>0.879</v>
      </c>
      <c r="M1511" t="n">
        <v>0.121</v>
      </c>
    </row>
    <row r="1512" spans="1:13">
      <c r="A1512" s="1">
        <f>HYPERLINK("http://www.twitter.com/NathanBLawrence/status/986408312873848832", "986408312873848832")</f>
        <v/>
      </c>
      <c r="B1512" s="2" t="n">
        <v>43208.03984953704</v>
      </c>
      <c r="C1512" t="n">
        <v>0</v>
      </c>
      <c r="D1512" t="n">
        <v>2</v>
      </c>
      <c r="E1512" t="s">
        <v>1523</v>
      </c>
      <c r="F1512" t="s"/>
      <c r="G1512" t="s"/>
      <c r="H1512" t="s"/>
      <c r="I1512" t="s"/>
      <c r="J1512" t="n">
        <v>0.5994</v>
      </c>
      <c r="K1512" t="n">
        <v>0</v>
      </c>
      <c r="L1512" t="n">
        <v>0.647</v>
      </c>
      <c r="M1512" t="n">
        <v>0.353</v>
      </c>
    </row>
    <row r="1513" spans="1:13">
      <c r="A1513" s="1">
        <f>HYPERLINK("http://www.twitter.com/NathanBLawrence/status/986408004726730752", "986408004726730752")</f>
        <v/>
      </c>
      <c r="B1513" s="2" t="n">
        <v>43208.03899305555</v>
      </c>
      <c r="C1513" t="n">
        <v>0</v>
      </c>
      <c r="D1513" t="n">
        <v>258</v>
      </c>
      <c r="E1513" t="s">
        <v>1524</v>
      </c>
      <c r="F1513" t="s"/>
      <c r="G1513" t="s"/>
      <c r="H1513" t="s"/>
      <c r="I1513" t="s"/>
      <c r="J1513" t="n">
        <v>0</v>
      </c>
      <c r="K1513" t="n">
        <v>0</v>
      </c>
      <c r="L1513" t="n">
        <v>1</v>
      </c>
      <c r="M1513" t="n">
        <v>0</v>
      </c>
    </row>
    <row r="1514" spans="1:13">
      <c r="A1514" s="1">
        <f>HYPERLINK("http://www.twitter.com/NathanBLawrence/status/986407719786766340", "986407719786766340")</f>
        <v/>
      </c>
      <c r="B1514" s="2" t="n">
        <v>43208.03820601852</v>
      </c>
      <c r="C1514" t="n">
        <v>0</v>
      </c>
      <c r="D1514" t="n">
        <v>601</v>
      </c>
      <c r="E1514" t="s">
        <v>1525</v>
      </c>
      <c r="F1514">
        <f>HYPERLINK("http://pbs.twimg.com/media/DbBXNYuVwAAZEf7.jpg", "http://pbs.twimg.com/media/DbBXNYuVwAAZEf7.jpg")</f>
        <v/>
      </c>
      <c r="G1514" t="s"/>
      <c r="H1514" t="s"/>
      <c r="I1514" t="s"/>
      <c r="J1514" t="n">
        <v>0</v>
      </c>
      <c r="K1514" t="n">
        <v>0</v>
      </c>
      <c r="L1514" t="n">
        <v>1</v>
      </c>
      <c r="M1514" t="n">
        <v>0</v>
      </c>
    </row>
    <row r="1515" spans="1:13">
      <c r="A1515" s="1">
        <f>HYPERLINK("http://www.twitter.com/NathanBLawrence/status/986407568384937985", "986407568384937985")</f>
        <v/>
      </c>
      <c r="B1515" s="2" t="n">
        <v>43208.03778935185</v>
      </c>
      <c r="C1515" t="n">
        <v>0</v>
      </c>
      <c r="D1515" t="n">
        <v>1615</v>
      </c>
      <c r="E1515" t="s">
        <v>1526</v>
      </c>
      <c r="F1515">
        <f>HYPERLINK("http://pbs.twimg.com/media/DbAo0-wWAAEQYt_.jpg", "http://pbs.twimg.com/media/DbAo0-wWAAEQYt_.jpg")</f>
        <v/>
      </c>
      <c r="G1515" t="s"/>
      <c r="H1515" t="s"/>
      <c r="I1515" t="s"/>
      <c r="J1515" t="n">
        <v>0.4588</v>
      </c>
      <c r="K1515" t="n">
        <v>0</v>
      </c>
      <c r="L1515" t="n">
        <v>0.864</v>
      </c>
      <c r="M1515" t="n">
        <v>0.136</v>
      </c>
    </row>
    <row r="1516" spans="1:13">
      <c r="A1516" s="1">
        <f>HYPERLINK("http://www.twitter.com/NathanBLawrence/status/986401216216346624", "986401216216346624")</f>
        <v/>
      </c>
      <c r="B1516" s="2" t="n">
        <v>43208.0202662037</v>
      </c>
      <c r="C1516" t="n">
        <v>0</v>
      </c>
      <c r="D1516" t="n">
        <v>28</v>
      </c>
      <c r="E1516" t="s">
        <v>1527</v>
      </c>
      <c r="F1516">
        <f>HYPERLINK("http://pbs.twimg.com/media/DbBlJYjWsAAME1C.jpg", "http://pbs.twimg.com/media/DbBlJYjWsAAME1C.jpg")</f>
        <v/>
      </c>
      <c r="G1516" t="s"/>
      <c r="H1516" t="s"/>
      <c r="I1516" t="s"/>
      <c r="J1516" t="n">
        <v>0.8442</v>
      </c>
      <c r="K1516" t="n">
        <v>0</v>
      </c>
      <c r="L1516" t="n">
        <v>0.698</v>
      </c>
      <c r="M1516" t="n">
        <v>0.302</v>
      </c>
    </row>
    <row r="1517" spans="1:13">
      <c r="A1517" s="1">
        <f>HYPERLINK("http://www.twitter.com/NathanBLawrence/status/986401080052502528", "986401080052502528")</f>
        <v/>
      </c>
      <c r="B1517" s="2" t="n">
        <v>43208.01988425926</v>
      </c>
      <c r="C1517" t="n">
        <v>0</v>
      </c>
      <c r="D1517" t="n">
        <v>228</v>
      </c>
      <c r="E1517" t="s">
        <v>1528</v>
      </c>
      <c r="F1517">
        <f>HYPERLINK("http://pbs.twimg.com/media/DbBlE8TXkAI6pxq.jpg", "http://pbs.twimg.com/media/DbBlE8TXkAI6pxq.jpg")</f>
        <v/>
      </c>
      <c r="G1517" t="s"/>
      <c r="H1517" t="s"/>
      <c r="I1517" t="s"/>
      <c r="J1517" t="n">
        <v>0.9287</v>
      </c>
      <c r="K1517" t="n">
        <v>0</v>
      </c>
      <c r="L1517" t="n">
        <v>0.55</v>
      </c>
      <c r="M1517" t="n">
        <v>0.45</v>
      </c>
    </row>
    <row r="1518" spans="1:13">
      <c r="A1518" s="1">
        <f>HYPERLINK("http://www.twitter.com/NathanBLawrence/status/986400817631649793", "986400817631649793")</f>
        <v/>
      </c>
      <c r="B1518" s="2" t="n">
        <v>43208.01916666667</v>
      </c>
      <c r="C1518" t="n">
        <v>0</v>
      </c>
      <c r="D1518" t="n">
        <v>159</v>
      </c>
      <c r="E1518" t="s">
        <v>1529</v>
      </c>
      <c r="F1518">
        <f>HYPERLINK("http://pbs.twimg.com/media/DbA4V_6WAAA_4_f.jpg", "http://pbs.twimg.com/media/DbA4V_6WAAA_4_f.jpg")</f>
        <v/>
      </c>
      <c r="G1518">
        <f>HYPERLINK("http://pbs.twimg.com/media/DbA4W7VX0AUURJh.jpg", "http://pbs.twimg.com/media/DbA4W7VX0AUURJh.jpg")</f>
        <v/>
      </c>
      <c r="H1518" t="s"/>
      <c r="I1518" t="s"/>
      <c r="J1518" t="n">
        <v>0.6486</v>
      </c>
      <c r="K1518" t="n">
        <v>0</v>
      </c>
      <c r="L1518" t="n">
        <v>0.751</v>
      </c>
      <c r="M1518" t="n">
        <v>0.249</v>
      </c>
    </row>
    <row r="1519" spans="1:13">
      <c r="A1519" s="1">
        <f>HYPERLINK("http://www.twitter.com/NathanBLawrence/status/986362633862504451", "986362633862504451")</f>
        <v/>
      </c>
      <c r="B1519" s="2" t="n">
        <v>43207.9137962963</v>
      </c>
      <c r="C1519" t="n">
        <v>0</v>
      </c>
      <c r="D1519" t="n">
        <v>350</v>
      </c>
      <c r="E1519" t="s">
        <v>1530</v>
      </c>
      <c r="F1519" t="s"/>
      <c r="G1519" t="s"/>
      <c r="H1519" t="s"/>
      <c r="I1519" t="s"/>
      <c r="J1519" t="n">
        <v>0</v>
      </c>
      <c r="K1519" t="n">
        <v>0</v>
      </c>
      <c r="L1519" t="n">
        <v>1</v>
      </c>
      <c r="M1519" t="n">
        <v>0</v>
      </c>
    </row>
    <row r="1520" spans="1:13">
      <c r="A1520" s="1">
        <f>HYPERLINK("http://www.twitter.com/NathanBLawrence/status/986362349987815424", "986362349987815424")</f>
        <v/>
      </c>
      <c r="B1520" s="2" t="n">
        <v>43207.91300925926</v>
      </c>
      <c r="C1520" t="n">
        <v>0</v>
      </c>
      <c r="D1520" t="n">
        <v>493</v>
      </c>
      <c r="E1520" t="s">
        <v>1531</v>
      </c>
      <c r="F1520" t="s"/>
      <c r="G1520" t="s"/>
      <c r="H1520" t="s"/>
      <c r="I1520" t="s"/>
      <c r="J1520" t="n">
        <v>0</v>
      </c>
      <c r="K1520" t="n">
        <v>0.128</v>
      </c>
      <c r="L1520" t="n">
        <v>0.78</v>
      </c>
      <c r="M1520" t="n">
        <v>0.092</v>
      </c>
    </row>
    <row r="1521" spans="1:13">
      <c r="A1521" s="1">
        <f>HYPERLINK("http://www.twitter.com/NathanBLawrence/status/986362192353259520", "986362192353259520")</f>
        <v/>
      </c>
      <c r="B1521" s="2" t="n">
        <v>43207.91258101852</v>
      </c>
      <c r="C1521" t="n">
        <v>0</v>
      </c>
      <c r="D1521" t="n">
        <v>776</v>
      </c>
      <c r="E1521" t="s">
        <v>1532</v>
      </c>
      <c r="F1521" t="s"/>
      <c r="G1521" t="s"/>
      <c r="H1521" t="s"/>
      <c r="I1521" t="s"/>
      <c r="J1521" t="n">
        <v>0.0516</v>
      </c>
      <c r="K1521" t="n">
        <v>0.058</v>
      </c>
      <c r="L1521" t="n">
        <v>0.875</v>
      </c>
      <c r="M1521" t="n">
        <v>0.067</v>
      </c>
    </row>
    <row r="1522" spans="1:13">
      <c r="A1522" s="1">
        <f>HYPERLINK("http://www.twitter.com/NathanBLawrence/status/986361973431570433", "986361973431570433")</f>
        <v/>
      </c>
      <c r="B1522" s="2" t="n">
        <v>43207.91196759259</v>
      </c>
      <c r="C1522" t="n">
        <v>0</v>
      </c>
      <c r="D1522" t="n">
        <v>3993</v>
      </c>
      <c r="E1522" t="s">
        <v>1533</v>
      </c>
      <c r="F1522" t="s"/>
      <c r="G1522" t="s"/>
      <c r="H1522" t="s"/>
      <c r="I1522" t="s"/>
      <c r="J1522" t="n">
        <v>0.2023</v>
      </c>
      <c r="K1522" t="n">
        <v>0.092</v>
      </c>
      <c r="L1522" t="n">
        <v>0.777</v>
      </c>
      <c r="M1522" t="n">
        <v>0.131</v>
      </c>
    </row>
    <row r="1523" spans="1:13">
      <c r="A1523" s="1">
        <f>HYPERLINK("http://www.twitter.com/NathanBLawrence/status/986361936068644865", "986361936068644865")</f>
        <v/>
      </c>
      <c r="B1523" s="2" t="n">
        <v>43207.91186342593</v>
      </c>
      <c r="C1523" t="n">
        <v>0</v>
      </c>
      <c r="D1523" t="n">
        <v>16797</v>
      </c>
      <c r="E1523" t="s">
        <v>1534</v>
      </c>
      <c r="F1523" t="s"/>
      <c r="G1523" t="s"/>
      <c r="H1523" t="s"/>
      <c r="I1523" t="s"/>
      <c r="J1523" t="n">
        <v>0.8225</v>
      </c>
      <c r="K1523" t="n">
        <v>0</v>
      </c>
      <c r="L1523" t="n">
        <v>0.676</v>
      </c>
      <c r="M1523" t="n">
        <v>0.324</v>
      </c>
    </row>
    <row r="1524" spans="1:13">
      <c r="A1524" s="1">
        <f>HYPERLINK("http://www.twitter.com/NathanBLawrence/status/986361888664702978", "986361888664702978")</f>
        <v/>
      </c>
      <c r="B1524" s="2" t="n">
        <v>43207.91173611111</v>
      </c>
      <c r="C1524" t="n">
        <v>0</v>
      </c>
      <c r="D1524" t="n">
        <v>72</v>
      </c>
      <c r="E1524" t="s">
        <v>1535</v>
      </c>
      <c r="F1524" t="s"/>
      <c r="G1524" t="s"/>
      <c r="H1524" t="s"/>
      <c r="I1524" t="s"/>
      <c r="J1524" t="n">
        <v>0.6705</v>
      </c>
      <c r="K1524" t="n">
        <v>0</v>
      </c>
      <c r="L1524" t="n">
        <v>0.8070000000000001</v>
      </c>
      <c r="M1524" t="n">
        <v>0.193</v>
      </c>
    </row>
    <row r="1525" spans="1:13">
      <c r="A1525" s="1">
        <f>HYPERLINK("http://www.twitter.com/NathanBLawrence/status/986361738709950465", "986361738709950465")</f>
        <v/>
      </c>
      <c r="B1525" s="2" t="n">
        <v>43207.91131944444</v>
      </c>
      <c r="C1525" t="n">
        <v>0</v>
      </c>
      <c r="D1525" t="n">
        <v>149</v>
      </c>
      <c r="E1525" t="s">
        <v>1536</v>
      </c>
      <c r="F1525" t="s"/>
      <c r="G1525" t="s"/>
      <c r="H1525" t="s"/>
      <c r="I1525" t="s"/>
      <c r="J1525" t="n">
        <v>0</v>
      </c>
      <c r="K1525" t="n">
        <v>0</v>
      </c>
      <c r="L1525" t="n">
        <v>1</v>
      </c>
      <c r="M1525" t="n">
        <v>0</v>
      </c>
    </row>
    <row r="1526" spans="1:13">
      <c r="A1526" s="1">
        <f>HYPERLINK("http://www.twitter.com/NathanBLawrence/status/986361691855204352", "986361691855204352")</f>
        <v/>
      </c>
      <c r="B1526" s="2" t="n">
        <v>43207.91119212963</v>
      </c>
      <c r="C1526" t="n">
        <v>0</v>
      </c>
      <c r="D1526" t="n">
        <v>76</v>
      </c>
      <c r="E1526" t="s">
        <v>1537</v>
      </c>
      <c r="F1526">
        <f>HYPERLINK("http://pbs.twimg.com/media/DbBB-2kXUAcqNU_.jpg", "http://pbs.twimg.com/media/DbBB-2kXUAcqNU_.jpg")</f>
        <v/>
      </c>
      <c r="G1526" t="s"/>
      <c r="H1526" t="s"/>
      <c r="I1526" t="s"/>
      <c r="J1526" t="n">
        <v>0</v>
      </c>
      <c r="K1526" t="n">
        <v>0</v>
      </c>
      <c r="L1526" t="n">
        <v>1</v>
      </c>
      <c r="M1526" t="n">
        <v>0</v>
      </c>
    </row>
    <row r="1527" spans="1:13">
      <c r="A1527" s="1">
        <f>HYPERLINK("http://www.twitter.com/NathanBLawrence/status/986361154212593664", "986361154212593664")</f>
        <v/>
      </c>
      <c r="B1527" s="2" t="n">
        <v>43207.90971064815</v>
      </c>
      <c r="C1527" t="n">
        <v>0</v>
      </c>
      <c r="D1527" t="n">
        <v>136</v>
      </c>
      <c r="E1527" t="s">
        <v>1538</v>
      </c>
      <c r="F1527">
        <f>HYPERLINK("http://pbs.twimg.com/media/DbAS998XkAAcpi0.jpg", "http://pbs.twimg.com/media/DbAS998XkAAcpi0.jpg")</f>
        <v/>
      </c>
      <c r="G1527" t="s"/>
      <c r="H1527" t="s"/>
      <c r="I1527" t="s"/>
      <c r="J1527" t="n">
        <v>0</v>
      </c>
      <c r="K1527" t="n">
        <v>0</v>
      </c>
      <c r="L1527" t="n">
        <v>1</v>
      </c>
      <c r="M1527" t="n">
        <v>0</v>
      </c>
    </row>
    <row r="1528" spans="1:13">
      <c r="A1528" s="1">
        <f>HYPERLINK("http://www.twitter.com/NathanBLawrence/status/986360301565169666", "986360301565169666")</f>
        <v/>
      </c>
      <c r="B1528" s="2" t="n">
        <v>43207.90736111111</v>
      </c>
      <c r="C1528" t="n">
        <v>0</v>
      </c>
      <c r="D1528" t="n">
        <v>529</v>
      </c>
      <c r="E1528" t="s">
        <v>1539</v>
      </c>
      <c r="F1528">
        <f>HYPERLINK("http://pbs.twimg.com/media/DbAoko3VAAArxbR.jpg", "http://pbs.twimg.com/media/DbAoko3VAAArxbR.jpg")</f>
        <v/>
      </c>
      <c r="G1528" t="s"/>
      <c r="H1528" t="s"/>
      <c r="I1528" t="s"/>
      <c r="J1528" t="n">
        <v>-0.3182</v>
      </c>
      <c r="K1528" t="n">
        <v>0.19</v>
      </c>
      <c r="L1528" t="n">
        <v>0.6830000000000001</v>
      </c>
      <c r="M1528" t="n">
        <v>0.127</v>
      </c>
    </row>
    <row r="1529" spans="1:13">
      <c r="A1529" s="1">
        <f>HYPERLINK("http://www.twitter.com/NathanBLawrence/status/986360256086372352", "986360256086372352")</f>
        <v/>
      </c>
      <c r="B1529" s="2" t="n">
        <v>43207.90723379629</v>
      </c>
      <c r="C1529" t="n">
        <v>0</v>
      </c>
      <c r="D1529" t="n">
        <v>4</v>
      </c>
      <c r="E1529" t="s">
        <v>1540</v>
      </c>
      <c r="F1529" t="s"/>
      <c r="G1529" t="s"/>
      <c r="H1529" t="s"/>
      <c r="I1529" t="s"/>
      <c r="J1529" t="n">
        <v>0.4574</v>
      </c>
      <c r="K1529" t="n">
        <v>0</v>
      </c>
      <c r="L1529" t="n">
        <v>0.77</v>
      </c>
      <c r="M1529" t="n">
        <v>0.23</v>
      </c>
    </row>
    <row r="1530" spans="1:13">
      <c r="A1530" s="1">
        <f>HYPERLINK("http://www.twitter.com/NathanBLawrence/status/986359823657816064", "986359823657816064")</f>
        <v/>
      </c>
      <c r="B1530" s="2" t="n">
        <v>43207.90604166667</v>
      </c>
      <c r="C1530" t="n">
        <v>0</v>
      </c>
      <c r="D1530" t="n">
        <v>383</v>
      </c>
      <c r="E1530" t="s">
        <v>1541</v>
      </c>
      <c r="F1530" t="s"/>
      <c r="G1530" t="s"/>
      <c r="H1530" t="s"/>
      <c r="I1530" t="s"/>
      <c r="J1530" t="n">
        <v>0.5562</v>
      </c>
      <c r="K1530" t="n">
        <v>0.082</v>
      </c>
      <c r="L1530" t="n">
        <v>0.731</v>
      </c>
      <c r="M1530" t="n">
        <v>0.187</v>
      </c>
    </row>
    <row r="1531" spans="1:13">
      <c r="A1531" s="1">
        <f>HYPERLINK("http://www.twitter.com/NathanBLawrence/status/986359675288514565", "986359675288514565")</f>
        <v/>
      </c>
      <c r="B1531" s="2" t="n">
        <v>43207.905625</v>
      </c>
      <c r="C1531" t="n">
        <v>0</v>
      </c>
      <c r="D1531" t="n">
        <v>232</v>
      </c>
      <c r="E1531" t="s">
        <v>1542</v>
      </c>
      <c r="F1531">
        <f>HYPERLINK("http://pbs.twimg.com/media/DbAgnLBVAAAw9jz.jpg", "http://pbs.twimg.com/media/DbAgnLBVAAAw9jz.jpg")</f>
        <v/>
      </c>
      <c r="G1531" t="s"/>
      <c r="H1531" t="s"/>
      <c r="I1531" t="s"/>
      <c r="J1531" t="n">
        <v>-0.1027</v>
      </c>
      <c r="K1531" t="n">
        <v>0.08500000000000001</v>
      </c>
      <c r="L1531" t="n">
        <v>0.915</v>
      </c>
      <c r="M1531" t="n">
        <v>0</v>
      </c>
    </row>
    <row r="1532" spans="1:13">
      <c r="A1532" s="1">
        <f>HYPERLINK("http://www.twitter.com/NathanBLawrence/status/986359627465084933", "986359627465084933")</f>
        <v/>
      </c>
      <c r="B1532" s="2" t="n">
        <v>43207.90549768518</v>
      </c>
      <c r="C1532" t="n">
        <v>0</v>
      </c>
      <c r="D1532" t="n">
        <v>2774</v>
      </c>
      <c r="E1532" t="s">
        <v>1543</v>
      </c>
      <c r="F1532" t="s"/>
      <c r="G1532" t="s"/>
      <c r="H1532" t="s"/>
      <c r="I1532" t="s"/>
      <c r="J1532" t="n">
        <v>0.1027</v>
      </c>
      <c r="K1532" t="n">
        <v>0</v>
      </c>
      <c r="L1532" t="n">
        <v>0.931</v>
      </c>
      <c r="M1532" t="n">
        <v>0.06900000000000001</v>
      </c>
    </row>
    <row r="1533" spans="1:13">
      <c r="A1533" s="1">
        <f>HYPERLINK("http://www.twitter.com/NathanBLawrence/status/986359472066060288", "986359472066060288")</f>
        <v/>
      </c>
      <c r="B1533" s="2" t="n">
        <v>43207.90506944444</v>
      </c>
      <c r="C1533" t="n">
        <v>0</v>
      </c>
      <c r="D1533" t="n">
        <v>693</v>
      </c>
      <c r="E1533" t="s">
        <v>1544</v>
      </c>
      <c r="F1533" t="s"/>
      <c r="G1533" t="s"/>
      <c r="H1533" t="s"/>
      <c r="I1533" t="s"/>
      <c r="J1533" t="n">
        <v>0.2023</v>
      </c>
      <c r="K1533" t="n">
        <v>0</v>
      </c>
      <c r="L1533" t="n">
        <v>0.917</v>
      </c>
      <c r="M1533" t="n">
        <v>0.083</v>
      </c>
    </row>
    <row r="1534" spans="1:13">
      <c r="A1534" s="1">
        <f>HYPERLINK("http://www.twitter.com/NathanBLawrence/status/986359350385143810", "986359350385143810")</f>
        <v/>
      </c>
      <c r="B1534" s="2" t="n">
        <v>43207.9047337963</v>
      </c>
      <c r="C1534" t="n">
        <v>0</v>
      </c>
      <c r="D1534" t="n">
        <v>7</v>
      </c>
      <c r="E1534" t="s">
        <v>1545</v>
      </c>
      <c r="F1534">
        <f>HYPERLINK("http://pbs.twimg.com/media/DbBAPs2X4AEQmOu.jpg", "http://pbs.twimg.com/media/DbBAPs2X4AEQmOu.jpg")</f>
        <v/>
      </c>
      <c r="G1534" t="s"/>
      <c r="H1534" t="s"/>
      <c r="I1534" t="s"/>
      <c r="J1534" t="n">
        <v>-0.6908</v>
      </c>
      <c r="K1534" t="n">
        <v>0.305</v>
      </c>
      <c r="L1534" t="n">
        <v>0.695</v>
      </c>
      <c r="M1534" t="n">
        <v>0</v>
      </c>
    </row>
    <row r="1535" spans="1:13">
      <c r="A1535" s="1">
        <f>HYPERLINK("http://www.twitter.com/NathanBLawrence/status/986359000294940673", "986359000294940673")</f>
        <v/>
      </c>
      <c r="B1535" s="2" t="n">
        <v>43207.90376157407</v>
      </c>
      <c r="C1535" t="n">
        <v>0</v>
      </c>
      <c r="D1535" t="n">
        <v>112</v>
      </c>
      <c r="E1535" t="s">
        <v>1546</v>
      </c>
      <c r="F1535" t="s"/>
      <c r="G1535" t="s"/>
      <c r="H1535" t="s"/>
      <c r="I1535" t="s"/>
      <c r="J1535" t="n">
        <v>-0.2023</v>
      </c>
      <c r="K1535" t="n">
        <v>0.096</v>
      </c>
      <c r="L1535" t="n">
        <v>0.904</v>
      </c>
      <c r="M1535" t="n">
        <v>0</v>
      </c>
    </row>
    <row r="1536" spans="1:13">
      <c r="A1536" s="1">
        <f>HYPERLINK("http://www.twitter.com/NathanBLawrence/status/986357974309441548", "986357974309441548")</f>
        <v/>
      </c>
      <c r="B1536" s="2" t="n">
        <v>43207.9009375</v>
      </c>
      <c r="C1536" t="n">
        <v>0</v>
      </c>
      <c r="D1536" t="n">
        <v>112</v>
      </c>
      <c r="E1536" t="s">
        <v>1547</v>
      </c>
      <c r="F1536" t="s"/>
      <c r="G1536" t="s"/>
      <c r="H1536" t="s"/>
      <c r="I1536" t="s"/>
      <c r="J1536" t="n">
        <v>0</v>
      </c>
      <c r="K1536" t="n">
        <v>0</v>
      </c>
      <c r="L1536" t="n">
        <v>1</v>
      </c>
      <c r="M1536" t="n">
        <v>0</v>
      </c>
    </row>
    <row r="1537" spans="1:13">
      <c r="A1537" s="1">
        <f>HYPERLINK("http://www.twitter.com/NathanBLawrence/status/986357883628646402", "986357883628646402")</f>
        <v/>
      </c>
      <c r="B1537" s="2" t="n">
        <v>43207.90068287037</v>
      </c>
      <c r="C1537" t="n">
        <v>0</v>
      </c>
      <c r="D1537" t="n">
        <v>121</v>
      </c>
      <c r="E1537" t="s">
        <v>1548</v>
      </c>
      <c r="F1537">
        <f>HYPERLINK("http://pbs.twimg.com/media/DbA06oLXcAY_xJr.jpg", "http://pbs.twimg.com/media/DbA06oLXcAY_xJr.jpg")</f>
        <v/>
      </c>
      <c r="G1537" t="s"/>
      <c r="H1537" t="s"/>
      <c r="I1537" t="s"/>
      <c r="J1537" t="n">
        <v>0.4215</v>
      </c>
      <c r="K1537" t="n">
        <v>0</v>
      </c>
      <c r="L1537" t="n">
        <v>0.877</v>
      </c>
      <c r="M1537" t="n">
        <v>0.123</v>
      </c>
    </row>
    <row r="1538" spans="1:13">
      <c r="A1538" s="1">
        <f>HYPERLINK("http://www.twitter.com/NathanBLawrence/status/986357796265439232", "986357796265439232")</f>
        <v/>
      </c>
      <c r="B1538" s="2" t="n">
        <v>43207.90043981482</v>
      </c>
      <c r="C1538" t="n">
        <v>0</v>
      </c>
      <c r="D1538" t="n">
        <v>138</v>
      </c>
      <c r="E1538" t="s">
        <v>1549</v>
      </c>
      <c r="F1538">
        <f>HYPERLINK("http://pbs.twimg.com/media/DbAzZh-VAAAkziN.jpg", "http://pbs.twimg.com/media/DbAzZh-VAAAkziN.jpg")</f>
        <v/>
      </c>
      <c r="G1538" t="s"/>
      <c r="H1538" t="s"/>
      <c r="I1538" t="s"/>
      <c r="J1538" t="n">
        <v>-0.802</v>
      </c>
      <c r="K1538" t="n">
        <v>0.275</v>
      </c>
      <c r="L1538" t="n">
        <v>0.725</v>
      </c>
      <c r="M1538" t="n">
        <v>0</v>
      </c>
    </row>
    <row r="1539" spans="1:13">
      <c r="A1539" s="1">
        <f>HYPERLINK("http://www.twitter.com/NathanBLawrence/status/986357514861268992", "986357514861268992")</f>
        <v/>
      </c>
      <c r="B1539" s="2" t="n">
        <v>43207.89966435185</v>
      </c>
      <c r="C1539" t="n">
        <v>0</v>
      </c>
      <c r="D1539" t="n">
        <v>738</v>
      </c>
      <c r="E1539" t="s">
        <v>1550</v>
      </c>
      <c r="F1539" t="s"/>
      <c r="G1539" t="s"/>
      <c r="H1539" t="s"/>
      <c r="I1539" t="s"/>
      <c r="J1539" t="n">
        <v>-0.1531</v>
      </c>
      <c r="K1539" t="n">
        <v>0.068</v>
      </c>
      <c r="L1539" t="n">
        <v>0.9320000000000001</v>
      </c>
      <c r="M1539" t="n">
        <v>0</v>
      </c>
    </row>
    <row r="1540" spans="1:13">
      <c r="A1540" s="1">
        <f>HYPERLINK("http://www.twitter.com/NathanBLawrence/status/986356917613355008", "986356917613355008")</f>
        <v/>
      </c>
      <c r="B1540" s="2" t="n">
        <v>43207.89802083333</v>
      </c>
      <c r="C1540" t="n">
        <v>0</v>
      </c>
      <c r="D1540" t="n">
        <v>1183</v>
      </c>
      <c r="E1540" t="s">
        <v>1551</v>
      </c>
      <c r="F1540" t="s"/>
      <c r="G1540" t="s"/>
      <c r="H1540" t="s"/>
      <c r="I1540" t="s"/>
      <c r="J1540" t="n">
        <v>-0.4215</v>
      </c>
      <c r="K1540" t="n">
        <v>0.157</v>
      </c>
      <c r="L1540" t="n">
        <v>0.843</v>
      </c>
      <c r="M1540" t="n">
        <v>0</v>
      </c>
    </row>
    <row r="1541" spans="1:13">
      <c r="A1541" s="1">
        <f>HYPERLINK("http://www.twitter.com/NathanBLawrence/status/986356664730357762", "986356664730357762")</f>
        <v/>
      </c>
      <c r="B1541" s="2" t="n">
        <v>43207.89732638889</v>
      </c>
      <c r="C1541" t="n">
        <v>0</v>
      </c>
      <c r="D1541" t="n">
        <v>14421</v>
      </c>
      <c r="E1541" t="s">
        <v>1552</v>
      </c>
      <c r="F1541">
        <f>HYPERLINK("https://video.twimg.com/ext_tw_video/986344759022125056/pu/vid/1280x720/5-KbQyI6kOEsE5cI.mp4?tag=2", "https://video.twimg.com/ext_tw_video/986344759022125056/pu/vid/1280x720/5-KbQyI6kOEsE5cI.mp4?tag=2")</f>
        <v/>
      </c>
      <c r="G1541" t="s"/>
      <c r="H1541" t="s"/>
      <c r="I1541" t="s"/>
      <c r="J1541" t="n">
        <v>0.5093</v>
      </c>
      <c r="K1541" t="n">
        <v>0</v>
      </c>
      <c r="L1541" t="n">
        <v>0.646</v>
      </c>
      <c r="M1541" t="n">
        <v>0.354</v>
      </c>
    </row>
    <row r="1542" spans="1:13">
      <c r="A1542" s="1">
        <f>HYPERLINK("http://www.twitter.com/NathanBLawrence/status/986306437990187008", "986306437990187008")</f>
        <v/>
      </c>
      <c r="B1542" s="2" t="n">
        <v>43207.75872685185</v>
      </c>
      <c r="C1542" t="n">
        <v>0</v>
      </c>
      <c r="D1542" t="n">
        <v>2727</v>
      </c>
      <c r="E1542" t="s">
        <v>1553</v>
      </c>
      <c r="F1542">
        <f>HYPERLINK("http://pbs.twimg.com/media/DavhPAIW4AApZaP.jpg", "http://pbs.twimg.com/media/DavhPAIW4AApZaP.jpg")</f>
        <v/>
      </c>
      <c r="G1542" t="s"/>
      <c r="H1542" t="s"/>
      <c r="I1542" t="s"/>
      <c r="J1542" t="n">
        <v>0.6486</v>
      </c>
      <c r="K1542" t="n">
        <v>0.083</v>
      </c>
      <c r="L1542" t="n">
        <v>0.6929999999999999</v>
      </c>
      <c r="M1542" t="n">
        <v>0.224</v>
      </c>
    </row>
    <row r="1543" spans="1:13">
      <c r="A1543" s="1">
        <f>HYPERLINK("http://www.twitter.com/NathanBLawrence/status/986305659204489216", "986305659204489216")</f>
        <v/>
      </c>
      <c r="B1543" s="2" t="n">
        <v>43207.75657407408</v>
      </c>
      <c r="C1543" t="n">
        <v>0</v>
      </c>
      <c r="D1543" t="n">
        <v>7</v>
      </c>
      <c r="E1543" t="s">
        <v>1554</v>
      </c>
      <c r="F1543">
        <f>HYPERLINK("http://pbs.twimg.com/media/DbAO12pWkAAmvjL.jpg", "http://pbs.twimg.com/media/DbAO12pWkAAmvjL.jpg")</f>
        <v/>
      </c>
      <c r="G1543" t="s"/>
      <c r="H1543" t="s"/>
      <c r="I1543" t="s"/>
      <c r="J1543" t="n">
        <v>-0.34</v>
      </c>
      <c r="K1543" t="n">
        <v>0.098</v>
      </c>
      <c r="L1543" t="n">
        <v>0.902</v>
      </c>
      <c r="M1543" t="n">
        <v>0</v>
      </c>
    </row>
    <row r="1544" spans="1:13">
      <c r="A1544" s="1">
        <f>HYPERLINK("http://www.twitter.com/NathanBLawrence/status/986305167208435712", "986305167208435712")</f>
        <v/>
      </c>
      <c r="B1544" s="2" t="n">
        <v>43207.75521990741</v>
      </c>
      <c r="C1544" t="n">
        <v>0</v>
      </c>
      <c r="D1544" t="n">
        <v>307</v>
      </c>
      <c r="E1544" t="s">
        <v>1555</v>
      </c>
      <c r="F1544">
        <f>HYPERLINK("http://pbs.twimg.com/media/Da_2XHNUMAAtpM2.jpg", "http://pbs.twimg.com/media/Da_2XHNUMAAtpM2.jpg")</f>
        <v/>
      </c>
      <c r="G1544" t="s"/>
      <c r="H1544" t="s"/>
      <c r="I1544" t="s"/>
      <c r="J1544" t="n">
        <v>0</v>
      </c>
      <c r="K1544" t="n">
        <v>0</v>
      </c>
      <c r="L1544" t="n">
        <v>1</v>
      </c>
      <c r="M1544" t="n">
        <v>0</v>
      </c>
    </row>
    <row r="1545" spans="1:13">
      <c r="A1545" s="1">
        <f>HYPERLINK("http://www.twitter.com/NathanBLawrence/status/986304964892024832", "986304964892024832")</f>
        <v/>
      </c>
      <c r="B1545" s="2" t="n">
        <v>43207.75465277778</v>
      </c>
      <c r="C1545" t="n">
        <v>0</v>
      </c>
      <c r="D1545" t="n">
        <v>1947</v>
      </c>
      <c r="E1545" t="s">
        <v>1556</v>
      </c>
      <c r="F1545" t="s"/>
      <c r="G1545" t="s"/>
      <c r="H1545" t="s"/>
      <c r="I1545" t="s"/>
      <c r="J1545" t="n">
        <v>0</v>
      </c>
      <c r="K1545" t="n">
        <v>0</v>
      </c>
      <c r="L1545" t="n">
        <v>1</v>
      </c>
      <c r="M1545" t="n">
        <v>0</v>
      </c>
    </row>
    <row r="1546" spans="1:13">
      <c r="A1546" s="1">
        <f>HYPERLINK("http://www.twitter.com/NathanBLawrence/status/986304525291212800", "986304525291212800")</f>
        <v/>
      </c>
      <c r="B1546" s="2" t="n">
        <v>43207.75344907407</v>
      </c>
      <c r="C1546" t="n">
        <v>0</v>
      </c>
      <c r="D1546" t="n">
        <v>151</v>
      </c>
      <c r="E1546" t="s">
        <v>1557</v>
      </c>
      <c r="F1546" t="s"/>
      <c r="G1546" t="s"/>
      <c r="H1546" t="s"/>
      <c r="I1546" t="s"/>
      <c r="J1546" t="n">
        <v>0.2942</v>
      </c>
      <c r="K1546" t="n">
        <v>0.182</v>
      </c>
      <c r="L1546" t="n">
        <v>0.5600000000000001</v>
      </c>
      <c r="M1546" t="n">
        <v>0.259</v>
      </c>
    </row>
    <row r="1547" spans="1:13">
      <c r="A1547" s="1">
        <f>HYPERLINK("http://www.twitter.com/NathanBLawrence/status/986303497263042562", "986303497263042562")</f>
        <v/>
      </c>
      <c r="B1547" s="2" t="n">
        <v>43207.75061342592</v>
      </c>
      <c r="C1547" t="n">
        <v>0</v>
      </c>
      <c r="D1547" t="n">
        <v>6</v>
      </c>
      <c r="E1547" t="s">
        <v>1558</v>
      </c>
      <c r="F1547" t="s"/>
      <c r="G1547" t="s"/>
      <c r="H1547" t="s"/>
      <c r="I1547" t="s"/>
      <c r="J1547" t="n">
        <v>0.1531</v>
      </c>
      <c r="K1547" t="n">
        <v>0</v>
      </c>
      <c r="L1547" t="n">
        <v>0.89</v>
      </c>
      <c r="M1547" t="n">
        <v>0.11</v>
      </c>
    </row>
    <row r="1548" spans="1:13">
      <c r="A1548" s="1">
        <f>HYPERLINK("http://www.twitter.com/NathanBLawrence/status/986301939150401536", "986301939150401536")</f>
        <v/>
      </c>
      <c r="B1548" s="2" t="n">
        <v>43207.74630787037</v>
      </c>
      <c r="C1548" t="n">
        <v>0</v>
      </c>
      <c r="D1548" t="n">
        <v>6</v>
      </c>
      <c r="E1548" t="s">
        <v>1559</v>
      </c>
      <c r="F1548" t="s"/>
      <c r="G1548" t="s"/>
      <c r="H1548" t="s"/>
      <c r="I1548" t="s"/>
      <c r="J1548" t="n">
        <v>0.3818</v>
      </c>
      <c r="K1548" t="n">
        <v>0</v>
      </c>
      <c r="L1548" t="n">
        <v>0.822</v>
      </c>
      <c r="M1548" t="n">
        <v>0.178</v>
      </c>
    </row>
    <row r="1549" spans="1:13">
      <c r="A1549" s="1">
        <f>HYPERLINK("http://www.twitter.com/NathanBLawrence/status/986301288924286976", "986301288924286976")</f>
        <v/>
      </c>
      <c r="B1549" s="2" t="n">
        <v>43207.74451388889</v>
      </c>
      <c r="C1549" t="n">
        <v>0</v>
      </c>
      <c r="D1549" t="n">
        <v>28</v>
      </c>
      <c r="E1549" t="s">
        <v>1560</v>
      </c>
      <c r="F1549">
        <f>HYPERLINK("http://pbs.twimg.com/media/Da-vYuJVAAAGwa1.jpg", "http://pbs.twimg.com/media/Da-vYuJVAAAGwa1.jpg")</f>
        <v/>
      </c>
      <c r="G1549" t="s"/>
      <c r="H1549" t="s"/>
      <c r="I1549" t="s"/>
      <c r="J1549" t="n">
        <v>0</v>
      </c>
      <c r="K1549" t="n">
        <v>0</v>
      </c>
      <c r="L1549" t="n">
        <v>1</v>
      </c>
      <c r="M1549" t="n">
        <v>0</v>
      </c>
    </row>
    <row r="1550" spans="1:13">
      <c r="A1550" s="1">
        <f>HYPERLINK("http://www.twitter.com/NathanBLawrence/status/986301158892494848", "986301158892494848")</f>
        <v/>
      </c>
      <c r="B1550" s="2" t="n">
        <v>43207.74415509259</v>
      </c>
      <c r="C1550" t="n">
        <v>0</v>
      </c>
      <c r="D1550" t="n">
        <v>10401</v>
      </c>
      <c r="E1550" t="s">
        <v>1561</v>
      </c>
      <c r="F1550" t="s"/>
      <c r="G1550" t="s"/>
      <c r="H1550" t="s"/>
      <c r="I1550" t="s"/>
      <c r="J1550" t="n">
        <v>0.6249</v>
      </c>
      <c r="K1550" t="n">
        <v>0.052</v>
      </c>
      <c r="L1550" t="n">
        <v>0.743</v>
      </c>
      <c r="M1550" t="n">
        <v>0.204</v>
      </c>
    </row>
    <row r="1551" spans="1:13">
      <c r="A1551" s="1">
        <f>HYPERLINK("http://www.twitter.com/NathanBLawrence/status/986300343519719426", "986300343519719426")</f>
        <v/>
      </c>
      <c r="B1551" s="2" t="n">
        <v>43207.74190972222</v>
      </c>
      <c r="C1551" t="n">
        <v>0</v>
      </c>
      <c r="D1551" t="n">
        <v>771</v>
      </c>
      <c r="E1551" t="s">
        <v>1562</v>
      </c>
      <c r="F1551" t="s"/>
      <c r="G1551" t="s"/>
      <c r="H1551" t="s"/>
      <c r="I1551" t="s"/>
      <c r="J1551" t="n">
        <v>0</v>
      </c>
      <c r="K1551" t="n">
        <v>0</v>
      </c>
      <c r="L1551" t="n">
        <v>1</v>
      </c>
      <c r="M1551" t="n">
        <v>0</v>
      </c>
    </row>
    <row r="1552" spans="1:13">
      <c r="A1552" s="1">
        <f>HYPERLINK("http://www.twitter.com/NathanBLawrence/status/986300295155277824", "986300295155277824")</f>
        <v/>
      </c>
      <c r="B1552" s="2" t="n">
        <v>43207.74177083333</v>
      </c>
      <c r="C1552" t="n">
        <v>0</v>
      </c>
      <c r="D1552" t="n">
        <v>41</v>
      </c>
      <c r="E1552" t="s">
        <v>1563</v>
      </c>
      <c r="F1552" t="s"/>
      <c r="G1552" t="s"/>
      <c r="H1552" t="s"/>
      <c r="I1552" t="s"/>
      <c r="J1552" t="n">
        <v>0</v>
      </c>
      <c r="K1552" t="n">
        <v>0</v>
      </c>
      <c r="L1552" t="n">
        <v>1</v>
      </c>
      <c r="M1552" t="n">
        <v>0</v>
      </c>
    </row>
    <row r="1553" spans="1:13">
      <c r="A1553" s="1">
        <f>HYPERLINK("http://www.twitter.com/NathanBLawrence/status/986299971585667073", "986299971585667073")</f>
        <v/>
      </c>
      <c r="B1553" s="2" t="n">
        <v>43207.74087962963</v>
      </c>
      <c r="C1553" t="n">
        <v>0</v>
      </c>
      <c r="D1553" t="n">
        <v>113</v>
      </c>
      <c r="E1553" t="s">
        <v>1564</v>
      </c>
      <c r="F1553">
        <f>HYPERLINK("http://pbs.twimg.com/media/DbAEMYRX4AEB8Hm.jpg", "http://pbs.twimg.com/media/DbAEMYRX4AEB8Hm.jpg")</f>
        <v/>
      </c>
      <c r="G1553" t="s"/>
      <c r="H1553" t="s"/>
      <c r="I1553" t="s"/>
      <c r="J1553" t="n">
        <v>0</v>
      </c>
      <c r="K1553" t="n">
        <v>0</v>
      </c>
      <c r="L1553" t="n">
        <v>1</v>
      </c>
      <c r="M1553" t="n">
        <v>0</v>
      </c>
    </row>
    <row r="1554" spans="1:13">
      <c r="A1554" s="1">
        <f>HYPERLINK("http://www.twitter.com/NathanBLawrence/status/986299876228071426", "986299876228071426")</f>
        <v/>
      </c>
      <c r="B1554" s="2" t="n">
        <v>43207.74061342593</v>
      </c>
      <c r="C1554" t="n">
        <v>0</v>
      </c>
      <c r="D1554" t="n">
        <v>109</v>
      </c>
      <c r="E1554" t="s">
        <v>1565</v>
      </c>
      <c r="F1554">
        <f>HYPERLINK("http://pbs.twimg.com/media/DbAEpNhX0AADmeG.jpg", "http://pbs.twimg.com/media/DbAEpNhX0AADmeG.jpg")</f>
        <v/>
      </c>
      <c r="G1554" t="s"/>
      <c r="H1554" t="s"/>
      <c r="I1554" t="s"/>
      <c r="J1554" t="n">
        <v>0</v>
      </c>
      <c r="K1554" t="n">
        <v>0</v>
      </c>
      <c r="L1554" t="n">
        <v>1</v>
      </c>
      <c r="M1554" t="n">
        <v>0</v>
      </c>
    </row>
    <row r="1555" spans="1:13">
      <c r="A1555" s="1">
        <f>HYPERLINK("http://www.twitter.com/NathanBLawrence/status/986299733726638081", "986299733726638081")</f>
        <v/>
      </c>
      <c r="B1555" s="2" t="n">
        <v>43207.74021990741</v>
      </c>
      <c r="C1555" t="n">
        <v>0</v>
      </c>
      <c r="D1555" t="n">
        <v>130</v>
      </c>
      <c r="E1555" t="s">
        <v>1566</v>
      </c>
      <c r="F1555" t="s"/>
      <c r="G1555" t="s"/>
      <c r="H1555" t="s"/>
      <c r="I1555" t="s"/>
      <c r="J1555" t="n">
        <v>0</v>
      </c>
      <c r="K1555" t="n">
        <v>0</v>
      </c>
      <c r="L1555" t="n">
        <v>1</v>
      </c>
      <c r="M1555" t="n">
        <v>0</v>
      </c>
    </row>
    <row r="1556" spans="1:13">
      <c r="A1556" s="1">
        <f>HYPERLINK("http://www.twitter.com/NathanBLawrence/status/986299311695769601", "986299311695769601")</f>
        <v/>
      </c>
      <c r="B1556" s="2" t="n">
        <v>43207.7390625</v>
      </c>
      <c r="C1556" t="n">
        <v>0</v>
      </c>
      <c r="D1556" t="n">
        <v>956</v>
      </c>
      <c r="E1556" t="s">
        <v>1567</v>
      </c>
      <c r="F1556">
        <f>HYPERLINK("http://pbs.twimg.com/media/Da_7tAYUMAARnRU.jpg", "http://pbs.twimg.com/media/Da_7tAYUMAARnRU.jpg")</f>
        <v/>
      </c>
      <c r="G1556" t="s"/>
      <c r="H1556" t="s"/>
      <c r="I1556" t="s"/>
      <c r="J1556" t="n">
        <v>0.1759</v>
      </c>
      <c r="K1556" t="n">
        <v>0.266</v>
      </c>
      <c r="L1556" t="n">
        <v>0.38</v>
      </c>
      <c r="M1556" t="n">
        <v>0.354</v>
      </c>
    </row>
    <row r="1557" spans="1:13">
      <c r="A1557" s="1">
        <f>HYPERLINK("http://www.twitter.com/NathanBLawrence/status/986299217894309890", "986299217894309890")</f>
        <v/>
      </c>
      <c r="B1557" s="2" t="n">
        <v>43207.7387962963</v>
      </c>
      <c r="C1557" t="n">
        <v>0</v>
      </c>
      <c r="D1557" t="n">
        <v>645</v>
      </c>
      <c r="E1557" t="s">
        <v>1568</v>
      </c>
      <c r="F1557">
        <f>HYPERLINK("http://pbs.twimg.com/media/Da_9AoQU8AEfZtI.jpg", "http://pbs.twimg.com/media/Da_9AoQU8AEfZtI.jpg")</f>
        <v/>
      </c>
      <c r="G1557" t="s"/>
      <c r="H1557" t="s"/>
      <c r="I1557" t="s"/>
      <c r="J1557" t="n">
        <v>0</v>
      </c>
      <c r="K1557" t="n">
        <v>0</v>
      </c>
      <c r="L1557" t="n">
        <v>1</v>
      </c>
      <c r="M1557" t="n">
        <v>0</v>
      </c>
    </row>
    <row r="1558" spans="1:13">
      <c r="A1558" s="1">
        <f>HYPERLINK("http://www.twitter.com/NathanBLawrence/status/986299179113820160", "986299179113820160")</f>
        <v/>
      </c>
      <c r="B1558" s="2" t="n">
        <v>43207.73869212963</v>
      </c>
      <c r="C1558" t="n">
        <v>0</v>
      </c>
      <c r="D1558" t="n">
        <v>154</v>
      </c>
      <c r="E1558" t="s">
        <v>1569</v>
      </c>
      <c r="F1558" t="s"/>
      <c r="G1558" t="s"/>
      <c r="H1558" t="s"/>
      <c r="I1558" t="s"/>
      <c r="J1558" t="n">
        <v>-0.6908</v>
      </c>
      <c r="K1558" t="n">
        <v>0.222</v>
      </c>
      <c r="L1558" t="n">
        <v>0.778</v>
      </c>
      <c r="M1558" t="n">
        <v>0</v>
      </c>
    </row>
    <row r="1559" spans="1:13">
      <c r="A1559" s="1">
        <f>HYPERLINK("http://www.twitter.com/NathanBLawrence/status/986298918253350912", "986298918253350912")</f>
        <v/>
      </c>
      <c r="B1559" s="2" t="n">
        <v>43207.73797453703</v>
      </c>
      <c r="C1559" t="n">
        <v>0</v>
      </c>
      <c r="D1559" t="n">
        <v>522</v>
      </c>
      <c r="E1559" t="s">
        <v>1570</v>
      </c>
      <c r="F1559">
        <f>HYPERLINK("http://pbs.twimg.com/media/Da_00LCXcAU9EDU.jpg", "http://pbs.twimg.com/media/Da_00LCXcAU9EDU.jpg")</f>
        <v/>
      </c>
      <c r="G1559" t="s"/>
      <c r="H1559" t="s"/>
      <c r="I1559" t="s"/>
      <c r="J1559" t="n">
        <v>-0.2732</v>
      </c>
      <c r="K1559" t="n">
        <v>0.075</v>
      </c>
      <c r="L1559" t="n">
        <v>0.925</v>
      </c>
      <c r="M1559" t="n">
        <v>0</v>
      </c>
    </row>
    <row r="1560" spans="1:13">
      <c r="A1560" s="1">
        <f>HYPERLINK("http://www.twitter.com/NathanBLawrence/status/986298758102208513", "986298758102208513")</f>
        <v/>
      </c>
      <c r="B1560" s="2" t="n">
        <v>43207.73753472222</v>
      </c>
      <c r="C1560" t="n">
        <v>0</v>
      </c>
      <c r="D1560" t="n">
        <v>69</v>
      </c>
      <c r="E1560" t="s">
        <v>1571</v>
      </c>
      <c r="F1560">
        <f>HYPERLINK("http://pbs.twimg.com/media/DbAFGm9X4AEzh0s.jpg", "http://pbs.twimg.com/media/DbAFGm9X4AEzh0s.jpg")</f>
        <v/>
      </c>
      <c r="G1560" t="s"/>
      <c r="H1560" t="s"/>
      <c r="I1560" t="s"/>
      <c r="J1560" t="n">
        <v>-0.0772</v>
      </c>
      <c r="K1560" t="n">
        <v>0.183</v>
      </c>
      <c r="L1560" t="n">
        <v>0.678</v>
      </c>
      <c r="M1560" t="n">
        <v>0.139</v>
      </c>
    </row>
    <row r="1561" spans="1:13">
      <c r="A1561" s="1">
        <f>HYPERLINK("http://www.twitter.com/NathanBLawrence/status/986297612088348678", "986297612088348678")</f>
        <v/>
      </c>
      <c r="B1561" s="2" t="n">
        <v>43207.73436342592</v>
      </c>
      <c r="C1561" t="n">
        <v>0</v>
      </c>
      <c r="D1561" t="n">
        <v>156</v>
      </c>
      <c r="E1561" t="s">
        <v>1572</v>
      </c>
      <c r="F1561">
        <f>HYPERLINK("http://pbs.twimg.com/media/Da_1MzAWAAACwbn.jpg", "http://pbs.twimg.com/media/Da_1MzAWAAACwbn.jpg")</f>
        <v/>
      </c>
      <c r="G1561" t="s"/>
      <c r="H1561" t="s"/>
      <c r="I1561" t="s"/>
      <c r="J1561" t="n">
        <v>0</v>
      </c>
      <c r="K1561" t="n">
        <v>0</v>
      </c>
      <c r="L1561" t="n">
        <v>1</v>
      </c>
      <c r="M1561" t="n">
        <v>0</v>
      </c>
    </row>
    <row r="1562" spans="1:13">
      <c r="A1562" s="1">
        <f>HYPERLINK("http://www.twitter.com/NathanBLawrence/status/986297034528428032", "986297034528428032")</f>
        <v/>
      </c>
      <c r="B1562" s="2" t="n">
        <v>43207.73277777778</v>
      </c>
      <c r="C1562" t="n">
        <v>0</v>
      </c>
      <c r="D1562" t="n">
        <v>179</v>
      </c>
      <c r="E1562" t="s">
        <v>1573</v>
      </c>
      <c r="F1562" t="s"/>
      <c r="G1562" t="s"/>
      <c r="H1562" t="s"/>
      <c r="I1562" t="s"/>
      <c r="J1562" t="n">
        <v>0</v>
      </c>
      <c r="K1562" t="n">
        <v>0</v>
      </c>
      <c r="L1562" t="n">
        <v>1</v>
      </c>
      <c r="M1562" t="n">
        <v>0</v>
      </c>
    </row>
    <row r="1563" spans="1:13">
      <c r="A1563" s="1">
        <f>HYPERLINK("http://www.twitter.com/NathanBLawrence/status/986296888063295489", "986296888063295489")</f>
        <v/>
      </c>
      <c r="B1563" s="2" t="n">
        <v>43207.73237268518</v>
      </c>
      <c r="C1563" t="n">
        <v>0</v>
      </c>
      <c r="D1563" t="n">
        <v>2760</v>
      </c>
      <c r="E1563" t="s">
        <v>1574</v>
      </c>
      <c r="F1563" t="s"/>
      <c r="G1563" t="s"/>
      <c r="H1563" t="s"/>
      <c r="I1563" t="s"/>
      <c r="J1563" t="n">
        <v>-0.802</v>
      </c>
      <c r="K1563" t="n">
        <v>0.255</v>
      </c>
      <c r="L1563" t="n">
        <v>0.745</v>
      </c>
      <c r="M1563" t="n">
        <v>0</v>
      </c>
    </row>
    <row r="1564" spans="1:13">
      <c r="A1564" s="1">
        <f>HYPERLINK("http://www.twitter.com/NathanBLawrence/status/986296848964046848", "986296848964046848")</f>
        <v/>
      </c>
      <c r="B1564" s="2" t="n">
        <v>43207.73225694444</v>
      </c>
      <c r="C1564" t="n">
        <v>0</v>
      </c>
      <c r="D1564" t="n">
        <v>1373</v>
      </c>
      <c r="E1564" t="s">
        <v>1575</v>
      </c>
      <c r="F1564" t="s"/>
      <c r="G1564" t="s"/>
      <c r="H1564" t="s"/>
      <c r="I1564" t="s"/>
      <c r="J1564" t="n">
        <v>-0.1027</v>
      </c>
      <c r="K1564" t="n">
        <v>0.173</v>
      </c>
      <c r="L1564" t="n">
        <v>0.709</v>
      </c>
      <c r="M1564" t="n">
        <v>0.118</v>
      </c>
    </row>
    <row r="1565" spans="1:13">
      <c r="A1565" s="1">
        <f>HYPERLINK("http://www.twitter.com/NathanBLawrence/status/986296772657106944", "986296772657106944")</f>
        <v/>
      </c>
      <c r="B1565" s="2" t="n">
        <v>43207.73204861111</v>
      </c>
      <c r="C1565" t="n">
        <v>0</v>
      </c>
      <c r="D1565" t="n">
        <v>2393</v>
      </c>
      <c r="E1565" t="s">
        <v>1576</v>
      </c>
      <c r="F1565" t="s"/>
      <c r="G1565" t="s"/>
      <c r="H1565" t="s"/>
      <c r="I1565" t="s"/>
      <c r="J1565" t="n">
        <v>-0.6486</v>
      </c>
      <c r="K1565" t="n">
        <v>0.202</v>
      </c>
      <c r="L1565" t="n">
        <v>0.798</v>
      </c>
      <c r="M1565" t="n">
        <v>0</v>
      </c>
    </row>
    <row r="1566" spans="1:13">
      <c r="A1566" s="1">
        <f>HYPERLINK("http://www.twitter.com/NathanBLawrence/status/986276369951789057", "986276369951789057")</f>
        <v/>
      </c>
      <c r="B1566" s="2" t="n">
        <v>43207.67575231481</v>
      </c>
      <c r="C1566" t="n">
        <v>0</v>
      </c>
      <c r="D1566" t="n">
        <v>307</v>
      </c>
      <c r="E1566" t="s">
        <v>1577</v>
      </c>
      <c r="F1566" t="s"/>
      <c r="G1566" t="s"/>
      <c r="H1566" t="s"/>
      <c r="I1566" t="s"/>
      <c r="J1566" t="n">
        <v>0</v>
      </c>
      <c r="K1566" t="n">
        <v>0</v>
      </c>
      <c r="L1566" t="n">
        <v>1</v>
      </c>
      <c r="M1566" t="n">
        <v>0</v>
      </c>
    </row>
    <row r="1567" spans="1:13">
      <c r="A1567" s="1">
        <f>HYPERLINK("http://www.twitter.com/NathanBLawrence/status/986276122886397971", "986276122886397971")</f>
        <v/>
      </c>
      <c r="B1567" s="2" t="n">
        <v>43207.67506944444</v>
      </c>
      <c r="C1567" t="n">
        <v>0</v>
      </c>
      <c r="D1567" t="n">
        <v>7</v>
      </c>
      <c r="E1567" t="s">
        <v>1578</v>
      </c>
      <c r="F1567">
        <f>HYPERLINK("http://pbs.twimg.com/media/Da_riLzU8AY3mWI.jpg", "http://pbs.twimg.com/media/Da_riLzU8AY3mWI.jpg")</f>
        <v/>
      </c>
      <c r="G1567" t="s"/>
      <c r="H1567" t="s"/>
      <c r="I1567" t="s"/>
      <c r="J1567" t="n">
        <v>-0.3129</v>
      </c>
      <c r="K1567" t="n">
        <v>0.158</v>
      </c>
      <c r="L1567" t="n">
        <v>0.632</v>
      </c>
      <c r="M1567" t="n">
        <v>0.21</v>
      </c>
    </row>
    <row r="1568" spans="1:13">
      <c r="A1568" s="1">
        <f>HYPERLINK("http://www.twitter.com/NathanBLawrence/status/986275735491952640", "986275735491952640")</f>
        <v/>
      </c>
      <c r="B1568" s="2" t="n">
        <v>43207.67400462963</v>
      </c>
      <c r="C1568" t="n">
        <v>0</v>
      </c>
      <c r="D1568" t="n">
        <v>121</v>
      </c>
      <c r="E1568" t="s">
        <v>1579</v>
      </c>
      <c r="F1568" t="s"/>
      <c r="G1568" t="s"/>
      <c r="H1568" t="s"/>
      <c r="I1568" t="s"/>
      <c r="J1568" t="n">
        <v>-0.296</v>
      </c>
      <c r="K1568" t="n">
        <v>0.254</v>
      </c>
      <c r="L1568" t="n">
        <v>0.593</v>
      </c>
      <c r="M1568" t="n">
        <v>0.153</v>
      </c>
    </row>
    <row r="1569" spans="1:13">
      <c r="A1569" s="1">
        <f>HYPERLINK("http://www.twitter.com/NathanBLawrence/status/986274892697030657", "986274892697030657")</f>
        <v/>
      </c>
      <c r="B1569" s="2" t="n">
        <v>43207.67167824074</v>
      </c>
      <c r="C1569" t="n">
        <v>0</v>
      </c>
      <c r="D1569" t="n">
        <v>1162</v>
      </c>
      <c r="E1569" t="s">
        <v>1580</v>
      </c>
      <c r="F1569" t="s"/>
      <c r="G1569" t="s"/>
      <c r="H1569" t="s"/>
      <c r="I1569" t="s"/>
      <c r="J1569" t="n">
        <v>-0.4101</v>
      </c>
      <c r="K1569" t="n">
        <v>0.121</v>
      </c>
      <c r="L1569" t="n">
        <v>0.879</v>
      </c>
      <c r="M1569" t="n">
        <v>0</v>
      </c>
    </row>
    <row r="1570" spans="1:13">
      <c r="A1570" s="1">
        <f>HYPERLINK("http://www.twitter.com/NathanBLawrence/status/986273830137204737", "986273830137204737")</f>
        <v/>
      </c>
      <c r="B1570" s="2" t="n">
        <v>43207.66873842593</v>
      </c>
      <c r="C1570" t="n">
        <v>0</v>
      </c>
      <c r="D1570" t="n">
        <v>521</v>
      </c>
      <c r="E1570" t="s">
        <v>1581</v>
      </c>
      <c r="F1570" t="s"/>
      <c r="G1570" t="s"/>
      <c r="H1570" t="s"/>
      <c r="I1570" t="s"/>
      <c r="J1570" t="n">
        <v>0.7959000000000001</v>
      </c>
      <c r="K1570" t="n">
        <v>0</v>
      </c>
      <c r="L1570" t="n">
        <v>0.647</v>
      </c>
      <c r="M1570" t="n">
        <v>0.353</v>
      </c>
    </row>
    <row r="1571" spans="1:13">
      <c r="A1571" s="1">
        <f>HYPERLINK("http://www.twitter.com/NathanBLawrence/status/986272792768405504", "986272792768405504")</f>
        <v/>
      </c>
      <c r="B1571" s="2" t="n">
        <v>43207.66587962963</v>
      </c>
      <c r="C1571" t="n">
        <v>0</v>
      </c>
      <c r="D1571" t="n">
        <v>234</v>
      </c>
      <c r="E1571" t="s">
        <v>1582</v>
      </c>
      <c r="F1571">
        <f>HYPERLINK("http://pbs.twimg.com/media/Da_wf_0VAAA0MiS.jpg", "http://pbs.twimg.com/media/Da_wf_0VAAA0MiS.jpg")</f>
        <v/>
      </c>
      <c r="G1571" t="s"/>
      <c r="H1571" t="s"/>
      <c r="I1571" t="s"/>
      <c r="J1571" t="n">
        <v>0.2732</v>
      </c>
      <c r="K1571" t="n">
        <v>0</v>
      </c>
      <c r="L1571" t="n">
        <v>0.909</v>
      </c>
      <c r="M1571" t="n">
        <v>0.091</v>
      </c>
    </row>
    <row r="1572" spans="1:13">
      <c r="A1572" s="1">
        <f>HYPERLINK("http://www.twitter.com/NathanBLawrence/status/986272057443921922", "986272057443921922")</f>
        <v/>
      </c>
      <c r="B1572" s="2" t="n">
        <v>43207.66385416667</v>
      </c>
      <c r="C1572" t="n">
        <v>0</v>
      </c>
      <c r="D1572" t="n">
        <v>835</v>
      </c>
      <c r="E1572" t="s">
        <v>1583</v>
      </c>
      <c r="F1572" t="s"/>
      <c r="G1572" t="s"/>
      <c r="H1572" t="s"/>
      <c r="I1572" t="s"/>
      <c r="J1572" t="n">
        <v>-0.296</v>
      </c>
      <c r="K1572" t="n">
        <v>0.095</v>
      </c>
      <c r="L1572" t="n">
        <v>0.905</v>
      </c>
      <c r="M1572" t="n">
        <v>0</v>
      </c>
    </row>
    <row r="1573" spans="1:13">
      <c r="A1573" s="1">
        <f>HYPERLINK("http://www.twitter.com/NathanBLawrence/status/986271865588068352", "986271865588068352")</f>
        <v/>
      </c>
      <c r="B1573" s="2" t="n">
        <v>43207.66332175926</v>
      </c>
      <c r="C1573" t="n">
        <v>0</v>
      </c>
      <c r="D1573" t="n">
        <v>206</v>
      </c>
      <c r="E1573" t="s">
        <v>1584</v>
      </c>
      <c r="F1573" t="s"/>
      <c r="G1573" t="s"/>
      <c r="H1573" t="s"/>
      <c r="I1573" t="s"/>
      <c r="J1573" t="n">
        <v>0</v>
      </c>
      <c r="K1573" t="n">
        <v>0</v>
      </c>
      <c r="L1573" t="n">
        <v>1</v>
      </c>
      <c r="M1573" t="n">
        <v>0</v>
      </c>
    </row>
    <row r="1574" spans="1:13">
      <c r="A1574" s="1">
        <f>HYPERLINK("http://www.twitter.com/NathanBLawrence/status/986271077448986625", "986271077448986625")</f>
        <v/>
      </c>
      <c r="B1574" s="2" t="n">
        <v>43207.66114583334</v>
      </c>
      <c r="C1574" t="n">
        <v>0</v>
      </c>
      <c r="D1574" t="n">
        <v>55</v>
      </c>
      <c r="E1574" t="s">
        <v>1585</v>
      </c>
      <c r="F1574" t="s"/>
      <c r="G1574" t="s"/>
      <c r="H1574" t="s"/>
      <c r="I1574" t="s"/>
      <c r="J1574" t="n">
        <v>0</v>
      </c>
      <c r="K1574" t="n">
        <v>0</v>
      </c>
      <c r="L1574" t="n">
        <v>1</v>
      </c>
      <c r="M1574" t="n">
        <v>0</v>
      </c>
    </row>
    <row r="1575" spans="1:13">
      <c r="A1575" s="1">
        <f>HYPERLINK("http://www.twitter.com/NathanBLawrence/status/986270672287617025", "986270672287617025")</f>
        <v/>
      </c>
      <c r="B1575" s="2" t="n">
        <v>43207.66002314815</v>
      </c>
      <c r="C1575" t="n">
        <v>0</v>
      </c>
      <c r="D1575" t="n">
        <v>2164</v>
      </c>
      <c r="E1575" t="s">
        <v>1586</v>
      </c>
      <c r="F1575" t="s"/>
      <c r="G1575" t="s"/>
      <c r="H1575" t="s"/>
      <c r="I1575" t="s"/>
      <c r="J1575" t="n">
        <v>0.4767</v>
      </c>
      <c r="K1575" t="n">
        <v>0</v>
      </c>
      <c r="L1575" t="n">
        <v>0.849</v>
      </c>
      <c r="M1575" t="n">
        <v>0.151</v>
      </c>
    </row>
    <row r="1576" spans="1:13">
      <c r="A1576" s="1">
        <f>HYPERLINK("http://www.twitter.com/NathanBLawrence/status/986270433870798848", "986270433870798848")</f>
        <v/>
      </c>
      <c r="B1576" s="2" t="n">
        <v>43207.659375</v>
      </c>
      <c r="C1576" t="n">
        <v>0</v>
      </c>
      <c r="D1576" t="n">
        <v>1470</v>
      </c>
      <c r="E1576" t="s">
        <v>1587</v>
      </c>
      <c r="F1576">
        <f>HYPERLINK("http://pbs.twimg.com/media/Da_rRSBVQAAuute.jpg", "http://pbs.twimg.com/media/Da_rRSBVQAAuute.jpg")</f>
        <v/>
      </c>
      <c r="G1576" t="s"/>
      <c r="H1576" t="s"/>
      <c r="I1576" t="s"/>
      <c r="J1576" t="n">
        <v>0.6705</v>
      </c>
      <c r="K1576" t="n">
        <v>0</v>
      </c>
      <c r="L1576" t="n">
        <v>0.756</v>
      </c>
      <c r="M1576" t="n">
        <v>0.244</v>
      </c>
    </row>
    <row r="1577" spans="1:13">
      <c r="A1577" s="1">
        <f>HYPERLINK("http://www.twitter.com/NathanBLawrence/status/986269975760506880", "986269975760506880")</f>
        <v/>
      </c>
      <c r="B1577" s="2" t="n">
        <v>43207.65810185186</v>
      </c>
      <c r="C1577" t="n">
        <v>0</v>
      </c>
      <c r="D1577" t="n">
        <v>58</v>
      </c>
      <c r="E1577" t="s">
        <v>1588</v>
      </c>
      <c r="F1577" t="s"/>
      <c r="G1577" t="s"/>
      <c r="H1577" t="s"/>
      <c r="I1577" t="s"/>
      <c r="J1577" t="n">
        <v>0</v>
      </c>
      <c r="K1577" t="n">
        <v>0</v>
      </c>
      <c r="L1577" t="n">
        <v>1</v>
      </c>
      <c r="M1577" t="n">
        <v>0</v>
      </c>
    </row>
    <row r="1578" spans="1:13">
      <c r="A1578" s="1">
        <f>HYPERLINK("http://www.twitter.com/NathanBLawrence/status/986266470110908416", "986266470110908416")</f>
        <v/>
      </c>
      <c r="B1578" s="2" t="n">
        <v>43207.6484375</v>
      </c>
      <c r="C1578" t="n">
        <v>0</v>
      </c>
      <c r="D1578" t="n">
        <v>3</v>
      </c>
      <c r="E1578" t="s">
        <v>1589</v>
      </c>
      <c r="F1578" t="s"/>
      <c r="G1578" t="s"/>
      <c r="H1578" t="s"/>
      <c r="I1578" t="s"/>
      <c r="J1578" t="n">
        <v>0.5147</v>
      </c>
      <c r="K1578" t="n">
        <v>0</v>
      </c>
      <c r="L1578" t="n">
        <v>0.869</v>
      </c>
      <c r="M1578" t="n">
        <v>0.131</v>
      </c>
    </row>
    <row r="1579" spans="1:13">
      <c r="A1579" s="1">
        <f>HYPERLINK("http://www.twitter.com/NathanBLawrence/status/986266269501575168", "986266269501575168")</f>
        <v/>
      </c>
      <c r="B1579" s="2" t="n">
        <v>43207.64788194445</v>
      </c>
      <c r="C1579" t="n">
        <v>0</v>
      </c>
      <c r="D1579" t="n">
        <v>198</v>
      </c>
      <c r="E1579" t="s">
        <v>1590</v>
      </c>
      <c r="F1579" t="s"/>
      <c r="G1579" t="s"/>
      <c r="H1579" t="s"/>
      <c r="I1579" t="s"/>
      <c r="J1579" t="n">
        <v>0.2144</v>
      </c>
      <c r="K1579" t="n">
        <v>0</v>
      </c>
      <c r="L1579" t="n">
        <v>0.928</v>
      </c>
      <c r="M1579" t="n">
        <v>0.07199999999999999</v>
      </c>
    </row>
    <row r="1580" spans="1:13">
      <c r="A1580" s="1">
        <f>HYPERLINK("http://www.twitter.com/NathanBLawrence/status/986266183069585408", "986266183069585408")</f>
        <v/>
      </c>
      <c r="B1580" s="2" t="n">
        <v>43207.64763888889</v>
      </c>
      <c r="C1580" t="n">
        <v>0</v>
      </c>
      <c r="D1580" t="n">
        <v>275</v>
      </c>
      <c r="E1580" t="s">
        <v>1591</v>
      </c>
      <c r="F1580">
        <f>HYPERLINK("http://pbs.twimg.com/media/Da_R1v6U0AMJfSX.jpg", "http://pbs.twimg.com/media/Da_R1v6U0AMJfSX.jpg")</f>
        <v/>
      </c>
      <c r="G1580" t="s"/>
      <c r="H1580" t="s"/>
      <c r="I1580" t="s"/>
      <c r="J1580" t="n">
        <v>0.9056999999999999</v>
      </c>
      <c r="K1580" t="n">
        <v>0</v>
      </c>
      <c r="L1580" t="n">
        <v>0.571</v>
      </c>
      <c r="M1580" t="n">
        <v>0.429</v>
      </c>
    </row>
    <row r="1581" spans="1:13">
      <c r="A1581" s="1">
        <f>HYPERLINK("http://www.twitter.com/NathanBLawrence/status/986265986767650816", "986265986767650816")</f>
        <v/>
      </c>
      <c r="B1581" s="2" t="n">
        <v>43207.64709490741</v>
      </c>
      <c r="C1581" t="n">
        <v>0</v>
      </c>
      <c r="D1581" t="n">
        <v>35</v>
      </c>
      <c r="E1581" t="s">
        <v>1592</v>
      </c>
      <c r="F1581" t="s"/>
      <c r="G1581" t="s"/>
      <c r="H1581" t="s"/>
      <c r="I1581" t="s"/>
      <c r="J1581" t="n">
        <v>-0.4767</v>
      </c>
      <c r="K1581" t="n">
        <v>0.18</v>
      </c>
      <c r="L1581" t="n">
        <v>0.737</v>
      </c>
      <c r="M1581" t="n">
        <v>0.083</v>
      </c>
    </row>
    <row r="1582" spans="1:13">
      <c r="A1582" s="1">
        <f>HYPERLINK("http://www.twitter.com/NathanBLawrence/status/986265165757808645", "986265165757808645")</f>
        <v/>
      </c>
      <c r="B1582" s="2" t="n">
        <v>43207.64483796297</v>
      </c>
      <c r="C1582" t="n">
        <v>0</v>
      </c>
      <c r="D1582" t="n">
        <v>618</v>
      </c>
      <c r="E1582" t="s">
        <v>1593</v>
      </c>
      <c r="F1582" t="s"/>
      <c r="G1582" t="s"/>
      <c r="H1582" t="s"/>
      <c r="I1582" t="s"/>
      <c r="J1582" t="n">
        <v>0</v>
      </c>
      <c r="K1582" t="n">
        <v>0</v>
      </c>
      <c r="L1582" t="n">
        <v>1</v>
      </c>
      <c r="M1582" t="n">
        <v>0</v>
      </c>
    </row>
    <row r="1583" spans="1:13">
      <c r="A1583" s="1">
        <f>HYPERLINK("http://www.twitter.com/NathanBLawrence/status/986264437417037824", "986264437417037824")</f>
        <v/>
      </c>
      <c r="B1583" s="2" t="n">
        <v>43207.64282407407</v>
      </c>
      <c r="C1583" t="n">
        <v>0</v>
      </c>
      <c r="D1583" t="n">
        <v>709</v>
      </c>
      <c r="E1583" t="s">
        <v>1594</v>
      </c>
      <c r="F1583" t="s"/>
      <c r="G1583" t="s"/>
      <c r="H1583" t="s"/>
      <c r="I1583" t="s"/>
      <c r="J1583" t="n">
        <v>0.0258</v>
      </c>
      <c r="K1583" t="n">
        <v>0</v>
      </c>
      <c r="L1583" t="n">
        <v>0.927</v>
      </c>
      <c r="M1583" t="n">
        <v>0.073</v>
      </c>
    </row>
    <row r="1584" spans="1:13">
      <c r="A1584" s="1">
        <f>HYPERLINK("http://www.twitter.com/NathanBLawrence/status/986264148236558336", "986264148236558336")</f>
        <v/>
      </c>
      <c r="B1584" s="2" t="n">
        <v>43207.64202546296</v>
      </c>
      <c r="C1584" t="n">
        <v>0</v>
      </c>
      <c r="D1584" t="n">
        <v>7</v>
      </c>
      <c r="E1584" t="s">
        <v>1595</v>
      </c>
      <c r="F1584" t="s"/>
      <c r="G1584" t="s"/>
      <c r="H1584" t="s"/>
      <c r="I1584" t="s"/>
      <c r="J1584" t="n">
        <v>0.3818</v>
      </c>
      <c r="K1584" t="n">
        <v>0</v>
      </c>
      <c r="L1584" t="n">
        <v>0.874</v>
      </c>
      <c r="M1584" t="n">
        <v>0.126</v>
      </c>
    </row>
    <row r="1585" spans="1:13">
      <c r="A1585" s="1">
        <f>HYPERLINK("http://www.twitter.com/NathanBLawrence/status/986263843784577024", "986263843784577024")</f>
        <v/>
      </c>
      <c r="B1585" s="2" t="n">
        <v>43207.64118055555</v>
      </c>
      <c r="C1585" t="n">
        <v>0</v>
      </c>
      <c r="D1585" t="n">
        <v>7</v>
      </c>
      <c r="E1585" t="s">
        <v>1596</v>
      </c>
      <c r="F1585" t="s"/>
      <c r="G1585" t="s"/>
      <c r="H1585" t="s"/>
      <c r="I1585" t="s"/>
      <c r="J1585" t="n">
        <v>0.836</v>
      </c>
      <c r="K1585" t="n">
        <v>0</v>
      </c>
      <c r="L1585" t="n">
        <v>0.574</v>
      </c>
      <c r="M1585" t="n">
        <v>0.426</v>
      </c>
    </row>
    <row r="1586" spans="1:13">
      <c r="A1586" s="1">
        <f>HYPERLINK("http://www.twitter.com/NathanBLawrence/status/986263737375084544", "986263737375084544")</f>
        <v/>
      </c>
      <c r="B1586" s="2" t="n">
        <v>43207.6408912037</v>
      </c>
      <c r="C1586" t="n">
        <v>0</v>
      </c>
      <c r="D1586" t="n">
        <v>268</v>
      </c>
      <c r="E1586" t="s">
        <v>1597</v>
      </c>
      <c r="F1586" t="s"/>
      <c r="G1586" t="s"/>
      <c r="H1586" t="s"/>
      <c r="I1586" t="s"/>
      <c r="J1586" t="n">
        <v>-0.2732</v>
      </c>
      <c r="K1586" t="n">
        <v>0.091</v>
      </c>
      <c r="L1586" t="n">
        <v>0.909</v>
      </c>
      <c r="M1586" t="n">
        <v>0</v>
      </c>
    </row>
    <row r="1587" spans="1:13">
      <c r="A1587" s="1">
        <f>HYPERLINK("http://www.twitter.com/NathanBLawrence/status/986263192925032453", "986263192925032453")</f>
        <v/>
      </c>
      <c r="B1587" s="2" t="n">
        <v>43207.63938657408</v>
      </c>
      <c r="C1587" t="n">
        <v>0</v>
      </c>
      <c r="D1587" t="n">
        <v>25</v>
      </c>
      <c r="E1587" t="s">
        <v>1598</v>
      </c>
      <c r="F1587">
        <f>HYPERLINK("http://pbs.twimg.com/media/Da_m1qQV4AAT-uV.jpg", "http://pbs.twimg.com/media/Da_m1qQV4AAT-uV.jpg")</f>
        <v/>
      </c>
      <c r="G1587" t="s"/>
      <c r="H1587" t="s"/>
      <c r="I1587" t="s"/>
      <c r="J1587" t="n">
        <v>-0.2263</v>
      </c>
      <c r="K1587" t="n">
        <v>0.154</v>
      </c>
      <c r="L1587" t="n">
        <v>0.743</v>
      </c>
      <c r="M1587" t="n">
        <v>0.103</v>
      </c>
    </row>
    <row r="1588" spans="1:13">
      <c r="A1588" s="1">
        <f>HYPERLINK("http://www.twitter.com/NathanBLawrence/status/986262535027462144", "986262535027462144")</f>
        <v/>
      </c>
      <c r="B1588" s="2" t="n">
        <v>43207.63756944444</v>
      </c>
      <c r="C1588" t="n">
        <v>0</v>
      </c>
      <c r="D1588" t="n">
        <v>925</v>
      </c>
      <c r="E1588" t="s">
        <v>1599</v>
      </c>
      <c r="F1588" t="s"/>
      <c r="G1588" t="s"/>
      <c r="H1588" t="s"/>
      <c r="I1588" t="s"/>
      <c r="J1588" t="n">
        <v>0.34</v>
      </c>
      <c r="K1588" t="n">
        <v>0</v>
      </c>
      <c r="L1588" t="n">
        <v>0.893</v>
      </c>
      <c r="M1588" t="n">
        <v>0.107</v>
      </c>
    </row>
    <row r="1589" spans="1:13">
      <c r="A1589" s="1">
        <f>HYPERLINK("http://www.twitter.com/NathanBLawrence/status/986260342689947655", "986260342689947655")</f>
        <v/>
      </c>
      <c r="B1589" s="2" t="n">
        <v>43207.63152777778</v>
      </c>
      <c r="C1589" t="n">
        <v>0</v>
      </c>
      <c r="D1589" t="n">
        <v>1</v>
      </c>
      <c r="E1589" t="s">
        <v>1600</v>
      </c>
      <c r="F1589" t="s"/>
      <c r="G1589" t="s"/>
      <c r="H1589" t="s"/>
      <c r="I1589" t="s"/>
      <c r="J1589" t="n">
        <v>0.34</v>
      </c>
      <c r="K1589" t="n">
        <v>0</v>
      </c>
      <c r="L1589" t="n">
        <v>0.862</v>
      </c>
      <c r="M1589" t="n">
        <v>0.138</v>
      </c>
    </row>
    <row r="1590" spans="1:13">
      <c r="A1590" s="1">
        <f>HYPERLINK("http://www.twitter.com/NathanBLawrence/status/986258389478109186", "986258389478109186")</f>
        <v/>
      </c>
      <c r="B1590" s="2" t="n">
        <v>43207.62613425926</v>
      </c>
      <c r="C1590" t="n">
        <v>0</v>
      </c>
      <c r="D1590" t="n">
        <v>11697</v>
      </c>
      <c r="E1590" t="s">
        <v>1601</v>
      </c>
      <c r="F1590" t="s"/>
      <c r="G1590" t="s"/>
      <c r="H1590" t="s"/>
      <c r="I1590" t="s"/>
      <c r="J1590" t="n">
        <v>0</v>
      </c>
      <c r="K1590" t="n">
        <v>0</v>
      </c>
      <c r="L1590" t="n">
        <v>1</v>
      </c>
      <c r="M1590" t="n">
        <v>0</v>
      </c>
    </row>
    <row r="1591" spans="1:13">
      <c r="A1591" s="1">
        <f>HYPERLINK("http://www.twitter.com/NathanBLawrence/status/986257295884550144", "986257295884550144")</f>
        <v/>
      </c>
      <c r="B1591" s="2" t="n">
        <v>43207.62311342593</v>
      </c>
      <c r="C1591" t="n">
        <v>0</v>
      </c>
      <c r="D1591" t="n">
        <v>8</v>
      </c>
      <c r="E1591" t="s">
        <v>1602</v>
      </c>
      <c r="F1591" t="s"/>
      <c r="G1591" t="s"/>
      <c r="H1591" t="s"/>
      <c r="I1591" t="s"/>
      <c r="J1591" t="n">
        <v>0</v>
      </c>
      <c r="K1591" t="n">
        <v>0</v>
      </c>
      <c r="L1591" t="n">
        <v>1</v>
      </c>
      <c r="M1591" t="n">
        <v>0</v>
      </c>
    </row>
    <row r="1592" spans="1:13">
      <c r="A1592" s="1">
        <f>HYPERLINK("http://www.twitter.com/NathanBLawrence/status/986257053927792651", "986257053927792651")</f>
        <v/>
      </c>
      <c r="B1592" s="2" t="n">
        <v>43207.62245370371</v>
      </c>
      <c r="C1592" t="n">
        <v>0</v>
      </c>
      <c r="D1592" t="n">
        <v>665</v>
      </c>
      <c r="E1592" t="s">
        <v>1603</v>
      </c>
      <c r="F1592" t="s"/>
      <c r="G1592" t="s"/>
      <c r="H1592" t="s"/>
      <c r="I1592" t="s"/>
      <c r="J1592" t="n">
        <v>-0.5719</v>
      </c>
      <c r="K1592" t="n">
        <v>0.209</v>
      </c>
      <c r="L1592" t="n">
        <v>0.791</v>
      </c>
      <c r="M1592" t="n">
        <v>0</v>
      </c>
    </row>
    <row r="1593" spans="1:13">
      <c r="A1593" s="1">
        <f>HYPERLINK("http://www.twitter.com/NathanBLawrence/status/986256767679115265", "986256767679115265")</f>
        <v/>
      </c>
      <c r="B1593" s="2" t="n">
        <v>43207.62165509259</v>
      </c>
      <c r="C1593" t="n">
        <v>0</v>
      </c>
      <c r="D1593" t="n">
        <v>268</v>
      </c>
      <c r="E1593" t="s">
        <v>1604</v>
      </c>
      <c r="F1593">
        <f>HYPERLINK("http://pbs.twimg.com/media/Da7dW14VwAA4zR9.jpg", "http://pbs.twimg.com/media/Da7dW14VwAA4zR9.jpg")</f>
        <v/>
      </c>
      <c r="G1593" t="s"/>
      <c r="H1593" t="s"/>
      <c r="I1593" t="s"/>
      <c r="J1593" t="n">
        <v>0</v>
      </c>
      <c r="K1593" t="n">
        <v>0</v>
      </c>
      <c r="L1593" t="n">
        <v>1</v>
      </c>
      <c r="M1593" t="n">
        <v>0</v>
      </c>
    </row>
    <row r="1594" spans="1:13">
      <c r="A1594" s="1">
        <f>HYPERLINK("http://www.twitter.com/NathanBLawrence/status/986256584564248576", "986256584564248576")</f>
        <v/>
      </c>
      <c r="B1594" s="2" t="n">
        <v>43207.6211574074</v>
      </c>
      <c r="C1594" t="n">
        <v>0</v>
      </c>
      <c r="D1594" t="n">
        <v>430</v>
      </c>
      <c r="E1594" t="s">
        <v>1605</v>
      </c>
      <c r="F1594">
        <f>HYPERLINK("http://pbs.twimg.com/media/Da_NZaAV4AAQA5D.jpg", "http://pbs.twimg.com/media/Da_NZaAV4AAQA5D.jpg")</f>
        <v/>
      </c>
      <c r="G1594">
        <f>HYPERLINK("http://pbs.twimg.com/media/Da_NZ8cU8AAFXFb.jpg", "http://pbs.twimg.com/media/Da_NZ8cU8AAFXFb.jpg")</f>
        <v/>
      </c>
      <c r="H1594" t="s"/>
      <c r="I1594" t="s"/>
      <c r="J1594" t="n">
        <v>0</v>
      </c>
      <c r="K1594" t="n">
        <v>0</v>
      </c>
      <c r="L1594" t="n">
        <v>1</v>
      </c>
      <c r="M1594" t="n">
        <v>0</v>
      </c>
    </row>
    <row r="1595" spans="1:13">
      <c r="A1595" s="1">
        <f>HYPERLINK("http://www.twitter.com/NathanBLawrence/status/986256390321852416", "986256390321852416")</f>
        <v/>
      </c>
      <c r="B1595" s="2" t="n">
        <v>43207.62061342593</v>
      </c>
      <c r="C1595" t="n">
        <v>0</v>
      </c>
      <c r="D1595" t="n">
        <v>1139</v>
      </c>
      <c r="E1595" t="s">
        <v>1606</v>
      </c>
      <c r="F1595">
        <f>HYPERLINK("https://video.twimg.com/ext_tw_video/758896507575672833/pu/vid/1280x720/jiDFRW5Ak-SU-UI6.mp4", "https://video.twimg.com/ext_tw_video/758896507575672833/pu/vid/1280x720/jiDFRW5Ak-SU-UI6.mp4")</f>
        <v/>
      </c>
      <c r="G1595" t="s"/>
      <c r="H1595" t="s"/>
      <c r="I1595" t="s"/>
      <c r="J1595" t="n">
        <v>-0.296</v>
      </c>
      <c r="K1595" t="n">
        <v>0.206</v>
      </c>
      <c r="L1595" t="n">
        <v>0.675</v>
      </c>
      <c r="M1595" t="n">
        <v>0.119</v>
      </c>
    </row>
    <row r="1596" spans="1:13">
      <c r="A1596" s="1">
        <f>HYPERLINK("http://www.twitter.com/NathanBLawrence/status/986255854088478720", "986255854088478720")</f>
        <v/>
      </c>
      <c r="B1596" s="2" t="n">
        <v>43207.61914351852</v>
      </c>
      <c r="C1596" t="n">
        <v>0</v>
      </c>
      <c r="D1596" t="n">
        <v>591</v>
      </c>
      <c r="E1596" t="s">
        <v>1607</v>
      </c>
      <c r="F1596" t="s"/>
      <c r="G1596" t="s"/>
      <c r="H1596" t="s"/>
      <c r="I1596" t="s"/>
      <c r="J1596" t="n">
        <v>0.6166</v>
      </c>
      <c r="K1596" t="n">
        <v>0.098</v>
      </c>
      <c r="L1596" t="n">
        <v>0.669</v>
      </c>
      <c r="M1596" t="n">
        <v>0.233</v>
      </c>
    </row>
    <row r="1597" spans="1:13">
      <c r="A1597" s="1">
        <f>HYPERLINK("http://www.twitter.com/NathanBLawrence/status/986255713239490563", "986255713239490563")</f>
        <v/>
      </c>
      <c r="B1597" s="2" t="n">
        <v>43207.61875</v>
      </c>
      <c r="C1597" t="n">
        <v>0</v>
      </c>
      <c r="D1597" t="n">
        <v>258</v>
      </c>
      <c r="E1597" t="s">
        <v>1608</v>
      </c>
      <c r="F1597">
        <f>HYPERLINK("https://video.twimg.com/ext_tw_video/986216628751761408/pu/vid/1280x720/eEn3T8H-TKTmJlEG.mp4?tag=2", "https://video.twimg.com/ext_tw_video/986216628751761408/pu/vid/1280x720/eEn3T8H-TKTmJlEG.mp4?tag=2")</f>
        <v/>
      </c>
      <c r="G1597" t="s"/>
      <c r="H1597" t="s"/>
      <c r="I1597" t="s"/>
      <c r="J1597" t="n">
        <v>0.6597</v>
      </c>
      <c r="K1597" t="n">
        <v>0</v>
      </c>
      <c r="L1597" t="n">
        <v>0.769</v>
      </c>
      <c r="M1597" t="n">
        <v>0.231</v>
      </c>
    </row>
    <row r="1598" spans="1:13">
      <c r="A1598" s="1">
        <f>HYPERLINK("http://www.twitter.com/NathanBLawrence/status/986255572109549568", "986255572109549568")</f>
        <v/>
      </c>
      <c r="B1598" s="2" t="n">
        <v>43207.61835648148</v>
      </c>
      <c r="C1598" t="n">
        <v>0</v>
      </c>
      <c r="D1598" t="n">
        <v>1252</v>
      </c>
      <c r="E1598" t="s">
        <v>1609</v>
      </c>
      <c r="F1598">
        <f>HYPERLINK("https://video.twimg.com/amplify_video/984073243475591168/vid/1280x720/-Nlgj0hhMJR3A6Fr.mp4?tag=6", "https://video.twimg.com/amplify_video/984073243475591168/vid/1280x720/-Nlgj0hhMJR3A6Fr.mp4?tag=6")</f>
        <v/>
      </c>
      <c r="G1598" t="s"/>
      <c r="H1598" t="s"/>
      <c r="I1598" t="s"/>
      <c r="J1598" t="n">
        <v>-0.2755</v>
      </c>
      <c r="K1598" t="n">
        <v>0.08400000000000001</v>
      </c>
      <c r="L1598" t="n">
        <v>0.916</v>
      </c>
      <c r="M1598" t="n">
        <v>0</v>
      </c>
    </row>
    <row r="1599" spans="1:13">
      <c r="A1599" s="1">
        <f>HYPERLINK("http://www.twitter.com/NathanBLawrence/status/986255346456031233", "986255346456031233")</f>
        <v/>
      </c>
      <c r="B1599" s="2" t="n">
        <v>43207.61773148148</v>
      </c>
      <c r="C1599" t="n">
        <v>0</v>
      </c>
      <c r="D1599" t="n">
        <v>28</v>
      </c>
      <c r="E1599" t="s">
        <v>1610</v>
      </c>
      <c r="F1599">
        <f>HYPERLINK("http://pbs.twimg.com/media/Da9eXjKU0AAwr_j.jpg", "http://pbs.twimg.com/media/Da9eXjKU0AAwr_j.jpg")</f>
        <v/>
      </c>
      <c r="G1599" t="s"/>
      <c r="H1599" t="s"/>
      <c r="I1599" t="s"/>
      <c r="J1599" t="n">
        <v>-0.5574</v>
      </c>
      <c r="K1599" t="n">
        <v>0.159</v>
      </c>
      <c r="L1599" t="n">
        <v>0.841</v>
      </c>
      <c r="M1599" t="n">
        <v>0</v>
      </c>
    </row>
    <row r="1600" spans="1:13">
      <c r="A1600" s="1">
        <f>HYPERLINK("http://www.twitter.com/NathanBLawrence/status/986243722793897985", "986243722793897985")</f>
        <v/>
      </c>
      <c r="B1600" s="2" t="n">
        <v>43207.58565972222</v>
      </c>
      <c r="C1600" t="n">
        <v>0</v>
      </c>
      <c r="D1600" t="n">
        <v>60</v>
      </c>
      <c r="E1600" t="s">
        <v>1611</v>
      </c>
      <c r="F1600" t="s"/>
      <c r="G1600" t="s"/>
      <c r="H1600" t="s"/>
      <c r="I1600" t="s"/>
      <c r="J1600" t="n">
        <v>0.5266999999999999</v>
      </c>
      <c r="K1600" t="n">
        <v>0</v>
      </c>
      <c r="L1600" t="n">
        <v>0.825</v>
      </c>
      <c r="M1600" t="n">
        <v>0.175</v>
      </c>
    </row>
    <row r="1601" spans="1:13">
      <c r="A1601" s="1">
        <f>HYPERLINK("http://www.twitter.com/NathanBLawrence/status/986243076195868677", "986243076195868677")</f>
        <v/>
      </c>
      <c r="B1601" s="2" t="n">
        <v>43207.58387731481</v>
      </c>
      <c r="C1601" t="n">
        <v>0</v>
      </c>
      <c r="D1601" t="n">
        <v>853</v>
      </c>
      <c r="E1601" t="s">
        <v>1612</v>
      </c>
      <c r="F1601" t="s"/>
      <c r="G1601" t="s"/>
      <c r="H1601" t="s"/>
      <c r="I1601" t="s"/>
      <c r="J1601" t="n">
        <v>-0.4767</v>
      </c>
      <c r="K1601" t="n">
        <v>0.124</v>
      </c>
      <c r="L1601" t="n">
        <v>0.876</v>
      </c>
      <c r="M1601" t="n">
        <v>0</v>
      </c>
    </row>
    <row r="1602" spans="1:13">
      <c r="A1602" s="1">
        <f>HYPERLINK("http://www.twitter.com/NathanBLawrence/status/986242684774961152", "986242684774961152")</f>
        <v/>
      </c>
      <c r="B1602" s="2" t="n">
        <v>43207.58280092593</v>
      </c>
      <c r="C1602" t="n">
        <v>0</v>
      </c>
      <c r="D1602" t="n">
        <v>191</v>
      </c>
      <c r="E1602" t="s">
        <v>1613</v>
      </c>
      <c r="F1602" t="s"/>
      <c r="G1602" t="s"/>
      <c r="H1602" t="s"/>
      <c r="I1602" t="s"/>
      <c r="J1602" t="n">
        <v>-0.7096</v>
      </c>
      <c r="K1602" t="n">
        <v>0.287</v>
      </c>
      <c r="L1602" t="n">
        <v>0.633</v>
      </c>
      <c r="M1602" t="n">
        <v>0.08</v>
      </c>
    </row>
    <row r="1603" spans="1:13">
      <c r="A1603" s="1">
        <f>HYPERLINK("http://www.twitter.com/NathanBLawrence/status/986242537361993728", "986242537361993728")</f>
        <v/>
      </c>
      <c r="B1603" s="2" t="n">
        <v>43207.58239583333</v>
      </c>
      <c r="C1603" t="n">
        <v>0</v>
      </c>
      <c r="D1603" t="n">
        <v>283</v>
      </c>
      <c r="E1603" t="s">
        <v>1614</v>
      </c>
      <c r="F1603">
        <f>HYPERLINK("https://video.twimg.com/amplify_video/986241503000489984/vid/1280x720/zb0VdcVZiUhZXYA3.mp4?tag=2", "https://video.twimg.com/amplify_video/986241503000489984/vid/1280x720/zb0VdcVZiUhZXYA3.mp4?tag=2")</f>
        <v/>
      </c>
      <c r="G1603" t="s"/>
      <c r="H1603" t="s"/>
      <c r="I1603" t="s"/>
      <c r="J1603" t="n">
        <v>0.2263</v>
      </c>
      <c r="K1603" t="n">
        <v>0</v>
      </c>
      <c r="L1603" t="n">
        <v>0.899</v>
      </c>
      <c r="M1603" t="n">
        <v>0.101</v>
      </c>
    </row>
    <row r="1604" spans="1:13">
      <c r="A1604" s="1">
        <f>HYPERLINK("http://www.twitter.com/NathanBLawrence/status/986242388669665280", "986242388669665280")</f>
        <v/>
      </c>
      <c r="B1604" s="2" t="n">
        <v>43207.58197916667</v>
      </c>
      <c r="C1604" t="n">
        <v>0</v>
      </c>
      <c r="D1604" t="n">
        <v>60</v>
      </c>
      <c r="E1604" t="s">
        <v>1615</v>
      </c>
      <c r="F1604" t="s"/>
      <c r="G1604" t="s"/>
      <c r="H1604" t="s"/>
      <c r="I1604" t="s"/>
      <c r="J1604" t="n">
        <v>0.3612</v>
      </c>
      <c r="K1604" t="n">
        <v>0</v>
      </c>
      <c r="L1604" t="n">
        <v>0.898</v>
      </c>
      <c r="M1604" t="n">
        <v>0.102</v>
      </c>
    </row>
    <row r="1605" spans="1:13">
      <c r="A1605" s="1">
        <f>HYPERLINK("http://www.twitter.com/NathanBLawrence/status/986241219473887232", "986241219473887232")</f>
        <v/>
      </c>
      <c r="B1605" s="2" t="n">
        <v>43207.57875</v>
      </c>
      <c r="C1605" t="n">
        <v>0</v>
      </c>
      <c r="D1605" t="n">
        <v>220</v>
      </c>
      <c r="E1605" t="s">
        <v>1616</v>
      </c>
      <c r="F1605" t="s"/>
      <c r="G1605" t="s"/>
      <c r="H1605" t="s"/>
      <c r="I1605" t="s"/>
      <c r="J1605" t="n">
        <v>0</v>
      </c>
      <c r="K1605" t="n">
        <v>0</v>
      </c>
      <c r="L1605" t="n">
        <v>1</v>
      </c>
      <c r="M1605" t="n">
        <v>0</v>
      </c>
    </row>
    <row r="1606" spans="1:13">
      <c r="A1606" s="1">
        <f>HYPERLINK("http://www.twitter.com/NathanBLawrence/status/986239441034346497", "986239441034346497")</f>
        <v/>
      </c>
      <c r="B1606" s="2" t="n">
        <v>43207.5738425926</v>
      </c>
      <c r="C1606" t="n">
        <v>0</v>
      </c>
      <c r="D1606" t="n">
        <v>140</v>
      </c>
      <c r="E1606" t="s">
        <v>1617</v>
      </c>
      <c r="F1606">
        <f>HYPERLINK("http://pbs.twimg.com/media/Da_EUMxW4AEg9JM.jpg", "http://pbs.twimg.com/media/Da_EUMxW4AEg9JM.jpg")</f>
        <v/>
      </c>
      <c r="G1606" t="s"/>
      <c r="H1606" t="s"/>
      <c r="I1606" t="s"/>
      <c r="J1606" t="n">
        <v>-0.5423</v>
      </c>
      <c r="K1606" t="n">
        <v>0.156</v>
      </c>
      <c r="L1606" t="n">
        <v>0.844</v>
      </c>
      <c r="M1606" t="n">
        <v>0</v>
      </c>
    </row>
    <row r="1607" spans="1:13">
      <c r="A1607" s="1">
        <f>HYPERLINK("http://www.twitter.com/NathanBLawrence/status/986239333731418112", "986239333731418112")</f>
        <v/>
      </c>
      <c r="B1607" s="2" t="n">
        <v>43207.57355324074</v>
      </c>
      <c r="C1607" t="n">
        <v>0</v>
      </c>
      <c r="D1607" t="n">
        <v>157</v>
      </c>
      <c r="E1607" t="s">
        <v>1618</v>
      </c>
      <c r="F1607">
        <f>HYPERLINK("http://pbs.twimg.com/media/Da_MnLIUQAAjBgt.jpg", "http://pbs.twimg.com/media/Da_MnLIUQAAjBgt.jpg")</f>
        <v/>
      </c>
      <c r="G1607" t="s"/>
      <c r="H1607" t="s"/>
      <c r="I1607" t="s"/>
      <c r="J1607" t="n">
        <v>-0.3885</v>
      </c>
      <c r="K1607" t="n">
        <v>0.155</v>
      </c>
      <c r="L1607" t="n">
        <v>0.749</v>
      </c>
      <c r="M1607" t="n">
        <v>0.096</v>
      </c>
    </row>
    <row r="1608" spans="1:13">
      <c r="A1608" s="1">
        <f>HYPERLINK("http://www.twitter.com/NathanBLawrence/status/986238866251223040", "986238866251223040")</f>
        <v/>
      </c>
      <c r="B1608" s="2" t="n">
        <v>43207.57225694445</v>
      </c>
      <c r="C1608" t="n">
        <v>0</v>
      </c>
      <c r="D1608" t="n">
        <v>2348</v>
      </c>
      <c r="E1608" t="s">
        <v>1619</v>
      </c>
      <c r="F1608">
        <f>HYPERLINK("http://pbs.twimg.com/media/Da85fSiU8AAyEJp.jpg", "http://pbs.twimg.com/media/Da85fSiU8AAyEJp.jpg")</f>
        <v/>
      </c>
      <c r="G1608">
        <f>HYPERLINK("http://pbs.twimg.com/media/Da85pnEVQAAl1jF.jpg", "http://pbs.twimg.com/media/Da85pnEVQAAl1jF.jpg")</f>
        <v/>
      </c>
      <c r="H1608">
        <f>HYPERLINK("http://pbs.twimg.com/media/Da85yEqUwAIt5xM.jpg", "http://pbs.twimg.com/media/Da85yEqUwAIt5xM.jpg")</f>
        <v/>
      </c>
      <c r="I1608">
        <f>HYPERLINK("http://pbs.twimg.com/media/Da8558GUwAAbwnH.jpg", "http://pbs.twimg.com/media/Da8558GUwAAbwnH.jpg")</f>
        <v/>
      </c>
      <c r="J1608" t="n">
        <v>-0.2481</v>
      </c>
      <c r="K1608" t="n">
        <v>0.105</v>
      </c>
      <c r="L1608" t="n">
        <v>0.895</v>
      </c>
      <c r="M1608" t="n">
        <v>0</v>
      </c>
    </row>
    <row r="1609" spans="1:13">
      <c r="A1609" s="1">
        <f>HYPERLINK("http://www.twitter.com/NathanBLawrence/status/986238062803017728", "986238062803017728")</f>
        <v/>
      </c>
      <c r="B1609" s="2" t="n">
        <v>43207.5700462963</v>
      </c>
      <c r="C1609" t="n">
        <v>0</v>
      </c>
      <c r="D1609" t="n">
        <v>849</v>
      </c>
      <c r="E1609" t="s">
        <v>1620</v>
      </c>
      <c r="F1609" t="s"/>
      <c r="G1609" t="s"/>
      <c r="H1609" t="s"/>
      <c r="I1609" t="s"/>
      <c r="J1609" t="n">
        <v>0.5983000000000001</v>
      </c>
      <c r="K1609" t="n">
        <v>0</v>
      </c>
      <c r="L1609" t="n">
        <v>0.507</v>
      </c>
      <c r="M1609" t="n">
        <v>0.493</v>
      </c>
    </row>
    <row r="1610" spans="1:13">
      <c r="A1610" s="1">
        <f>HYPERLINK("http://www.twitter.com/NathanBLawrence/status/986237731448565760", "986237731448565760")</f>
        <v/>
      </c>
      <c r="B1610" s="2" t="n">
        <v>43207.56913194444</v>
      </c>
      <c r="C1610" t="n">
        <v>0</v>
      </c>
      <c r="D1610" t="n">
        <v>24692</v>
      </c>
      <c r="E1610" t="s">
        <v>1621</v>
      </c>
      <c r="F1610" t="s"/>
      <c r="G1610" t="s"/>
      <c r="H1610" t="s"/>
      <c r="I1610" t="s"/>
      <c r="J1610" t="n">
        <v>0.5411</v>
      </c>
      <c r="K1610" t="n">
        <v>0</v>
      </c>
      <c r="L1610" t="n">
        <v>0.696</v>
      </c>
      <c r="M1610" t="n">
        <v>0.304</v>
      </c>
    </row>
    <row r="1611" spans="1:13">
      <c r="A1611" s="1">
        <f>HYPERLINK("http://www.twitter.com/NathanBLawrence/status/986237005976698880", "986237005976698880")</f>
        <v/>
      </c>
      <c r="B1611" s="2" t="n">
        <v>43207.56712962963</v>
      </c>
      <c r="C1611" t="n">
        <v>0</v>
      </c>
      <c r="D1611" t="n">
        <v>204</v>
      </c>
      <c r="E1611" t="s">
        <v>1622</v>
      </c>
      <c r="F1611">
        <f>HYPERLINK("http://pbs.twimg.com/media/Da_PSEvX0AAQbsH.jpg", "http://pbs.twimg.com/media/Da_PSEvX0AAQbsH.jpg")</f>
        <v/>
      </c>
      <c r="G1611" t="s"/>
      <c r="H1611" t="s"/>
      <c r="I1611" t="s"/>
      <c r="J1611" t="n">
        <v>0.3182</v>
      </c>
      <c r="K1611" t="n">
        <v>0</v>
      </c>
      <c r="L1611" t="n">
        <v>0.827</v>
      </c>
      <c r="M1611" t="n">
        <v>0.173</v>
      </c>
    </row>
    <row r="1612" spans="1:13">
      <c r="A1612" s="1">
        <f>HYPERLINK("http://www.twitter.com/NathanBLawrence/status/986236771846336512", "986236771846336512")</f>
        <v/>
      </c>
      <c r="B1612" s="2" t="n">
        <v>43207.56648148148</v>
      </c>
      <c r="C1612" t="n">
        <v>0</v>
      </c>
      <c r="D1612" t="n">
        <v>3961</v>
      </c>
      <c r="E1612" t="s">
        <v>1623</v>
      </c>
      <c r="F1612" t="s"/>
      <c r="G1612" t="s"/>
      <c r="H1612" t="s"/>
      <c r="I1612" t="s"/>
      <c r="J1612" t="n">
        <v>0.3818</v>
      </c>
      <c r="K1612" t="n">
        <v>0</v>
      </c>
      <c r="L1612" t="n">
        <v>0.902</v>
      </c>
      <c r="M1612" t="n">
        <v>0.098</v>
      </c>
    </row>
    <row r="1613" spans="1:13">
      <c r="A1613" s="1">
        <f>HYPERLINK("http://www.twitter.com/NathanBLawrence/status/986236761952149504", "986236761952149504")</f>
        <v/>
      </c>
      <c r="B1613" s="2" t="n">
        <v>43207.56645833333</v>
      </c>
      <c r="C1613" t="n">
        <v>0</v>
      </c>
      <c r="D1613" t="n">
        <v>2694</v>
      </c>
      <c r="E1613" t="s">
        <v>1624</v>
      </c>
      <c r="F1613" t="s"/>
      <c r="G1613" t="s"/>
      <c r="H1613" t="s"/>
      <c r="I1613" t="s"/>
      <c r="J1613" t="n">
        <v>0</v>
      </c>
      <c r="K1613" t="n">
        <v>0</v>
      </c>
      <c r="L1613" t="n">
        <v>1</v>
      </c>
      <c r="M1613" t="n">
        <v>0</v>
      </c>
    </row>
    <row r="1614" spans="1:13">
      <c r="A1614" s="1">
        <f>HYPERLINK("http://www.twitter.com/NathanBLawrence/status/986236373802905600", "986236373802905600")</f>
        <v/>
      </c>
      <c r="B1614" s="2" t="n">
        <v>43207.56538194444</v>
      </c>
      <c r="C1614" t="n">
        <v>0</v>
      </c>
      <c r="D1614" t="n">
        <v>286</v>
      </c>
      <c r="E1614" t="s">
        <v>1625</v>
      </c>
      <c r="F1614">
        <f>HYPERLINK("http://pbs.twimg.com/media/Da-aqKCXUAAWGc_.jpg", "http://pbs.twimg.com/media/Da-aqKCXUAAWGc_.jpg")</f>
        <v/>
      </c>
      <c r="G1614" t="s"/>
      <c r="H1614" t="s"/>
      <c r="I1614" t="s"/>
      <c r="J1614" t="n">
        <v>0</v>
      </c>
      <c r="K1614" t="n">
        <v>0</v>
      </c>
      <c r="L1614" t="n">
        <v>1</v>
      </c>
      <c r="M1614" t="n">
        <v>0</v>
      </c>
    </row>
    <row r="1615" spans="1:13">
      <c r="A1615" s="1">
        <f>HYPERLINK("http://www.twitter.com/NathanBLawrence/status/986234913430138880", "986234913430138880")</f>
        <v/>
      </c>
      <c r="B1615" s="2" t="n">
        <v>43207.56135416667</v>
      </c>
      <c r="C1615" t="n">
        <v>0</v>
      </c>
      <c r="D1615" t="n">
        <v>15187</v>
      </c>
      <c r="E1615" t="s">
        <v>1626</v>
      </c>
      <c r="F1615" t="s"/>
      <c r="G1615" t="s"/>
      <c r="H1615" t="s"/>
      <c r="I1615" t="s"/>
      <c r="J1615" t="n">
        <v>0.3753</v>
      </c>
      <c r="K1615" t="n">
        <v>0.089</v>
      </c>
      <c r="L1615" t="n">
        <v>0.724</v>
      </c>
      <c r="M1615" t="n">
        <v>0.187</v>
      </c>
    </row>
    <row r="1616" spans="1:13">
      <c r="A1616" s="1">
        <f>HYPERLINK("http://www.twitter.com/NathanBLawrence/status/986071862303223808", "986071862303223808")</f>
        <v/>
      </c>
      <c r="B1616" s="2" t="n">
        <v>43207.11141203704</v>
      </c>
      <c r="C1616" t="n">
        <v>0</v>
      </c>
      <c r="D1616" t="n">
        <v>503</v>
      </c>
      <c r="E1616" t="s">
        <v>1627</v>
      </c>
      <c r="F1616">
        <f>HYPERLINK("http://pbs.twimg.com/media/Da8uTC2XcAEbEOG.jpg", "http://pbs.twimg.com/media/Da8uTC2XcAEbEOG.jpg")</f>
        <v/>
      </c>
      <c r="G1616" t="s"/>
      <c r="H1616" t="s"/>
      <c r="I1616" t="s"/>
      <c r="J1616" t="n">
        <v>0.6597</v>
      </c>
      <c r="K1616" t="n">
        <v>0</v>
      </c>
      <c r="L1616" t="n">
        <v>0.779</v>
      </c>
      <c r="M1616" t="n">
        <v>0.221</v>
      </c>
    </row>
    <row r="1617" spans="1:13">
      <c r="A1617" s="1">
        <f>HYPERLINK("http://www.twitter.com/NathanBLawrence/status/986070960792104960", "986070960792104960")</f>
        <v/>
      </c>
      <c r="B1617" s="2" t="n">
        <v>43207.10893518518</v>
      </c>
      <c r="C1617" t="n">
        <v>0</v>
      </c>
      <c r="D1617" t="n">
        <v>565</v>
      </c>
      <c r="E1617" t="s">
        <v>1628</v>
      </c>
      <c r="F1617" t="s"/>
      <c r="G1617" t="s"/>
      <c r="H1617" t="s"/>
      <c r="I1617" t="s"/>
      <c r="J1617" t="n">
        <v>0.6597</v>
      </c>
      <c r="K1617" t="n">
        <v>0</v>
      </c>
      <c r="L1617" t="n">
        <v>0.769</v>
      </c>
      <c r="M1617" t="n">
        <v>0.231</v>
      </c>
    </row>
    <row r="1618" spans="1:13">
      <c r="A1618" s="1">
        <f>HYPERLINK("http://www.twitter.com/NathanBLawrence/status/986070667576643584", "986070667576643584")</f>
        <v/>
      </c>
      <c r="B1618" s="2" t="n">
        <v>43207.108125</v>
      </c>
      <c r="C1618" t="n">
        <v>0</v>
      </c>
      <c r="D1618" t="n">
        <v>1679</v>
      </c>
      <c r="E1618" t="s">
        <v>1629</v>
      </c>
      <c r="F1618">
        <f>HYPERLINK("https://video.twimg.com/amplify_video/984889477402312704/vid/1280x720/IkjZhAmljigdXkj4.mp4?tag=2", "https://video.twimg.com/amplify_video/984889477402312704/vid/1280x720/IkjZhAmljigdXkj4.mp4?tag=2")</f>
        <v/>
      </c>
      <c r="G1618" t="s"/>
      <c r="H1618" t="s"/>
      <c r="I1618" t="s"/>
      <c r="J1618" t="n">
        <v>0.694</v>
      </c>
      <c r="K1618" t="n">
        <v>0</v>
      </c>
      <c r="L1618" t="n">
        <v>0.748</v>
      </c>
      <c r="M1618" t="n">
        <v>0.252</v>
      </c>
    </row>
    <row r="1619" spans="1:13">
      <c r="A1619" s="1">
        <f>HYPERLINK("http://www.twitter.com/NathanBLawrence/status/986070406342770694", "986070406342770694")</f>
        <v/>
      </c>
      <c r="B1619" s="2" t="n">
        <v>43207.10739583334</v>
      </c>
      <c r="C1619" t="n">
        <v>0</v>
      </c>
      <c r="D1619" t="n">
        <v>315</v>
      </c>
      <c r="E1619" t="s">
        <v>1630</v>
      </c>
      <c r="F1619">
        <f>HYPERLINK("http://pbs.twimg.com/media/Da8bkWNVwAAzjus.jpg", "http://pbs.twimg.com/media/Da8bkWNVwAAzjus.jpg")</f>
        <v/>
      </c>
      <c r="G1619" t="s"/>
      <c r="H1619" t="s"/>
      <c r="I1619" t="s"/>
      <c r="J1619" t="n">
        <v>0.6249</v>
      </c>
      <c r="K1619" t="n">
        <v>0</v>
      </c>
      <c r="L1619" t="n">
        <v>0.76</v>
      </c>
      <c r="M1619" t="n">
        <v>0.24</v>
      </c>
    </row>
    <row r="1620" spans="1:13">
      <c r="A1620" s="1">
        <f>HYPERLINK("http://www.twitter.com/NathanBLawrence/status/986064329664614400", "986064329664614400")</f>
        <v/>
      </c>
      <c r="B1620" s="2" t="n">
        <v>43207.09063657407</v>
      </c>
      <c r="C1620" t="n">
        <v>0</v>
      </c>
      <c r="D1620" t="n">
        <v>1765</v>
      </c>
      <c r="E1620" t="s">
        <v>1631</v>
      </c>
      <c r="F1620" t="s"/>
      <c r="G1620" t="s"/>
      <c r="H1620" t="s"/>
      <c r="I1620" t="s"/>
      <c r="J1620" t="n">
        <v>0</v>
      </c>
      <c r="K1620" t="n">
        <v>0</v>
      </c>
      <c r="L1620" t="n">
        <v>1</v>
      </c>
      <c r="M1620" t="n">
        <v>0</v>
      </c>
    </row>
    <row r="1621" spans="1:13">
      <c r="A1621" s="1">
        <f>HYPERLINK("http://www.twitter.com/NathanBLawrence/status/986063628523769856", "986063628523769856")</f>
        <v/>
      </c>
      <c r="B1621" s="2" t="n">
        <v>43207.08869212963</v>
      </c>
      <c r="C1621" t="n">
        <v>0</v>
      </c>
      <c r="D1621" t="n">
        <v>5467</v>
      </c>
      <c r="E1621" t="s">
        <v>1632</v>
      </c>
      <c r="F1621">
        <f>HYPERLINK("http://pbs.twimg.com/media/Da8dU4oVMAIWZmb.jpg", "http://pbs.twimg.com/media/Da8dU4oVMAIWZmb.jpg")</f>
        <v/>
      </c>
      <c r="G1621" t="s"/>
      <c r="H1621" t="s"/>
      <c r="I1621" t="s"/>
      <c r="J1621" t="n">
        <v>0.5319</v>
      </c>
      <c r="K1621" t="n">
        <v>0</v>
      </c>
      <c r="L1621" t="n">
        <v>0.7</v>
      </c>
      <c r="M1621" t="n">
        <v>0.3</v>
      </c>
    </row>
    <row r="1622" spans="1:13">
      <c r="A1622" s="1">
        <f>HYPERLINK("http://www.twitter.com/NathanBLawrence/status/986063390601809920", "986063390601809920")</f>
        <v/>
      </c>
      <c r="B1622" s="2" t="n">
        <v>43207.08804398148</v>
      </c>
      <c r="C1622" t="n">
        <v>0</v>
      </c>
      <c r="D1622" t="n">
        <v>536</v>
      </c>
      <c r="E1622" t="s">
        <v>1633</v>
      </c>
      <c r="F1622" t="s"/>
      <c r="G1622" t="s"/>
      <c r="H1622" t="s"/>
      <c r="I1622" t="s"/>
      <c r="J1622" t="n">
        <v>-0.0772</v>
      </c>
      <c r="K1622" t="n">
        <v>0.098</v>
      </c>
      <c r="L1622" t="n">
        <v>0.8159999999999999</v>
      </c>
      <c r="M1622" t="n">
        <v>0.08599999999999999</v>
      </c>
    </row>
    <row r="1623" spans="1:13">
      <c r="A1623" s="1">
        <f>HYPERLINK("http://www.twitter.com/NathanBLawrence/status/985933386962423808", "985933386962423808")</f>
        <v/>
      </c>
      <c r="B1623" s="2" t="n">
        <v>43206.72929398148</v>
      </c>
      <c r="C1623" t="n">
        <v>0</v>
      </c>
      <c r="D1623" t="n">
        <v>7</v>
      </c>
      <c r="E1623" t="s">
        <v>1634</v>
      </c>
      <c r="F1623">
        <f>HYPERLINK("http://pbs.twimg.com/media/Da6mhk-VMAIf-cG.jpg", "http://pbs.twimg.com/media/Da6mhk-VMAIf-cG.jpg")</f>
        <v/>
      </c>
      <c r="G1623" t="s"/>
      <c r="H1623" t="s"/>
      <c r="I1623" t="s"/>
      <c r="J1623" t="n">
        <v>0</v>
      </c>
      <c r="K1623" t="n">
        <v>0</v>
      </c>
      <c r="L1623" t="n">
        <v>1</v>
      </c>
      <c r="M1623" t="n">
        <v>0</v>
      </c>
    </row>
    <row r="1624" spans="1:13">
      <c r="A1624" s="1">
        <f>HYPERLINK("http://www.twitter.com/NathanBLawrence/status/985927166050422787", "985927166050422787")</f>
        <v/>
      </c>
      <c r="B1624" s="2" t="n">
        <v>43206.71212962963</v>
      </c>
      <c r="C1624" t="n">
        <v>0</v>
      </c>
      <c r="D1624" t="n">
        <v>104</v>
      </c>
      <c r="E1624" t="s">
        <v>1635</v>
      </c>
      <c r="F1624">
        <f>HYPERLINK("http://pbs.twimg.com/media/Da5lhP2V4AEC3v0.jpg", "http://pbs.twimg.com/media/Da5lhP2V4AEC3v0.jpg")</f>
        <v/>
      </c>
      <c r="G1624" t="s"/>
      <c r="H1624" t="s"/>
      <c r="I1624" t="s"/>
      <c r="J1624" t="n">
        <v>0</v>
      </c>
      <c r="K1624" t="n">
        <v>0</v>
      </c>
      <c r="L1624" t="n">
        <v>1</v>
      </c>
      <c r="M1624" t="n">
        <v>0</v>
      </c>
    </row>
    <row r="1625" spans="1:13">
      <c r="A1625" s="1">
        <f>HYPERLINK("http://www.twitter.com/NathanBLawrence/status/985926976325193728", "985926976325193728")</f>
        <v/>
      </c>
      <c r="B1625" s="2" t="n">
        <v>43206.71160879629</v>
      </c>
      <c r="C1625" t="n">
        <v>0</v>
      </c>
      <c r="D1625" t="n">
        <v>38</v>
      </c>
      <c r="E1625" t="s">
        <v>1636</v>
      </c>
      <c r="F1625">
        <f>HYPERLINK("http://pbs.twimg.com/media/Da6XYquX0AAIumR.jpg", "http://pbs.twimg.com/media/Da6XYquX0AAIumR.jpg")</f>
        <v/>
      </c>
      <c r="G1625" t="s"/>
      <c r="H1625" t="s"/>
      <c r="I1625" t="s"/>
      <c r="J1625" t="n">
        <v>-0.4767</v>
      </c>
      <c r="K1625" t="n">
        <v>0.205</v>
      </c>
      <c r="L1625" t="n">
        <v>0.795</v>
      </c>
      <c r="M1625" t="n">
        <v>0</v>
      </c>
    </row>
    <row r="1626" spans="1:13">
      <c r="A1626" s="1">
        <f>HYPERLINK("http://www.twitter.com/NathanBLawrence/status/985926938735927297", "985926938735927297")</f>
        <v/>
      </c>
      <c r="B1626" s="2" t="n">
        <v>43206.71150462963</v>
      </c>
      <c r="C1626" t="n">
        <v>0</v>
      </c>
      <c r="D1626" t="n">
        <v>69</v>
      </c>
      <c r="E1626" t="s">
        <v>1637</v>
      </c>
      <c r="F1626">
        <f>HYPERLINK("http://pbs.twimg.com/media/Da5wP0fXcAAT8sR.jpg", "http://pbs.twimg.com/media/Da5wP0fXcAAT8sR.jpg")</f>
        <v/>
      </c>
      <c r="G1626" t="s"/>
      <c r="H1626" t="s"/>
      <c r="I1626" t="s"/>
      <c r="J1626" t="n">
        <v>0.7003</v>
      </c>
      <c r="K1626" t="n">
        <v>0</v>
      </c>
      <c r="L1626" t="n">
        <v>0.547</v>
      </c>
      <c r="M1626" t="n">
        <v>0.453</v>
      </c>
    </row>
    <row r="1627" spans="1:13">
      <c r="A1627" s="1">
        <f>HYPERLINK("http://www.twitter.com/NathanBLawrence/status/985926709047431172", "985926709047431172")</f>
        <v/>
      </c>
      <c r="B1627" s="2" t="n">
        <v>43206.71086805555</v>
      </c>
      <c r="C1627" t="n">
        <v>0</v>
      </c>
      <c r="D1627" t="n">
        <v>880</v>
      </c>
      <c r="E1627" t="s">
        <v>1638</v>
      </c>
      <c r="F1627" t="s"/>
      <c r="G1627" t="s"/>
      <c r="H1627" t="s"/>
      <c r="I1627" t="s"/>
      <c r="J1627" t="n">
        <v>0</v>
      </c>
      <c r="K1627" t="n">
        <v>0</v>
      </c>
      <c r="L1627" t="n">
        <v>1</v>
      </c>
      <c r="M1627" t="n">
        <v>0</v>
      </c>
    </row>
    <row r="1628" spans="1:13">
      <c r="A1628" s="1">
        <f>HYPERLINK("http://www.twitter.com/NathanBLawrence/status/985926587894980608", "985926587894980608")</f>
        <v/>
      </c>
      <c r="B1628" s="2" t="n">
        <v>43206.71053240741</v>
      </c>
      <c r="C1628" t="n">
        <v>0</v>
      </c>
      <c r="D1628" t="n">
        <v>739</v>
      </c>
      <c r="E1628" t="s">
        <v>1639</v>
      </c>
      <c r="F1628">
        <f>HYPERLINK("http://pbs.twimg.com/media/Da4IFlcUwAALl4V.jpg", "http://pbs.twimg.com/media/Da4IFlcUwAALl4V.jpg")</f>
        <v/>
      </c>
      <c r="G1628" t="s"/>
      <c r="H1628" t="s"/>
      <c r="I1628" t="s"/>
      <c r="J1628" t="n">
        <v>0</v>
      </c>
      <c r="K1628" t="n">
        <v>0</v>
      </c>
      <c r="L1628" t="n">
        <v>1</v>
      </c>
      <c r="M1628" t="n">
        <v>0</v>
      </c>
    </row>
    <row r="1629" spans="1:13">
      <c r="A1629" s="1">
        <f>HYPERLINK("http://www.twitter.com/NathanBLawrence/status/985926441828274177", "985926441828274177")</f>
        <v/>
      </c>
      <c r="B1629" s="2" t="n">
        <v>43206.71013888889</v>
      </c>
      <c r="C1629" t="n">
        <v>0</v>
      </c>
      <c r="D1629" t="n">
        <v>31</v>
      </c>
      <c r="E1629" t="s">
        <v>1640</v>
      </c>
      <c r="F1629">
        <f>HYPERLINK("http://pbs.twimg.com/media/Da5eg4xXUAErXGo.jpg", "http://pbs.twimg.com/media/Da5eg4xXUAErXGo.jpg")</f>
        <v/>
      </c>
      <c r="G1629" t="s"/>
      <c r="H1629" t="s"/>
      <c r="I1629" t="s"/>
      <c r="J1629" t="n">
        <v>0.3612</v>
      </c>
      <c r="K1629" t="n">
        <v>0</v>
      </c>
      <c r="L1629" t="n">
        <v>0.909</v>
      </c>
      <c r="M1629" t="n">
        <v>0.091</v>
      </c>
    </row>
    <row r="1630" spans="1:13">
      <c r="A1630" s="1">
        <f>HYPERLINK("http://www.twitter.com/NathanBLawrence/status/985926242431008768", "985926242431008768")</f>
        <v/>
      </c>
      <c r="B1630" s="2" t="n">
        <v>43206.70958333334</v>
      </c>
      <c r="C1630" t="n">
        <v>0</v>
      </c>
      <c r="D1630" t="n">
        <v>209</v>
      </c>
      <c r="E1630" t="s">
        <v>1641</v>
      </c>
      <c r="F1630">
        <f>HYPERLINK("http://pbs.twimg.com/media/Da6AgL3XUAAMGHb.jpg", "http://pbs.twimg.com/media/Da6AgL3XUAAMGHb.jpg")</f>
        <v/>
      </c>
      <c r="G1630" t="s"/>
      <c r="H1630" t="s"/>
      <c r="I1630" t="s"/>
      <c r="J1630" t="n">
        <v>0.7717000000000001</v>
      </c>
      <c r="K1630" t="n">
        <v>0.053</v>
      </c>
      <c r="L1630" t="n">
        <v>0.642</v>
      </c>
      <c r="M1630" t="n">
        <v>0.306</v>
      </c>
    </row>
    <row r="1631" spans="1:13">
      <c r="A1631" s="1">
        <f>HYPERLINK("http://www.twitter.com/NathanBLawrence/status/985925712816365568", "985925712816365568")</f>
        <v/>
      </c>
      <c r="B1631" s="2" t="n">
        <v>43206.708125</v>
      </c>
      <c r="C1631" t="n">
        <v>0</v>
      </c>
      <c r="D1631" t="n">
        <v>1</v>
      </c>
      <c r="E1631" t="s">
        <v>1642</v>
      </c>
      <c r="F1631" t="s"/>
      <c r="G1631" t="s"/>
      <c r="H1631" t="s"/>
      <c r="I1631" t="s"/>
      <c r="J1631" t="n">
        <v>0</v>
      </c>
      <c r="K1631" t="n">
        <v>0</v>
      </c>
      <c r="L1631" t="n">
        <v>1</v>
      </c>
      <c r="M1631" t="n">
        <v>0</v>
      </c>
    </row>
    <row r="1632" spans="1:13">
      <c r="A1632" s="1">
        <f>HYPERLINK("http://www.twitter.com/NathanBLawrence/status/985925633703366657", "985925633703366657")</f>
        <v/>
      </c>
      <c r="B1632" s="2" t="n">
        <v>43206.70790509259</v>
      </c>
      <c r="C1632" t="n">
        <v>0</v>
      </c>
      <c r="D1632" t="n">
        <v>111</v>
      </c>
      <c r="E1632" t="s">
        <v>1643</v>
      </c>
      <c r="F1632" t="s"/>
      <c r="G1632" t="s"/>
      <c r="H1632" t="s"/>
      <c r="I1632" t="s"/>
      <c r="J1632" t="n">
        <v>0.1779</v>
      </c>
      <c r="K1632" t="n">
        <v>0.108</v>
      </c>
      <c r="L1632" t="n">
        <v>0.717</v>
      </c>
      <c r="M1632" t="n">
        <v>0.175</v>
      </c>
    </row>
    <row r="1633" spans="1:13">
      <c r="A1633" s="1">
        <f>HYPERLINK("http://www.twitter.com/NathanBLawrence/status/985925424118104067", "985925424118104067")</f>
        <v/>
      </c>
      <c r="B1633" s="2" t="n">
        <v>43206.70732638889</v>
      </c>
      <c r="C1633" t="n">
        <v>0</v>
      </c>
      <c r="D1633" t="n">
        <v>515</v>
      </c>
      <c r="E1633" t="s">
        <v>1644</v>
      </c>
      <c r="F1633">
        <f>HYPERLINK("https://video.twimg.com/ext_tw_video/985924660155113473/pu/vid/1280x720/JU_mnKv6ikPt61mR.mp4?tag=2", "https://video.twimg.com/ext_tw_video/985924660155113473/pu/vid/1280x720/JU_mnKv6ikPt61mR.mp4?tag=2")</f>
        <v/>
      </c>
      <c r="G1633" t="s"/>
      <c r="H1633" t="s"/>
      <c r="I1633" t="s"/>
      <c r="J1633" t="n">
        <v>-0.2732</v>
      </c>
      <c r="K1633" t="n">
        <v>0.08699999999999999</v>
      </c>
      <c r="L1633" t="n">
        <v>0.913</v>
      </c>
      <c r="M1633" t="n">
        <v>0</v>
      </c>
    </row>
    <row r="1634" spans="1:13">
      <c r="A1634" s="1">
        <f>HYPERLINK("http://www.twitter.com/NathanBLawrence/status/985924839369269248", "985924839369269248")</f>
        <v/>
      </c>
      <c r="B1634" s="2" t="n">
        <v>43206.70570601852</v>
      </c>
      <c r="C1634" t="n">
        <v>0</v>
      </c>
      <c r="D1634" t="n">
        <v>127</v>
      </c>
      <c r="E1634" t="s">
        <v>1645</v>
      </c>
      <c r="F1634" t="s"/>
      <c r="G1634" t="s"/>
      <c r="H1634" t="s"/>
      <c r="I1634" t="s"/>
      <c r="J1634" t="n">
        <v>0.7481</v>
      </c>
      <c r="K1634" t="n">
        <v>0</v>
      </c>
      <c r="L1634" t="n">
        <v>0.6870000000000001</v>
      </c>
      <c r="M1634" t="n">
        <v>0.313</v>
      </c>
    </row>
    <row r="1635" spans="1:13">
      <c r="A1635" s="1">
        <f>HYPERLINK("http://www.twitter.com/NathanBLawrence/status/985924663774720000", "985924663774720000")</f>
        <v/>
      </c>
      <c r="B1635" s="2" t="n">
        <v>43206.70523148148</v>
      </c>
      <c r="C1635" t="n">
        <v>0</v>
      </c>
      <c r="D1635" t="n">
        <v>89</v>
      </c>
      <c r="E1635" t="s">
        <v>1646</v>
      </c>
      <c r="F1635">
        <f>HYPERLINK("http://pbs.twimg.com/media/Da6vhFKWAAUxiPo.jpg", "http://pbs.twimg.com/media/Da6vhFKWAAUxiPo.jpg")</f>
        <v/>
      </c>
      <c r="G1635" t="s"/>
      <c r="H1635" t="s"/>
      <c r="I1635" t="s"/>
      <c r="J1635" t="n">
        <v>0.3818</v>
      </c>
      <c r="K1635" t="n">
        <v>0</v>
      </c>
      <c r="L1635" t="n">
        <v>0.89</v>
      </c>
      <c r="M1635" t="n">
        <v>0.11</v>
      </c>
    </row>
    <row r="1636" spans="1:13">
      <c r="A1636" s="1">
        <f>HYPERLINK("http://www.twitter.com/NathanBLawrence/status/985924388196356096", "985924388196356096")</f>
        <v/>
      </c>
      <c r="B1636" s="2" t="n">
        <v>43206.70446759259</v>
      </c>
      <c r="C1636" t="n">
        <v>0</v>
      </c>
      <c r="D1636" t="n">
        <v>1401</v>
      </c>
      <c r="E1636" t="s">
        <v>1647</v>
      </c>
      <c r="F1636" t="s"/>
      <c r="G1636" t="s"/>
      <c r="H1636" t="s"/>
      <c r="I1636" t="s"/>
      <c r="J1636" t="n">
        <v>0.5904</v>
      </c>
      <c r="K1636" t="n">
        <v>0</v>
      </c>
      <c r="L1636" t="n">
        <v>0.61</v>
      </c>
      <c r="M1636" t="n">
        <v>0.39</v>
      </c>
    </row>
    <row r="1637" spans="1:13">
      <c r="A1637" s="1">
        <f>HYPERLINK("http://www.twitter.com/NathanBLawrence/status/985924208529170432", "985924208529170432")</f>
        <v/>
      </c>
      <c r="B1637" s="2" t="n">
        <v>43206.70396990741</v>
      </c>
      <c r="C1637" t="n">
        <v>0</v>
      </c>
      <c r="D1637" t="n">
        <v>1934</v>
      </c>
      <c r="E1637" t="s">
        <v>1648</v>
      </c>
      <c r="F1637" t="s"/>
      <c r="G1637" t="s"/>
      <c r="H1637" t="s"/>
      <c r="I1637" t="s"/>
      <c r="J1637" t="n">
        <v>-0.4939</v>
      </c>
      <c r="K1637" t="n">
        <v>0.248</v>
      </c>
      <c r="L1637" t="n">
        <v>0.612</v>
      </c>
      <c r="M1637" t="n">
        <v>0.139</v>
      </c>
    </row>
    <row r="1638" spans="1:13">
      <c r="A1638" s="1">
        <f>HYPERLINK("http://www.twitter.com/NathanBLawrence/status/985923637961199616", "985923637961199616")</f>
        <v/>
      </c>
      <c r="B1638" s="2" t="n">
        <v>43206.70239583333</v>
      </c>
      <c r="C1638" t="n">
        <v>0</v>
      </c>
      <c r="D1638" t="n">
        <v>139</v>
      </c>
      <c r="E1638" t="s">
        <v>1649</v>
      </c>
      <c r="F1638" t="s"/>
      <c r="G1638" t="s"/>
      <c r="H1638" t="s"/>
      <c r="I1638" t="s"/>
      <c r="J1638" t="n">
        <v>0.4767</v>
      </c>
      <c r="K1638" t="n">
        <v>0</v>
      </c>
      <c r="L1638" t="n">
        <v>0.871</v>
      </c>
      <c r="M1638" t="n">
        <v>0.129</v>
      </c>
    </row>
    <row r="1639" spans="1:13">
      <c r="A1639" s="1">
        <f>HYPERLINK("http://www.twitter.com/NathanBLawrence/status/985923512337666048", "985923512337666048")</f>
        <v/>
      </c>
      <c r="B1639" s="2" t="n">
        <v>43206.70204861111</v>
      </c>
      <c r="C1639" t="n">
        <v>0</v>
      </c>
      <c r="D1639" t="n">
        <v>18</v>
      </c>
      <c r="E1639" t="s">
        <v>1650</v>
      </c>
      <c r="F1639" t="s"/>
      <c r="G1639" t="s"/>
      <c r="H1639" t="s"/>
      <c r="I1639" t="s"/>
      <c r="J1639" t="n">
        <v>0</v>
      </c>
      <c r="K1639" t="n">
        <v>0</v>
      </c>
      <c r="L1639" t="n">
        <v>1</v>
      </c>
      <c r="M1639" t="n">
        <v>0</v>
      </c>
    </row>
    <row r="1640" spans="1:13">
      <c r="A1640" s="1">
        <f>HYPERLINK("http://www.twitter.com/NathanBLawrence/status/985923385216643074", "985923385216643074")</f>
        <v/>
      </c>
      <c r="B1640" s="2" t="n">
        <v>43206.70170138889</v>
      </c>
      <c r="C1640" t="n">
        <v>0</v>
      </c>
      <c r="D1640" t="n">
        <v>5</v>
      </c>
      <c r="E1640" t="s">
        <v>1651</v>
      </c>
      <c r="F1640" t="s"/>
      <c r="G1640" t="s"/>
      <c r="H1640" t="s"/>
      <c r="I1640" t="s"/>
      <c r="J1640" t="n">
        <v>0</v>
      </c>
      <c r="K1640" t="n">
        <v>0</v>
      </c>
      <c r="L1640" t="n">
        <v>1</v>
      </c>
      <c r="M1640" t="n">
        <v>0</v>
      </c>
    </row>
    <row r="1641" spans="1:13">
      <c r="A1641" s="1">
        <f>HYPERLINK("http://www.twitter.com/NathanBLawrence/status/985923233663856642", "985923233663856642")</f>
        <v/>
      </c>
      <c r="B1641" s="2" t="n">
        <v>43206.70128472222</v>
      </c>
      <c r="C1641" t="n">
        <v>0</v>
      </c>
      <c r="D1641" t="n">
        <v>2</v>
      </c>
      <c r="E1641" t="s">
        <v>1652</v>
      </c>
      <c r="F1641" t="s"/>
      <c r="G1641" t="s"/>
      <c r="H1641" t="s"/>
      <c r="I1641" t="s"/>
      <c r="J1641" t="n">
        <v>0.7378</v>
      </c>
      <c r="K1641" t="n">
        <v>0</v>
      </c>
      <c r="L1641" t="n">
        <v>0.753</v>
      </c>
      <c r="M1641" t="n">
        <v>0.247</v>
      </c>
    </row>
    <row r="1642" spans="1:13">
      <c r="A1642" s="1">
        <f>HYPERLINK("http://www.twitter.com/NathanBLawrence/status/985922596066742272", "985922596066742272")</f>
        <v/>
      </c>
      <c r="B1642" s="2" t="n">
        <v>43206.69952546297</v>
      </c>
      <c r="C1642" t="n">
        <v>0</v>
      </c>
      <c r="D1642" t="n">
        <v>199</v>
      </c>
      <c r="E1642" t="s">
        <v>1653</v>
      </c>
      <c r="F1642">
        <f>HYPERLINK("https://video.twimg.com/amplify_video/985861009272463360/vid/1280x720/1F6bReoJ7qGyZ2CM.mp4?tag=2", "https://video.twimg.com/amplify_video/985861009272463360/vid/1280x720/1F6bReoJ7qGyZ2CM.mp4?tag=2")</f>
        <v/>
      </c>
      <c r="G1642" t="s"/>
      <c r="H1642" t="s"/>
      <c r="I1642" t="s"/>
      <c r="J1642" t="n">
        <v>0</v>
      </c>
      <c r="K1642" t="n">
        <v>0</v>
      </c>
      <c r="L1642" t="n">
        <v>1</v>
      </c>
      <c r="M1642" t="n">
        <v>0</v>
      </c>
    </row>
    <row r="1643" spans="1:13">
      <c r="A1643" s="1">
        <f>HYPERLINK("http://www.twitter.com/NathanBLawrence/status/985922271452725248", "985922271452725248")</f>
        <v/>
      </c>
      <c r="B1643" s="2" t="n">
        <v>43206.69862268519</v>
      </c>
      <c r="C1643" t="n">
        <v>0</v>
      </c>
      <c r="D1643" t="n">
        <v>8449</v>
      </c>
      <c r="E1643" t="s">
        <v>1654</v>
      </c>
      <c r="F1643">
        <f>HYPERLINK("http://pbs.twimg.com/media/Da2AJzuUQAAp4Fx.jpg", "http://pbs.twimg.com/media/Da2AJzuUQAAp4Fx.jpg")</f>
        <v/>
      </c>
      <c r="G1643" t="s"/>
      <c r="H1643" t="s"/>
      <c r="I1643" t="s"/>
      <c r="J1643" t="n">
        <v>0.9694</v>
      </c>
      <c r="K1643" t="n">
        <v>0</v>
      </c>
      <c r="L1643" t="n">
        <v>0.444</v>
      </c>
      <c r="M1643" t="n">
        <v>0.556</v>
      </c>
    </row>
    <row r="1644" spans="1:13">
      <c r="A1644" s="1">
        <f>HYPERLINK("http://www.twitter.com/NathanBLawrence/status/985922145090879489", "985922145090879489")</f>
        <v/>
      </c>
      <c r="B1644" s="2" t="n">
        <v>43206.69827546296</v>
      </c>
      <c r="C1644" t="n">
        <v>0</v>
      </c>
      <c r="D1644" t="n">
        <v>188</v>
      </c>
      <c r="E1644" t="s">
        <v>1655</v>
      </c>
      <c r="F1644" t="s"/>
      <c r="G1644" t="s"/>
      <c r="H1644" t="s"/>
      <c r="I1644" t="s"/>
      <c r="J1644" t="n">
        <v>-0.6249</v>
      </c>
      <c r="K1644" t="n">
        <v>0.157</v>
      </c>
      <c r="L1644" t="n">
        <v>0.843</v>
      </c>
      <c r="M1644" t="n">
        <v>0</v>
      </c>
    </row>
    <row r="1645" spans="1:13">
      <c r="A1645" s="1">
        <f>HYPERLINK("http://www.twitter.com/NathanBLawrence/status/985921862671716356", "985921862671716356")</f>
        <v/>
      </c>
      <c r="B1645" s="2" t="n">
        <v>43206.6975</v>
      </c>
      <c r="C1645" t="n">
        <v>0</v>
      </c>
      <c r="D1645" t="n">
        <v>168</v>
      </c>
      <c r="E1645" t="s">
        <v>1656</v>
      </c>
      <c r="F1645">
        <f>HYPERLINK("https://video.twimg.com/amplify_video/985896172123512838/vid/1280x720/qlVh0Z7RjDov-Fpr.mp4?tag=6", "https://video.twimg.com/amplify_video/985896172123512838/vid/1280x720/qlVh0Z7RjDov-Fpr.mp4?tag=6")</f>
        <v/>
      </c>
      <c r="G1645" t="s"/>
      <c r="H1645" t="s"/>
      <c r="I1645" t="s"/>
      <c r="J1645" t="n">
        <v>0.8126</v>
      </c>
      <c r="K1645" t="n">
        <v>0</v>
      </c>
      <c r="L1645" t="n">
        <v>0.739</v>
      </c>
      <c r="M1645" t="n">
        <v>0.261</v>
      </c>
    </row>
    <row r="1646" spans="1:13">
      <c r="A1646" s="1">
        <f>HYPERLINK("http://www.twitter.com/NathanBLawrence/status/985921558396002304", "985921558396002304")</f>
        <v/>
      </c>
      <c r="B1646" s="2" t="n">
        <v>43206.69665509259</v>
      </c>
      <c r="C1646" t="n">
        <v>0</v>
      </c>
      <c r="D1646" t="n">
        <v>1068</v>
      </c>
      <c r="E1646" t="s">
        <v>1657</v>
      </c>
      <c r="F1646">
        <f>HYPERLINK("https://video.twimg.com/ext_tw_video/985920995574910977/pu/vid/1280x720/s81O3xpOyRvAqyGM.mp4?tag=2", "https://video.twimg.com/ext_tw_video/985920995574910977/pu/vid/1280x720/s81O3xpOyRvAqyGM.mp4?tag=2")</f>
        <v/>
      </c>
      <c r="G1646" t="s"/>
      <c r="H1646" t="s"/>
      <c r="I1646" t="s"/>
      <c r="J1646" t="n">
        <v>0</v>
      </c>
      <c r="K1646" t="n">
        <v>0</v>
      </c>
      <c r="L1646" t="n">
        <v>1</v>
      </c>
      <c r="M1646" t="n">
        <v>0</v>
      </c>
    </row>
    <row r="1647" spans="1:13">
      <c r="A1647" s="1">
        <f>HYPERLINK("http://www.twitter.com/NathanBLawrence/status/985921385108303872", "985921385108303872")</f>
        <v/>
      </c>
      <c r="B1647" s="2" t="n">
        <v>43206.69618055555</v>
      </c>
      <c r="C1647" t="n">
        <v>0</v>
      </c>
      <c r="D1647" t="n">
        <v>1</v>
      </c>
      <c r="E1647" t="s">
        <v>1658</v>
      </c>
      <c r="F1647" t="s"/>
      <c r="G1647" t="s"/>
      <c r="H1647" t="s"/>
      <c r="I1647" t="s"/>
      <c r="J1647" t="n">
        <v>-0.34</v>
      </c>
      <c r="K1647" t="n">
        <v>0.118</v>
      </c>
      <c r="L1647" t="n">
        <v>0.882</v>
      </c>
      <c r="M1647" t="n">
        <v>0</v>
      </c>
    </row>
    <row r="1648" spans="1:13">
      <c r="A1648" s="1">
        <f>HYPERLINK("http://www.twitter.com/NathanBLawrence/status/985921297807966208", "985921297807966208")</f>
        <v/>
      </c>
      <c r="B1648" s="2" t="n">
        <v>43206.6959375</v>
      </c>
      <c r="C1648" t="n">
        <v>0</v>
      </c>
      <c r="D1648" t="n">
        <v>27</v>
      </c>
      <c r="E1648" t="s">
        <v>1659</v>
      </c>
      <c r="F1648">
        <f>HYPERLINK("http://pbs.twimg.com/media/Da6vkZyXUAA7B1C.jpg", "http://pbs.twimg.com/media/Da6vkZyXUAA7B1C.jpg")</f>
        <v/>
      </c>
      <c r="G1648" t="s"/>
      <c r="H1648" t="s"/>
      <c r="I1648" t="s"/>
      <c r="J1648" t="n">
        <v>0.5562</v>
      </c>
      <c r="K1648" t="n">
        <v>0</v>
      </c>
      <c r="L1648" t="n">
        <v>0.715</v>
      </c>
      <c r="M1648" t="n">
        <v>0.285</v>
      </c>
    </row>
    <row r="1649" spans="1:13">
      <c r="A1649" s="1">
        <f>HYPERLINK("http://www.twitter.com/NathanBLawrence/status/985921232934719488", "985921232934719488")</f>
        <v/>
      </c>
      <c r="B1649" s="2" t="n">
        <v>43206.69576388889</v>
      </c>
      <c r="C1649" t="n">
        <v>0</v>
      </c>
      <c r="D1649" t="n">
        <v>43</v>
      </c>
      <c r="E1649" t="s">
        <v>1660</v>
      </c>
      <c r="F1649">
        <f>HYPERLINK("http://pbs.twimg.com/media/DatCCAFXcAABxO8.jpg", "http://pbs.twimg.com/media/DatCCAFXcAABxO8.jpg")</f>
        <v/>
      </c>
      <c r="G1649" t="s"/>
      <c r="H1649" t="s"/>
      <c r="I1649" t="s"/>
      <c r="J1649" t="n">
        <v>-0.7351</v>
      </c>
      <c r="K1649" t="n">
        <v>0.246</v>
      </c>
      <c r="L1649" t="n">
        <v>0.754</v>
      </c>
      <c r="M1649" t="n">
        <v>0</v>
      </c>
    </row>
    <row r="1650" spans="1:13">
      <c r="A1650" s="1">
        <f>HYPERLINK("http://www.twitter.com/NathanBLawrence/status/985921117566193664", "985921117566193664")</f>
        <v/>
      </c>
      <c r="B1650" s="2" t="n">
        <v>43206.69543981482</v>
      </c>
      <c r="C1650" t="n">
        <v>0</v>
      </c>
      <c r="D1650" t="n">
        <v>265</v>
      </c>
      <c r="E1650" t="s">
        <v>1661</v>
      </c>
      <c r="F1650" t="s"/>
      <c r="G1650" t="s"/>
      <c r="H1650" t="s"/>
      <c r="I1650" t="s"/>
      <c r="J1650" t="n">
        <v>0</v>
      </c>
      <c r="K1650" t="n">
        <v>0</v>
      </c>
      <c r="L1650" t="n">
        <v>1</v>
      </c>
      <c r="M1650" t="n">
        <v>0</v>
      </c>
    </row>
    <row r="1651" spans="1:13">
      <c r="A1651" s="1">
        <f>HYPERLINK("http://www.twitter.com/NathanBLawrence/status/985920864079306759", "985920864079306759")</f>
        <v/>
      </c>
      <c r="B1651" s="2" t="n">
        <v>43206.69474537037</v>
      </c>
      <c r="C1651" t="n">
        <v>0</v>
      </c>
      <c r="D1651" t="n">
        <v>1217</v>
      </c>
      <c r="E1651" t="s">
        <v>1662</v>
      </c>
      <c r="F1651">
        <f>HYPERLINK("https://video.twimg.com/ext_tw_video/888381297697185792/pu/vid/480x480/Js7ZDY_p5ICQVzz7.mp4", "https://video.twimg.com/ext_tw_video/888381297697185792/pu/vid/480x480/Js7ZDY_p5ICQVzz7.mp4")</f>
        <v/>
      </c>
      <c r="G1651" t="s"/>
      <c r="H1651" t="s"/>
      <c r="I1651" t="s"/>
      <c r="J1651" t="n">
        <v>0</v>
      </c>
      <c r="K1651" t="n">
        <v>0</v>
      </c>
      <c r="L1651" t="n">
        <v>1</v>
      </c>
      <c r="M1651" t="n">
        <v>0</v>
      </c>
    </row>
    <row r="1652" spans="1:13">
      <c r="A1652" s="1">
        <f>HYPERLINK("http://www.twitter.com/NathanBLawrence/status/985920780960718848", "985920780960718848")</f>
        <v/>
      </c>
      <c r="B1652" s="2" t="n">
        <v>43206.69451388889</v>
      </c>
      <c r="C1652" t="n">
        <v>0</v>
      </c>
      <c r="D1652" t="n">
        <v>1342</v>
      </c>
      <c r="E1652" t="s">
        <v>1663</v>
      </c>
      <c r="F1652" t="s"/>
      <c r="G1652" t="s"/>
      <c r="H1652" t="s"/>
      <c r="I1652" t="s"/>
      <c r="J1652" t="n">
        <v>0.8807</v>
      </c>
      <c r="K1652" t="n">
        <v>0</v>
      </c>
      <c r="L1652" t="n">
        <v>0.673</v>
      </c>
      <c r="M1652" t="n">
        <v>0.327</v>
      </c>
    </row>
    <row r="1653" spans="1:13">
      <c r="A1653" s="1">
        <f>HYPERLINK("http://www.twitter.com/NathanBLawrence/status/985920503188738050", "985920503188738050")</f>
        <v/>
      </c>
      <c r="B1653" s="2" t="n">
        <v>43206.69375</v>
      </c>
      <c r="C1653" t="n">
        <v>0</v>
      </c>
      <c r="D1653" t="n">
        <v>2</v>
      </c>
      <c r="E1653" t="s">
        <v>1664</v>
      </c>
      <c r="F1653" t="s"/>
      <c r="G1653" t="s"/>
      <c r="H1653" t="s"/>
      <c r="I1653" t="s"/>
      <c r="J1653" t="n">
        <v>0.2023</v>
      </c>
      <c r="K1653" t="n">
        <v>0</v>
      </c>
      <c r="L1653" t="n">
        <v>0.833</v>
      </c>
      <c r="M1653" t="n">
        <v>0.167</v>
      </c>
    </row>
    <row r="1654" spans="1:13">
      <c r="A1654" s="1">
        <f>HYPERLINK("http://www.twitter.com/NathanBLawrence/status/985920177857581056", "985920177857581056")</f>
        <v/>
      </c>
      <c r="B1654" s="2" t="n">
        <v>43206.69284722222</v>
      </c>
      <c r="C1654" t="n">
        <v>0</v>
      </c>
      <c r="D1654" t="n">
        <v>2</v>
      </c>
      <c r="E1654" t="s">
        <v>1665</v>
      </c>
      <c r="F1654">
        <f>HYPERLINK("http://pbs.twimg.com/media/Da6wGtRXUAAZuVV.jpg", "http://pbs.twimg.com/media/Da6wGtRXUAAZuVV.jpg")</f>
        <v/>
      </c>
      <c r="G1654" t="s"/>
      <c r="H1654" t="s"/>
      <c r="I1654" t="s"/>
      <c r="J1654" t="n">
        <v>0</v>
      </c>
      <c r="K1654" t="n">
        <v>0</v>
      </c>
      <c r="L1654" t="n">
        <v>1</v>
      </c>
      <c r="M1654" t="n">
        <v>0</v>
      </c>
    </row>
    <row r="1655" spans="1:13">
      <c r="A1655" s="1">
        <f>HYPERLINK("http://www.twitter.com/NathanBLawrence/status/985920018830561280", "985920018830561280")</f>
        <v/>
      </c>
      <c r="B1655" s="2" t="n">
        <v>43206.6924074074</v>
      </c>
      <c r="C1655" t="n">
        <v>0</v>
      </c>
      <c r="D1655" t="n">
        <v>6</v>
      </c>
      <c r="E1655" t="s">
        <v>1666</v>
      </c>
      <c r="F1655">
        <f>HYPERLINK("http://pbs.twimg.com/media/Da6WwNcU8AELHMD.jpg", "http://pbs.twimg.com/media/Da6WwNcU8AELHMD.jpg")</f>
        <v/>
      </c>
      <c r="G1655" t="s"/>
      <c r="H1655" t="s"/>
      <c r="I1655" t="s"/>
      <c r="J1655" t="n">
        <v>0</v>
      </c>
      <c r="K1655" t="n">
        <v>0</v>
      </c>
      <c r="L1655" t="n">
        <v>1</v>
      </c>
      <c r="M1655" t="n">
        <v>0</v>
      </c>
    </row>
    <row r="1656" spans="1:13">
      <c r="A1656" s="1">
        <f>HYPERLINK("http://www.twitter.com/NathanBLawrence/status/985919770473172997", "985919770473172997")</f>
        <v/>
      </c>
      <c r="B1656" s="2" t="n">
        <v>43206.69172453704</v>
      </c>
      <c r="C1656" t="n">
        <v>0</v>
      </c>
      <c r="D1656" t="n">
        <v>526</v>
      </c>
      <c r="E1656" t="s">
        <v>1667</v>
      </c>
      <c r="F1656" t="s"/>
      <c r="G1656" t="s"/>
      <c r="H1656" t="s"/>
      <c r="I1656" t="s"/>
      <c r="J1656" t="n">
        <v>0</v>
      </c>
      <c r="K1656" t="n">
        <v>0</v>
      </c>
      <c r="L1656" t="n">
        <v>1</v>
      </c>
      <c r="M1656" t="n">
        <v>0</v>
      </c>
    </row>
    <row r="1657" spans="1:13">
      <c r="A1657" s="1">
        <f>HYPERLINK("http://www.twitter.com/NathanBLawrence/status/985919652932014080", "985919652932014080")</f>
        <v/>
      </c>
      <c r="B1657" s="2" t="n">
        <v>43206.69140046297</v>
      </c>
      <c r="C1657" t="n">
        <v>0</v>
      </c>
      <c r="D1657" t="n">
        <v>15</v>
      </c>
      <c r="E1657" t="s">
        <v>1668</v>
      </c>
      <c r="F1657">
        <f>HYPERLINK("http://pbs.twimg.com/media/Da6vdXFWkAINJLi.jpg", "http://pbs.twimg.com/media/Da6vdXFWkAINJLi.jpg")</f>
        <v/>
      </c>
      <c r="G1657" t="s"/>
      <c r="H1657" t="s"/>
      <c r="I1657" t="s"/>
      <c r="J1657" t="n">
        <v>0</v>
      </c>
      <c r="K1657" t="n">
        <v>0</v>
      </c>
      <c r="L1657" t="n">
        <v>1</v>
      </c>
      <c r="M1657" t="n">
        <v>0</v>
      </c>
    </row>
    <row r="1658" spans="1:13">
      <c r="A1658" s="1">
        <f>HYPERLINK("http://www.twitter.com/NathanBLawrence/status/985919424912904193", "985919424912904193")</f>
        <v/>
      </c>
      <c r="B1658" s="2" t="n">
        <v>43206.69077546296</v>
      </c>
      <c r="C1658" t="n">
        <v>0</v>
      </c>
      <c r="D1658" t="n">
        <v>192</v>
      </c>
      <c r="E1658" t="s">
        <v>1669</v>
      </c>
      <c r="F1658">
        <f>HYPERLINK("http://pbs.twimg.com/media/Da6cGDcVQAI3kOS.jpg", "http://pbs.twimg.com/media/Da6cGDcVQAI3kOS.jpg")</f>
        <v/>
      </c>
      <c r="G1658" t="s"/>
      <c r="H1658" t="s"/>
      <c r="I1658" t="s"/>
      <c r="J1658" t="n">
        <v>0</v>
      </c>
      <c r="K1658" t="n">
        <v>0</v>
      </c>
      <c r="L1658" t="n">
        <v>1</v>
      </c>
      <c r="M1658" t="n">
        <v>0</v>
      </c>
    </row>
    <row r="1659" spans="1:13">
      <c r="A1659" s="1">
        <f>HYPERLINK("http://www.twitter.com/NathanBLawrence/status/985919373310398465", "985919373310398465")</f>
        <v/>
      </c>
      <c r="B1659" s="2" t="n">
        <v>43206.690625</v>
      </c>
      <c r="C1659" t="n">
        <v>0</v>
      </c>
      <c r="D1659" t="n">
        <v>5</v>
      </c>
      <c r="E1659" t="s">
        <v>1670</v>
      </c>
      <c r="F1659" t="s"/>
      <c r="G1659" t="s"/>
      <c r="H1659" t="s"/>
      <c r="I1659" t="s"/>
      <c r="J1659" t="n">
        <v>-0.7065</v>
      </c>
      <c r="K1659" t="n">
        <v>0.211</v>
      </c>
      <c r="L1659" t="n">
        <v>0.789</v>
      </c>
      <c r="M1659" t="n">
        <v>0</v>
      </c>
    </row>
    <row r="1660" spans="1:13">
      <c r="A1660" s="1">
        <f>HYPERLINK("http://www.twitter.com/NathanBLawrence/status/985918818429161472", "985918818429161472")</f>
        <v/>
      </c>
      <c r="B1660" s="2" t="n">
        <v>43206.68909722222</v>
      </c>
      <c r="C1660" t="n">
        <v>0</v>
      </c>
      <c r="D1660" t="n">
        <v>115</v>
      </c>
      <c r="E1660" t="s">
        <v>1671</v>
      </c>
      <c r="F1660">
        <f>HYPERLINK("http://pbs.twimg.com/media/Da2dpk7U8AA389w.jpg", "http://pbs.twimg.com/media/Da2dpk7U8AA389w.jpg")</f>
        <v/>
      </c>
      <c r="G1660" t="s"/>
      <c r="H1660" t="s"/>
      <c r="I1660" t="s"/>
      <c r="J1660" t="n">
        <v>0.8257</v>
      </c>
      <c r="K1660" t="n">
        <v>0</v>
      </c>
      <c r="L1660" t="n">
        <v>0.708</v>
      </c>
      <c r="M1660" t="n">
        <v>0.292</v>
      </c>
    </row>
    <row r="1661" spans="1:13">
      <c r="A1661" s="1">
        <f>HYPERLINK("http://www.twitter.com/NathanBLawrence/status/985918596651118592", "985918596651118592")</f>
        <v/>
      </c>
      <c r="B1661" s="2" t="n">
        <v>43206.68848379629</v>
      </c>
      <c r="C1661" t="n">
        <v>0</v>
      </c>
      <c r="D1661" t="n">
        <v>4091</v>
      </c>
      <c r="E1661" t="s">
        <v>1672</v>
      </c>
      <c r="F1661" t="s"/>
      <c r="G1661" t="s"/>
      <c r="H1661" t="s"/>
      <c r="I1661" t="s"/>
      <c r="J1661" t="n">
        <v>-0.7906</v>
      </c>
      <c r="K1661" t="n">
        <v>0.364</v>
      </c>
      <c r="L1661" t="n">
        <v>0.543</v>
      </c>
      <c r="M1661" t="n">
        <v>0.093</v>
      </c>
    </row>
    <row r="1662" spans="1:13">
      <c r="A1662" s="1">
        <f>HYPERLINK("http://www.twitter.com/NathanBLawrence/status/985918530796351490", "985918530796351490")</f>
        <v/>
      </c>
      <c r="B1662" s="2" t="n">
        <v>43206.68829861111</v>
      </c>
      <c r="C1662" t="n">
        <v>0</v>
      </c>
      <c r="D1662" t="n">
        <v>1888</v>
      </c>
      <c r="E1662" t="s">
        <v>1673</v>
      </c>
      <c r="F1662">
        <f>HYPERLINK("http://pbs.twimg.com/media/Da6twJeUQAAbOOR.jpg", "http://pbs.twimg.com/media/Da6twJeUQAAbOOR.jpg")</f>
        <v/>
      </c>
      <c r="G1662" t="s"/>
      <c r="H1662" t="s"/>
      <c r="I1662" t="s"/>
      <c r="J1662" t="n">
        <v>0.8126</v>
      </c>
      <c r="K1662" t="n">
        <v>0</v>
      </c>
      <c r="L1662" t="n">
        <v>0.73</v>
      </c>
      <c r="M1662" t="n">
        <v>0.27</v>
      </c>
    </row>
    <row r="1663" spans="1:13">
      <c r="A1663" s="1">
        <f>HYPERLINK("http://www.twitter.com/NathanBLawrence/status/985918382900957184", "985918382900957184")</f>
        <v/>
      </c>
      <c r="B1663" s="2" t="n">
        <v>43206.68789351852</v>
      </c>
      <c r="C1663" t="n">
        <v>0</v>
      </c>
      <c r="D1663" t="n">
        <v>3</v>
      </c>
      <c r="E1663" t="s">
        <v>1674</v>
      </c>
      <c r="F1663" t="s"/>
      <c r="G1663" t="s"/>
      <c r="H1663" t="s"/>
      <c r="I1663" t="s"/>
      <c r="J1663" t="n">
        <v>-0.4588</v>
      </c>
      <c r="K1663" t="n">
        <v>0.13</v>
      </c>
      <c r="L1663" t="n">
        <v>0.87</v>
      </c>
      <c r="M1663" t="n">
        <v>0</v>
      </c>
    </row>
    <row r="1664" spans="1:13">
      <c r="A1664" s="1">
        <f>HYPERLINK("http://www.twitter.com/NathanBLawrence/status/985918168387473415", "985918168387473415")</f>
        <v/>
      </c>
      <c r="B1664" s="2" t="n">
        <v>43206.68730324074</v>
      </c>
      <c r="C1664" t="n">
        <v>0</v>
      </c>
      <c r="D1664" t="n">
        <v>37</v>
      </c>
      <c r="E1664" t="s">
        <v>1675</v>
      </c>
      <c r="F1664">
        <f>HYPERLINK("http://pbs.twimg.com/media/Da6tbNhX0AAJAbu.jpg", "http://pbs.twimg.com/media/Da6tbNhX0AAJAbu.jpg")</f>
        <v/>
      </c>
      <c r="G1664" t="s"/>
      <c r="H1664" t="s"/>
      <c r="I1664" t="s"/>
      <c r="J1664" t="n">
        <v>0.4588</v>
      </c>
      <c r="K1664" t="n">
        <v>0</v>
      </c>
      <c r="L1664" t="n">
        <v>0.85</v>
      </c>
      <c r="M1664" t="n">
        <v>0.15</v>
      </c>
    </row>
    <row r="1665" spans="1:13">
      <c r="A1665" s="1">
        <f>HYPERLINK("http://www.twitter.com/NathanBLawrence/status/985918100741804037", "985918100741804037")</f>
        <v/>
      </c>
      <c r="B1665" s="2" t="n">
        <v>43206.68711805555</v>
      </c>
      <c r="C1665" t="n">
        <v>0</v>
      </c>
      <c r="D1665" t="n">
        <v>928</v>
      </c>
      <c r="E1665" t="s">
        <v>1676</v>
      </c>
      <c r="F1665">
        <f>HYPERLINK("http://pbs.twimg.com/media/Da4K0fdVwAIFsOA.jpg", "http://pbs.twimg.com/media/Da4K0fdVwAIFsOA.jpg")</f>
        <v/>
      </c>
      <c r="G1665" t="s"/>
      <c r="H1665" t="s"/>
      <c r="I1665" t="s"/>
      <c r="J1665" t="n">
        <v>-0.6908</v>
      </c>
      <c r="K1665" t="n">
        <v>0.263</v>
      </c>
      <c r="L1665" t="n">
        <v>0.737</v>
      </c>
      <c r="M1665" t="n">
        <v>0</v>
      </c>
    </row>
    <row r="1666" spans="1:13">
      <c r="A1666" s="1">
        <f>HYPERLINK("http://www.twitter.com/NathanBLawrence/status/985917920478973952", "985917920478973952")</f>
        <v/>
      </c>
      <c r="B1666" s="2" t="n">
        <v>43206.68662037037</v>
      </c>
      <c r="C1666" t="n">
        <v>0</v>
      </c>
      <c r="D1666" t="n">
        <v>565</v>
      </c>
      <c r="E1666" t="s">
        <v>1677</v>
      </c>
      <c r="F1666">
        <f>HYPERLINK("http://pbs.twimg.com/media/Da5dLboU0AErT_J.jpg", "http://pbs.twimg.com/media/Da5dLboU0AErT_J.jpg")</f>
        <v/>
      </c>
      <c r="G1666" t="s"/>
      <c r="H1666" t="s"/>
      <c r="I1666" t="s"/>
      <c r="J1666" t="n">
        <v>0.8065</v>
      </c>
      <c r="K1666" t="n">
        <v>0</v>
      </c>
      <c r="L1666" t="n">
        <v>0.622</v>
      </c>
      <c r="M1666" t="n">
        <v>0.378</v>
      </c>
    </row>
    <row r="1667" spans="1:13">
      <c r="A1667" s="1">
        <f>HYPERLINK("http://www.twitter.com/NathanBLawrence/status/985917590659915779", "985917590659915779")</f>
        <v/>
      </c>
      <c r="B1667" s="2" t="n">
        <v>43206.68570601852</v>
      </c>
      <c r="C1667" t="n">
        <v>0</v>
      </c>
      <c r="D1667" t="n">
        <v>305</v>
      </c>
      <c r="E1667" t="s">
        <v>1678</v>
      </c>
      <c r="F1667">
        <f>HYPERLINK("http://pbs.twimg.com/media/Da3duUsXkAErJJc.jpg", "http://pbs.twimg.com/media/Da3duUsXkAErJJc.jpg")</f>
        <v/>
      </c>
      <c r="G1667">
        <f>HYPERLINK("http://pbs.twimg.com/media/Da3duUrW0AEeC-7.jpg", "http://pbs.twimg.com/media/Da3duUrW0AEeC-7.jpg")</f>
        <v/>
      </c>
      <c r="H1667">
        <f>HYPERLINK("http://pbs.twimg.com/media/Da3duU-W4AA0UX9.jpg", "http://pbs.twimg.com/media/Da3duU-W4AA0UX9.jpg")</f>
        <v/>
      </c>
      <c r="I1667" t="s"/>
      <c r="J1667" t="n">
        <v>0.7184</v>
      </c>
      <c r="K1667" t="n">
        <v>0</v>
      </c>
      <c r="L1667" t="n">
        <v>0.793</v>
      </c>
      <c r="M1667" t="n">
        <v>0.207</v>
      </c>
    </row>
    <row r="1668" spans="1:13">
      <c r="A1668" s="1">
        <f>HYPERLINK("http://www.twitter.com/NathanBLawrence/status/985917461982834690", "985917461982834690")</f>
        <v/>
      </c>
      <c r="B1668" s="2" t="n">
        <v>43206.6853587963</v>
      </c>
      <c r="C1668" t="n">
        <v>0</v>
      </c>
      <c r="D1668" t="n">
        <v>174</v>
      </c>
      <c r="E1668" t="s">
        <v>1679</v>
      </c>
      <c r="F1668">
        <f>HYPERLINK("http://pbs.twimg.com/media/Da6q4fMXUAAcoK0.jpg", "http://pbs.twimg.com/media/Da6q4fMXUAAcoK0.jpg")</f>
        <v/>
      </c>
      <c r="G1668" t="s"/>
      <c r="H1668" t="s"/>
      <c r="I1668" t="s"/>
      <c r="J1668" t="n">
        <v>0.6907</v>
      </c>
      <c r="K1668" t="n">
        <v>0.098</v>
      </c>
      <c r="L1668" t="n">
        <v>0.601</v>
      </c>
      <c r="M1668" t="n">
        <v>0.3</v>
      </c>
    </row>
    <row r="1669" spans="1:13">
      <c r="A1669" s="1">
        <f>HYPERLINK("http://www.twitter.com/NathanBLawrence/status/985917231241547776", "985917231241547776")</f>
        <v/>
      </c>
      <c r="B1669" s="2" t="n">
        <v>43206.68472222222</v>
      </c>
      <c r="C1669" t="n">
        <v>0</v>
      </c>
      <c r="D1669" t="n">
        <v>57</v>
      </c>
      <c r="E1669" t="s">
        <v>1680</v>
      </c>
      <c r="F1669" t="s"/>
      <c r="G1669" t="s"/>
      <c r="H1669" t="s"/>
      <c r="I1669" t="s"/>
      <c r="J1669" t="n">
        <v>0</v>
      </c>
      <c r="K1669" t="n">
        <v>0</v>
      </c>
      <c r="L1669" t="n">
        <v>1</v>
      </c>
      <c r="M1669" t="n">
        <v>0</v>
      </c>
    </row>
    <row r="1670" spans="1:13">
      <c r="A1670" s="1">
        <f>HYPERLINK("http://www.twitter.com/NathanBLawrence/status/985917022725967872", "985917022725967872")</f>
        <v/>
      </c>
      <c r="B1670" s="2" t="n">
        <v>43206.68414351852</v>
      </c>
      <c r="C1670" t="n">
        <v>0</v>
      </c>
      <c r="D1670" t="n">
        <v>410</v>
      </c>
      <c r="E1670" t="s">
        <v>1681</v>
      </c>
      <c r="F1670">
        <f>HYPERLINK("http://pbs.twimg.com/media/Da6spw0WsAEgMWg.jpg", "http://pbs.twimg.com/media/Da6spw0WsAEgMWg.jpg")</f>
        <v/>
      </c>
      <c r="G1670" t="s"/>
      <c r="H1670" t="s"/>
      <c r="I1670" t="s"/>
      <c r="J1670" t="n">
        <v>0</v>
      </c>
      <c r="K1670" t="n">
        <v>0</v>
      </c>
      <c r="L1670" t="n">
        <v>1</v>
      </c>
      <c r="M1670" t="n">
        <v>0</v>
      </c>
    </row>
    <row r="1671" spans="1:13">
      <c r="A1671" s="1">
        <f>HYPERLINK("http://www.twitter.com/NathanBLawrence/status/985916886914387968", "985916886914387968")</f>
        <v/>
      </c>
      <c r="B1671" s="2" t="n">
        <v>43206.68376157407</v>
      </c>
      <c r="C1671" t="n">
        <v>0</v>
      </c>
      <c r="D1671" t="n">
        <v>136</v>
      </c>
      <c r="E1671" t="s">
        <v>1682</v>
      </c>
      <c r="F1671" t="s"/>
      <c r="G1671" t="s"/>
      <c r="H1671" t="s"/>
      <c r="I1671" t="s"/>
      <c r="J1671" t="n">
        <v>-0.5859</v>
      </c>
      <c r="K1671" t="n">
        <v>0.153</v>
      </c>
      <c r="L1671" t="n">
        <v>0.847</v>
      </c>
      <c r="M1671" t="n">
        <v>0</v>
      </c>
    </row>
    <row r="1672" spans="1:13">
      <c r="A1672" s="1">
        <f>HYPERLINK("http://www.twitter.com/NathanBLawrence/status/985916774184046594", "985916774184046594")</f>
        <v/>
      </c>
      <c r="B1672" s="2" t="n">
        <v>43206.68346064815</v>
      </c>
      <c r="C1672" t="n">
        <v>0</v>
      </c>
      <c r="D1672" t="n">
        <v>90</v>
      </c>
      <c r="E1672" t="s">
        <v>1683</v>
      </c>
      <c r="F1672">
        <f>HYPERLINK("http://pbs.twimg.com/media/Da6p9jNUMAAR27-.jpg", "http://pbs.twimg.com/media/Da6p9jNUMAAR27-.jpg")</f>
        <v/>
      </c>
      <c r="G1672" t="s"/>
      <c r="H1672" t="s"/>
      <c r="I1672" t="s"/>
      <c r="J1672" t="n">
        <v>0.8401999999999999</v>
      </c>
      <c r="K1672" t="n">
        <v>0</v>
      </c>
      <c r="L1672" t="n">
        <v>0.607</v>
      </c>
      <c r="M1672" t="n">
        <v>0.393</v>
      </c>
    </row>
    <row r="1673" spans="1:13">
      <c r="A1673" s="1">
        <f>HYPERLINK("http://www.twitter.com/NathanBLawrence/status/985916624699035648", "985916624699035648")</f>
        <v/>
      </c>
      <c r="B1673" s="2" t="n">
        <v>43206.68304398148</v>
      </c>
      <c r="C1673" t="n">
        <v>0</v>
      </c>
      <c r="D1673" t="n">
        <v>10</v>
      </c>
      <c r="E1673" t="s">
        <v>1684</v>
      </c>
      <c r="F1673">
        <f>HYPERLINK("http://pbs.twimg.com/media/Da6oYbJUwAAKUTY.jpg", "http://pbs.twimg.com/media/Da6oYbJUwAAKUTY.jpg")</f>
        <v/>
      </c>
      <c r="G1673" t="s"/>
      <c r="H1673" t="s"/>
      <c r="I1673" t="s"/>
      <c r="J1673" t="n">
        <v>0.4019</v>
      </c>
      <c r="K1673" t="n">
        <v>0</v>
      </c>
      <c r="L1673" t="n">
        <v>0.876</v>
      </c>
      <c r="M1673" t="n">
        <v>0.124</v>
      </c>
    </row>
    <row r="1674" spans="1:13">
      <c r="A1674" s="1">
        <f>HYPERLINK("http://www.twitter.com/NathanBLawrence/status/985916564909248514", "985916564909248514")</f>
        <v/>
      </c>
      <c r="B1674" s="2" t="n">
        <v>43206.68288194444</v>
      </c>
      <c r="C1674" t="n">
        <v>0</v>
      </c>
      <c r="D1674" t="n">
        <v>79</v>
      </c>
      <c r="E1674" t="s">
        <v>1685</v>
      </c>
      <c r="F1674" t="s"/>
      <c r="G1674" t="s"/>
      <c r="H1674" t="s"/>
      <c r="I1674" t="s"/>
      <c r="J1674" t="n">
        <v>-0.0922</v>
      </c>
      <c r="K1674" t="n">
        <v>0.156</v>
      </c>
      <c r="L1674" t="n">
        <v>0.706</v>
      </c>
      <c r="M1674" t="n">
        <v>0.138</v>
      </c>
    </row>
    <row r="1675" spans="1:13">
      <c r="A1675" s="1">
        <f>HYPERLINK("http://www.twitter.com/NathanBLawrence/status/985916285136658432", "985916285136658432")</f>
        <v/>
      </c>
      <c r="B1675" s="2" t="n">
        <v>43206.68210648148</v>
      </c>
      <c r="C1675" t="n">
        <v>0</v>
      </c>
      <c r="D1675" t="n">
        <v>42</v>
      </c>
      <c r="E1675" t="s">
        <v>1686</v>
      </c>
      <c r="F1675" t="s"/>
      <c r="G1675" t="s"/>
      <c r="H1675" t="s"/>
      <c r="I1675" t="s"/>
      <c r="J1675" t="n">
        <v>-0.5095</v>
      </c>
      <c r="K1675" t="n">
        <v>0.136</v>
      </c>
      <c r="L1675" t="n">
        <v>0.864</v>
      </c>
      <c r="M1675" t="n">
        <v>0</v>
      </c>
    </row>
    <row r="1676" spans="1:13">
      <c r="A1676" s="1">
        <f>HYPERLINK("http://www.twitter.com/NathanBLawrence/status/985916200927612929", "985916200927612929")</f>
        <v/>
      </c>
      <c r="B1676" s="2" t="n">
        <v>43206.681875</v>
      </c>
      <c r="C1676" t="n">
        <v>0</v>
      </c>
      <c r="D1676" t="n">
        <v>654</v>
      </c>
      <c r="E1676" t="s">
        <v>1687</v>
      </c>
      <c r="F1676" t="s"/>
      <c r="G1676" t="s"/>
      <c r="H1676" t="s"/>
      <c r="I1676" t="s"/>
      <c r="J1676" t="n">
        <v>0.4767</v>
      </c>
      <c r="K1676" t="n">
        <v>0</v>
      </c>
      <c r="L1676" t="n">
        <v>0.886</v>
      </c>
      <c r="M1676" t="n">
        <v>0.114</v>
      </c>
    </row>
    <row r="1677" spans="1:13">
      <c r="A1677" s="1">
        <f>HYPERLINK("http://www.twitter.com/NathanBLawrence/status/985916104508878848", "985916104508878848")</f>
        <v/>
      </c>
      <c r="B1677" s="2" t="n">
        <v>43206.68160879629</v>
      </c>
      <c r="C1677" t="n">
        <v>0</v>
      </c>
      <c r="D1677" t="n">
        <v>2</v>
      </c>
      <c r="E1677" t="s">
        <v>1688</v>
      </c>
      <c r="F1677" t="s"/>
      <c r="G1677" t="s"/>
      <c r="H1677" t="s"/>
      <c r="I1677" t="s"/>
      <c r="J1677" t="n">
        <v>-0.8658</v>
      </c>
      <c r="K1677" t="n">
        <v>0.385</v>
      </c>
      <c r="L1677" t="n">
        <v>0.549</v>
      </c>
      <c r="M1677" t="n">
        <v>0.066</v>
      </c>
    </row>
    <row r="1678" spans="1:13">
      <c r="A1678" s="1">
        <f>HYPERLINK("http://www.twitter.com/NathanBLawrence/status/985916069314531328", "985916069314531328")</f>
        <v/>
      </c>
      <c r="B1678" s="2" t="n">
        <v>43206.6815162037</v>
      </c>
      <c r="C1678" t="n">
        <v>0</v>
      </c>
      <c r="D1678" t="n">
        <v>5</v>
      </c>
      <c r="E1678" t="s">
        <v>1689</v>
      </c>
      <c r="F1678" t="s"/>
      <c r="G1678" t="s"/>
      <c r="H1678" t="s"/>
      <c r="I1678" t="s"/>
      <c r="J1678" t="n">
        <v>0</v>
      </c>
      <c r="K1678" t="n">
        <v>0</v>
      </c>
      <c r="L1678" t="n">
        <v>1</v>
      </c>
      <c r="M1678" t="n">
        <v>0</v>
      </c>
    </row>
    <row r="1679" spans="1:13">
      <c r="A1679" s="1">
        <f>HYPERLINK("http://www.twitter.com/NathanBLawrence/status/985915865420959744", "985915865420959744")</f>
        <v/>
      </c>
      <c r="B1679" s="2" t="n">
        <v>43206.68094907407</v>
      </c>
      <c r="C1679" t="n">
        <v>0</v>
      </c>
      <c r="D1679" t="n">
        <v>891</v>
      </c>
      <c r="E1679" t="s">
        <v>1690</v>
      </c>
      <c r="F1679" t="s"/>
      <c r="G1679" t="s"/>
      <c r="H1679" t="s"/>
      <c r="I1679" t="s"/>
      <c r="J1679" t="n">
        <v>0</v>
      </c>
      <c r="K1679" t="n">
        <v>0</v>
      </c>
      <c r="L1679" t="n">
        <v>1</v>
      </c>
      <c r="M1679" t="n">
        <v>0</v>
      </c>
    </row>
    <row r="1680" spans="1:13">
      <c r="A1680" s="1">
        <f>HYPERLINK("http://www.twitter.com/NathanBLawrence/status/985915723821322240", "985915723821322240")</f>
        <v/>
      </c>
      <c r="B1680" s="2" t="n">
        <v>43206.68055555555</v>
      </c>
      <c r="C1680" t="n">
        <v>0</v>
      </c>
      <c r="D1680" t="n">
        <v>10</v>
      </c>
      <c r="E1680" t="s">
        <v>1691</v>
      </c>
      <c r="F1680">
        <f>HYPERLINK("http://pbs.twimg.com/media/DaWerpCV4AE-QWW.jpg", "http://pbs.twimg.com/media/DaWerpCV4AE-QWW.jpg")</f>
        <v/>
      </c>
      <c r="G1680" t="s"/>
      <c r="H1680" t="s"/>
      <c r="I1680" t="s"/>
      <c r="J1680" t="n">
        <v>0</v>
      </c>
      <c r="K1680" t="n">
        <v>0</v>
      </c>
      <c r="L1680" t="n">
        <v>1</v>
      </c>
      <c r="M1680" t="n">
        <v>0</v>
      </c>
    </row>
    <row r="1681" spans="1:13">
      <c r="A1681" s="1">
        <f>HYPERLINK("http://www.twitter.com/NathanBLawrence/status/985915179379589120", "985915179379589120")</f>
        <v/>
      </c>
      <c r="B1681" s="2" t="n">
        <v>43206.67905092592</v>
      </c>
      <c r="C1681" t="n">
        <v>0</v>
      </c>
      <c r="D1681" t="n">
        <v>7617</v>
      </c>
      <c r="E1681" t="s">
        <v>1692</v>
      </c>
      <c r="F1681" t="s"/>
      <c r="G1681" t="s"/>
      <c r="H1681" t="s"/>
      <c r="I1681" t="s"/>
      <c r="J1681" t="n">
        <v>0</v>
      </c>
      <c r="K1681" t="n">
        <v>0</v>
      </c>
      <c r="L1681" t="n">
        <v>1</v>
      </c>
      <c r="M1681" t="n">
        <v>0</v>
      </c>
    </row>
    <row r="1682" spans="1:13">
      <c r="A1682" s="1">
        <f>HYPERLINK("http://www.twitter.com/NathanBLawrence/status/985915031727628289", "985915031727628289")</f>
        <v/>
      </c>
      <c r="B1682" s="2" t="n">
        <v>43206.67864583333</v>
      </c>
      <c r="C1682" t="n">
        <v>0</v>
      </c>
      <c r="D1682" t="n">
        <v>280</v>
      </c>
      <c r="E1682" t="s">
        <v>1693</v>
      </c>
      <c r="F1682" t="s"/>
      <c r="G1682" t="s"/>
      <c r="H1682" t="s"/>
      <c r="I1682" t="s"/>
      <c r="J1682" t="n">
        <v>0</v>
      </c>
      <c r="K1682" t="n">
        <v>0</v>
      </c>
      <c r="L1682" t="n">
        <v>1</v>
      </c>
      <c r="M1682" t="n">
        <v>0</v>
      </c>
    </row>
    <row r="1683" spans="1:13">
      <c r="A1683" s="1">
        <f>HYPERLINK("http://www.twitter.com/NathanBLawrence/status/985914284780802048", "985914284780802048")</f>
        <v/>
      </c>
      <c r="B1683" s="2" t="n">
        <v>43206.67658564815</v>
      </c>
      <c r="C1683" t="n">
        <v>0</v>
      </c>
      <c r="D1683" t="n">
        <v>3</v>
      </c>
      <c r="E1683" t="s">
        <v>1694</v>
      </c>
      <c r="F1683">
        <f>HYPERLINK("http://pbs.twimg.com/media/Da6gVkSWkAU0x4K.jpg", "http://pbs.twimg.com/media/Da6gVkSWkAU0x4K.jpg")</f>
        <v/>
      </c>
      <c r="G1683" t="s"/>
      <c r="H1683" t="s"/>
      <c r="I1683" t="s"/>
      <c r="J1683" t="n">
        <v>0</v>
      </c>
      <c r="K1683" t="n">
        <v>0</v>
      </c>
      <c r="L1683" t="n">
        <v>1</v>
      </c>
      <c r="M1683" t="n">
        <v>0</v>
      </c>
    </row>
    <row r="1684" spans="1:13">
      <c r="A1684" s="1">
        <f>HYPERLINK("http://www.twitter.com/NathanBLawrence/status/985914237712240641", "985914237712240641")</f>
        <v/>
      </c>
      <c r="B1684" s="2" t="n">
        <v>43206.67645833334</v>
      </c>
      <c r="C1684" t="n">
        <v>0</v>
      </c>
      <c r="D1684" t="n">
        <v>586</v>
      </c>
      <c r="E1684" t="s">
        <v>1695</v>
      </c>
      <c r="F1684" t="s"/>
      <c r="G1684" t="s"/>
      <c r="H1684" t="s"/>
      <c r="I1684" t="s"/>
      <c r="J1684" t="n">
        <v>0.5859</v>
      </c>
      <c r="K1684" t="n">
        <v>0</v>
      </c>
      <c r="L1684" t="n">
        <v>0.798</v>
      </c>
      <c r="M1684" t="n">
        <v>0.202</v>
      </c>
    </row>
    <row r="1685" spans="1:13">
      <c r="A1685" s="1">
        <f>HYPERLINK("http://www.twitter.com/NathanBLawrence/status/985914153620639744", "985914153620639744")</f>
        <v/>
      </c>
      <c r="B1685" s="2" t="n">
        <v>43206.67622685185</v>
      </c>
      <c r="C1685" t="n">
        <v>0</v>
      </c>
      <c r="D1685" t="n">
        <v>185</v>
      </c>
      <c r="E1685" t="s">
        <v>1696</v>
      </c>
      <c r="F1685">
        <f>HYPERLINK("http://pbs.twimg.com/media/Da6UcuMVwAAoSVi.jpg", "http://pbs.twimg.com/media/Da6UcuMVwAAoSVi.jpg")</f>
        <v/>
      </c>
      <c r="G1685" t="s"/>
      <c r="H1685" t="s"/>
      <c r="I1685" t="s"/>
      <c r="J1685" t="n">
        <v>-0.4767</v>
      </c>
      <c r="K1685" t="n">
        <v>0.147</v>
      </c>
      <c r="L1685" t="n">
        <v>0.853</v>
      </c>
      <c r="M1685" t="n">
        <v>0</v>
      </c>
    </row>
    <row r="1686" spans="1:13">
      <c r="A1686" s="1">
        <f>HYPERLINK("http://www.twitter.com/NathanBLawrence/status/985914031868403713", "985914031868403713")</f>
        <v/>
      </c>
      <c r="B1686" s="2" t="n">
        <v>43206.6758912037</v>
      </c>
      <c r="C1686" t="n">
        <v>0</v>
      </c>
      <c r="D1686" t="n">
        <v>84</v>
      </c>
      <c r="E1686" t="s">
        <v>1697</v>
      </c>
      <c r="F1686" t="s"/>
      <c r="G1686" t="s"/>
      <c r="H1686" t="s"/>
      <c r="I1686" t="s"/>
      <c r="J1686" t="n">
        <v>-0.7495000000000001</v>
      </c>
      <c r="K1686" t="n">
        <v>0.252</v>
      </c>
      <c r="L1686" t="n">
        <v>0.748</v>
      </c>
      <c r="M1686" t="n">
        <v>0</v>
      </c>
    </row>
    <row r="1687" spans="1:13">
      <c r="A1687" s="1">
        <f>HYPERLINK("http://www.twitter.com/NathanBLawrence/status/985913873554386944", "985913873554386944")</f>
        <v/>
      </c>
      <c r="B1687" s="2" t="n">
        <v>43206.67545138889</v>
      </c>
      <c r="C1687" t="n">
        <v>0</v>
      </c>
      <c r="D1687" t="n">
        <v>5267</v>
      </c>
      <c r="E1687" t="s">
        <v>1698</v>
      </c>
      <c r="F1687" t="s"/>
      <c r="G1687" t="s"/>
      <c r="H1687" t="s"/>
      <c r="I1687" t="s"/>
      <c r="J1687" t="n">
        <v>-0.4404</v>
      </c>
      <c r="K1687" t="n">
        <v>0.139</v>
      </c>
      <c r="L1687" t="n">
        <v>0.861</v>
      </c>
      <c r="M1687" t="n">
        <v>0</v>
      </c>
    </row>
    <row r="1688" spans="1:13">
      <c r="A1688" s="1">
        <f>HYPERLINK("http://www.twitter.com/NathanBLawrence/status/985913826574000129", "985913826574000129")</f>
        <v/>
      </c>
      <c r="B1688" s="2" t="n">
        <v>43206.67532407407</v>
      </c>
      <c r="C1688" t="n">
        <v>0</v>
      </c>
      <c r="D1688" t="n">
        <v>353</v>
      </c>
      <c r="E1688" t="s">
        <v>1699</v>
      </c>
      <c r="F1688" t="s"/>
      <c r="G1688" t="s"/>
      <c r="H1688" t="s"/>
      <c r="I1688" t="s"/>
      <c r="J1688" t="n">
        <v>0</v>
      </c>
      <c r="K1688" t="n">
        <v>0</v>
      </c>
      <c r="L1688" t="n">
        <v>1</v>
      </c>
      <c r="M1688" t="n">
        <v>0</v>
      </c>
    </row>
    <row r="1689" spans="1:13">
      <c r="A1689" s="1">
        <f>HYPERLINK("http://www.twitter.com/NathanBLawrence/status/985913212616036358", "985913212616036358")</f>
        <v/>
      </c>
      <c r="B1689" s="2" t="n">
        <v>43206.67362268519</v>
      </c>
      <c r="C1689" t="n">
        <v>0</v>
      </c>
      <c r="D1689" t="n">
        <v>260</v>
      </c>
      <c r="E1689" t="s">
        <v>1700</v>
      </c>
      <c r="F1689">
        <f>HYPERLINK("http://pbs.twimg.com/media/DaTpDxnVQAAxV3z.jpg", "http://pbs.twimg.com/media/DaTpDxnVQAAxV3z.jpg")</f>
        <v/>
      </c>
      <c r="G1689" t="s"/>
      <c r="H1689" t="s"/>
      <c r="I1689" t="s"/>
      <c r="J1689" t="n">
        <v>0</v>
      </c>
      <c r="K1689" t="n">
        <v>0</v>
      </c>
      <c r="L1689" t="n">
        <v>1</v>
      </c>
      <c r="M1689" t="n">
        <v>0</v>
      </c>
    </row>
    <row r="1690" spans="1:13">
      <c r="A1690" s="1">
        <f>HYPERLINK("http://www.twitter.com/NathanBLawrence/status/985913001416036352", "985913001416036352")</f>
        <v/>
      </c>
      <c r="B1690" s="2" t="n">
        <v>43206.67304398148</v>
      </c>
      <c r="C1690" t="n">
        <v>0</v>
      </c>
      <c r="D1690" t="n">
        <v>170</v>
      </c>
      <c r="E1690" t="s">
        <v>1701</v>
      </c>
      <c r="F1690" t="s"/>
      <c r="G1690" t="s"/>
      <c r="H1690" t="s"/>
      <c r="I1690" t="s"/>
      <c r="J1690" t="n">
        <v>0</v>
      </c>
      <c r="K1690" t="n">
        <v>0</v>
      </c>
      <c r="L1690" t="n">
        <v>1</v>
      </c>
      <c r="M1690" t="n">
        <v>0</v>
      </c>
    </row>
    <row r="1691" spans="1:13">
      <c r="A1691" s="1">
        <f>HYPERLINK("http://www.twitter.com/NathanBLawrence/status/985912763267633157", "985912763267633157")</f>
        <v/>
      </c>
      <c r="B1691" s="2" t="n">
        <v>43206.67238425926</v>
      </c>
      <c r="C1691" t="n">
        <v>0</v>
      </c>
      <c r="D1691" t="n">
        <v>1</v>
      </c>
      <c r="E1691" t="s">
        <v>1702</v>
      </c>
      <c r="F1691" t="s"/>
      <c r="G1691" t="s"/>
      <c r="H1691" t="s"/>
      <c r="I1691" t="s"/>
      <c r="J1691" t="n">
        <v>-0.0772</v>
      </c>
      <c r="K1691" t="n">
        <v>0.131</v>
      </c>
      <c r="L1691" t="n">
        <v>0.751</v>
      </c>
      <c r="M1691" t="n">
        <v>0.117</v>
      </c>
    </row>
    <row r="1692" spans="1:13">
      <c r="A1692" s="1">
        <f>HYPERLINK("http://www.twitter.com/NathanBLawrence/status/985912602038546432", "985912602038546432")</f>
        <v/>
      </c>
      <c r="B1692" s="2" t="n">
        <v>43206.67194444445</v>
      </c>
      <c r="C1692" t="n">
        <v>0</v>
      </c>
      <c r="D1692" t="n">
        <v>333</v>
      </c>
      <c r="E1692" t="s">
        <v>1703</v>
      </c>
      <c r="F1692" t="s"/>
      <c r="G1692" t="s"/>
      <c r="H1692" t="s"/>
      <c r="I1692" t="s"/>
      <c r="J1692" t="n">
        <v>-0.3818</v>
      </c>
      <c r="K1692" t="n">
        <v>0.141</v>
      </c>
      <c r="L1692" t="n">
        <v>0.859</v>
      </c>
      <c r="M1692" t="n">
        <v>0</v>
      </c>
    </row>
    <row r="1693" spans="1:13">
      <c r="A1693" s="1">
        <f>HYPERLINK("http://www.twitter.com/NathanBLawrence/status/985912315718651904", "985912315718651904")</f>
        <v/>
      </c>
      <c r="B1693" s="2" t="n">
        <v>43206.67115740741</v>
      </c>
      <c r="C1693" t="n">
        <v>0</v>
      </c>
      <c r="D1693" t="n">
        <v>1</v>
      </c>
      <c r="E1693" t="s">
        <v>1704</v>
      </c>
      <c r="F1693" t="s"/>
      <c r="G1693" t="s"/>
      <c r="H1693" t="s"/>
      <c r="I1693" t="s"/>
      <c r="J1693" t="n">
        <v>0</v>
      </c>
      <c r="K1693" t="n">
        <v>0</v>
      </c>
      <c r="L1693" t="n">
        <v>1</v>
      </c>
      <c r="M1693" t="n">
        <v>0</v>
      </c>
    </row>
    <row r="1694" spans="1:13">
      <c r="A1694" s="1">
        <f>HYPERLINK("http://www.twitter.com/NathanBLawrence/status/985912181404459008", "985912181404459008")</f>
        <v/>
      </c>
      <c r="B1694" s="2" t="n">
        <v>43206.67078703704</v>
      </c>
      <c r="C1694" t="n">
        <v>0</v>
      </c>
      <c r="D1694" t="n">
        <v>8735</v>
      </c>
      <c r="E1694" t="s">
        <v>1705</v>
      </c>
      <c r="F1694" t="s"/>
      <c r="G1694" t="s"/>
      <c r="H1694" t="s"/>
      <c r="I1694" t="s"/>
      <c r="J1694" t="n">
        <v>0</v>
      </c>
      <c r="K1694" t="n">
        <v>0</v>
      </c>
      <c r="L1694" t="n">
        <v>1</v>
      </c>
      <c r="M1694" t="n">
        <v>0</v>
      </c>
    </row>
    <row r="1695" spans="1:13">
      <c r="A1695" s="1">
        <f>HYPERLINK("http://www.twitter.com/NathanBLawrence/status/985911943146983424", "985911943146983424")</f>
        <v/>
      </c>
      <c r="B1695" s="2" t="n">
        <v>43206.67012731481</v>
      </c>
      <c r="C1695" t="n">
        <v>0</v>
      </c>
      <c r="D1695" t="n">
        <v>6</v>
      </c>
      <c r="E1695" t="s">
        <v>1706</v>
      </c>
      <c r="F1695">
        <f>HYPERLINK("http://pbs.twimg.com/media/Da6cYiqU0AAQUsm.jpg", "http://pbs.twimg.com/media/Da6cYiqU0AAQUsm.jpg")</f>
        <v/>
      </c>
      <c r="G1695" t="s"/>
      <c r="H1695" t="s"/>
      <c r="I1695" t="s"/>
      <c r="J1695" t="n">
        <v>0.5266999999999999</v>
      </c>
      <c r="K1695" t="n">
        <v>0</v>
      </c>
      <c r="L1695" t="n">
        <v>0.833</v>
      </c>
      <c r="M1695" t="n">
        <v>0.167</v>
      </c>
    </row>
    <row r="1696" spans="1:13">
      <c r="A1696" s="1">
        <f>HYPERLINK("http://www.twitter.com/NathanBLawrence/status/985911523095863297", "985911523095863297")</f>
        <v/>
      </c>
      <c r="B1696" s="2" t="n">
        <v>43206.6689699074</v>
      </c>
      <c r="C1696" t="n">
        <v>0</v>
      </c>
      <c r="D1696" t="n">
        <v>73</v>
      </c>
      <c r="E1696" t="s">
        <v>1707</v>
      </c>
      <c r="F1696">
        <f>HYPERLINK("http://pbs.twimg.com/media/Da6dRp4WAAAAdBI.jpg", "http://pbs.twimg.com/media/Da6dRp4WAAAAdBI.jpg")</f>
        <v/>
      </c>
      <c r="G1696" t="s"/>
      <c r="H1696" t="s"/>
      <c r="I1696" t="s"/>
      <c r="J1696" t="n">
        <v>-0.3818</v>
      </c>
      <c r="K1696" t="n">
        <v>0.167</v>
      </c>
      <c r="L1696" t="n">
        <v>0.833</v>
      </c>
      <c r="M1696" t="n">
        <v>0</v>
      </c>
    </row>
    <row r="1697" spans="1:13">
      <c r="A1697" s="1">
        <f>HYPERLINK("http://www.twitter.com/NathanBLawrence/status/985897186222362624", "985897186222362624")</f>
        <v/>
      </c>
      <c r="B1697" s="2" t="n">
        <v>43206.62939814815</v>
      </c>
      <c r="C1697" t="n">
        <v>0</v>
      </c>
      <c r="D1697" t="n">
        <v>839</v>
      </c>
      <c r="E1697" t="s">
        <v>1708</v>
      </c>
      <c r="F1697" t="s"/>
      <c r="G1697" t="s"/>
      <c r="H1697" t="s"/>
      <c r="I1697" t="s"/>
      <c r="J1697" t="n">
        <v>0.8838</v>
      </c>
      <c r="K1697" t="n">
        <v>0.179</v>
      </c>
      <c r="L1697" t="n">
        <v>0.374</v>
      </c>
      <c r="M1697" t="n">
        <v>0.447</v>
      </c>
    </row>
    <row r="1698" spans="1:13">
      <c r="A1698" s="1">
        <f>HYPERLINK("http://www.twitter.com/NathanBLawrence/status/985896988242669568", "985896988242669568")</f>
        <v/>
      </c>
      <c r="B1698" s="2" t="n">
        <v>43206.62885416667</v>
      </c>
      <c r="C1698" t="n">
        <v>0</v>
      </c>
      <c r="D1698" t="n">
        <v>496</v>
      </c>
      <c r="E1698" t="s">
        <v>1709</v>
      </c>
      <c r="F1698" t="s"/>
      <c r="G1698" t="s"/>
      <c r="H1698" t="s"/>
      <c r="I1698" t="s"/>
      <c r="J1698" t="n">
        <v>0.8932</v>
      </c>
      <c r="K1698" t="n">
        <v>0</v>
      </c>
      <c r="L1698" t="n">
        <v>0.631</v>
      </c>
      <c r="M1698" t="n">
        <v>0.369</v>
      </c>
    </row>
    <row r="1699" spans="1:13">
      <c r="A1699" s="1">
        <f>HYPERLINK("http://www.twitter.com/NathanBLawrence/status/985896848287203329", "985896848287203329")</f>
        <v/>
      </c>
      <c r="B1699" s="2" t="n">
        <v>43206.62847222222</v>
      </c>
      <c r="C1699" t="n">
        <v>0</v>
      </c>
      <c r="D1699" t="n">
        <v>924</v>
      </c>
      <c r="E1699" t="s">
        <v>1710</v>
      </c>
      <c r="F1699" t="s"/>
      <c r="G1699" t="s"/>
      <c r="H1699" t="s"/>
      <c r="I1699" t="s"/>
      <c r="J1699" t="n">
        <v>0.8506</v>
      </c>
      <c r="K1699" t="n">
        <v>0.129</v>
      </c>
      <c r="L1699" t="n">
        <v>0.489</v>
      </c>
      <c r="M1699" t="n">
        <v>0.382</v>
      </c>
    </row>
    <row r="1700" spans="1:13">
      <c r="A1700" s="1">
        <f>HYPERLINK("http://www.twitter.com/NathanBLawrence/status/985896634310692865", "985896634310692865")</f>
        <v/>
      </c>
      <c r="B1700" s="2" t="n">
        <v>43206.62788194444</v>
      </c>
      <c r="C1700" t="n">
        <v>0</v>
      </c>
      <c r="D1700" t="n">
        <v>113</v>
      </c>
      <c r="E1700" t="s">
        <v>1711</v>
      </c>
      <c r="F1700">
        <f>HYPERLINK("http://pbs.twimg.com/media/Da6WKV5XkAEa3q5.jpg", "http://pbs.twimg.com/media/Da6WKV5XkAEa3q5.jpg")</f>
        <v/>
      </c>
      <c r="G1700" t="s"/>
      <c r="H1700" t="s"/>
      <c r="I1700" t="s"/>
      <c r="J1700" t="n">
        <v>0</v>
      </c>
      <c r="K1700" t="n">
        <v>0</v>
      </c>
      <c r="L1700" t="n">
        <v>1</v>
      </c>
      <c r="M1700" t="n">
        <v>0</v>
      </c>
    </row>
    <row r="1701" spans="1:13">
      <c r="A1701" s="1">
        <f>HYPERLINK("http://www.twitter.com/NathanBLawrence/status/985731788856352768", "985731788856352768")</f>
        <v/>
      </c>
      <c r="B1701" s="2" t="n">
        <v>43206.17299768519</v>
      </c>
      <c r="C1701" t="n">
        <v>0</v>
      </c>
      <c r="D1701" t="n">
        <v>173</v>
      </c>
      <c r="E1701" t="s">
        <v>1712</v>
      </c>
      <c r="F1701" t="s"/>
      <c r="G1701" t="s"/>
      <c r="H1701" t="s"/>
      <c r="I1701" t="s"/>
      <c r="J1701" t="n">
        <v>-0.1027</v>
      </c>
      <c r="K1701" t="n">
        <v>0.226</v>
      </c>
      <c r="L1701" t="n">
        <v>0.609</v>
      </c>
      <c r="M1701" t="n">
        <v>0.165</v>
      </c>
    </row>
    <row r="1702" spans="1:13">
      <c r="A1702" s="1">
        <f>HYPERLINK("http://www.twitter.com/NathanBLawrence/status/985731387226509312", "985731387226509312")</f>
        <v/>
      </c>
      <c r="B1702" s="2" t="n">
        <v>43206.17188657408</v>
      </c>
      <c r="C1702" t="n">
        <v>0</v>
      </c>
      <c r="D1702" t="n">
        <v>981</v>
      </c>
      <c r="E1702" t="s">
        <v>1713</v>
      </c>
      <c r="F1702" t="s"/>
      <c r="G1702" t="s"/>
      <c r="H1702" t="s"/>
      <c r="I1702" t="s"/>
      <c r="J1702" t="n">
        <v>-0.872</v>
      </c>
      <c r="K1702" t="n">
        <v>0.382</v>
      </c>
      <c r="L1702" t="n">
        <v>0.618</v>
      </c>
      <c r="M1702" t="n">
        <v>0</v>
      </c>
    </row>
    <row r="1703" spans="1:13">
      <c r="A1703" s="1">
        <f>HYPERLINK("http://www.twitter.com/NathanBLawrence/status/985731378233905153", "985731378233905153")</f>
        <v/>
      </c>
      <c r="B1703" s="2" t="n">
        <v>43206.17186342592</v>
      </c>
      <c r="C1703" t="n">
        <v>0</v>
      </c>
      <c r="D1703" t="n">
        <v>556</v>
      </c>
      <c r="E1703" t="s">
        <v>1714</v>
      </c>
      <c r="F1703" t="s"/>
      <c r="G1703" t="s"/>
      <c r="H1703" t="s"/>
      <c r="I1703" t="s"/>
      <c r="J1703" t="n">
        <v>-0.296</v>
      </c>
      <c r="K1703" t="n">
        <v>0.109</v>
      </c>
      <c r="L1703" t="n">
        <v>0.891</v>
      </c>
      <c r="M1703" t="n">
        <v>0</v>
      </c>
    </row>
    <row r="1704" spans="1:13">
      <c r="A1704" s="1">
        <f>HYPERLINK("http://www.twitter.com/NathanBLawrence/status/985731275024687107", "985731275024687107")</f>
        <v/>
      </c>
      <c r="B1704" s="2" t="n">
        <v>43206.17157407408</v>
      </c>
      <c r="C1704" t="n">
        <v>0</v>
      </c>
      <c r="D1704" t="n">
        <v>698</v>
      </c>
      <c r="E1704" t="s">
        <v>1715</v>
      </c>
      <c r="F1704">
        <f>HYPERLINK("http://pbs.twimg.com/media/Da3nOD6VQAAZLDf.jpg", "http://pbs.twimg.com/media/Da3nOD6VQAAZLDf.jpg")</f>
        <v/>
      </c>
      <c r="G1704" t="s"/>
      <c r="H1704" t="s"/>
      <c r="I1704" t="s"/>
      <c r="J1704" t="n">
        <v>0.3182</v>
      </c>
      <c r="K1704" t="n">
        <v>0</v>
      </c>
      <c r="L1704" t="n">
        <v>0.892</v>
      </c>
      <c r="M1704" t="n">
        <v>0.108</v>
      </c>
    </row>
    <row r="1705" spans="1:13">
      <c r="A1705" s="1">
        <f>HYPERLINK("http://www.twitter.com/NathanBLawrence/status/985729289067909120", "985729289067909120")</f>
        <v/>
      </c>
      <c r="B1705" s="2" t="n">
        <v>43206.16609953704</v>
      </c>
      <c r="C1705" t="n">
        <v>0</v>
      </c>
      <c r="D1705" t="n">
        <v>703</v>
      </c>
      <c r="E1705" t="s">
        <v>1716</v>
      </c>
      <c r="F1705" t="s"/>
      <c r="G1705" t="s"/>
      <c r="H1705" t="s"/>
      <c r="I1705" t="s"/>
      <c r="J1705" t="n">
        <v>0.6371</v>
      </c>
      <c r="K1705" t="n">
        <v>0</v>
      </c>
      <c r="L1705" t="n">
        <v>0.741</v>
      </c>
      <c r="M1705" t="n">
        <v>0.259</v>
      </c>
    </row>
    <row r="1706" spans="1:13">
      <c r="A1706" s="1">
        <f>HYPERLINK("http://www.twitter.com/NathanBLawrence/status/985571918488141825", "985571918488141825")</f>
        <v/>
      </c>
      <c r="B1706" s="2" t="n">
        <v>43205.73184027777</v>
      </c>
      <c r="C1706" t="n">
        <v>0</v>
      </c>
      <c r="D1706" t="n">
        <v>409</v>
      </c>
      <c r="E1706" t="s">
        <v>1717</v>
      </c>
      <c r="F1706">
        <f>HYPERLINK("https://video.twimg.com/ext_tw_video/983914817239986176/pu/vid/1280x720/sVQYvlvyzX_--2cU.mp4?tag=2", "https://video.twimg.com/ext_tw_video/983914817239986176/pu/vid/1280x720/sVQYvlvyzX_--2cU.mp4?tag=2")</f>
        <v/>
      </c>
      <c r="G1706" t="s"/>
      <c r="H1706" t="s"/>
      <c r="I1706" t="s"/>
      <c r="J1706" t="n">
        <v>0</v>
      </c>
      <c r="K1706" t="n">
        <v>0</v>
      </c>
      <c r="L1706" t="n">
        <v>1</v>
      </c>
      <c r="M1706" t="n">
        <v>0</v>
      </c>
    </row>
    <row r="1707" spans="1:13">
      <c r="A1707" s="1">
        <f>HYPERLINK("http://www.twitter.com/NathanBLawrence/status/985571435031728130", "985571435031728130")</f>
        <v/>
      </c>
      <c r="B1707" s="2" t="n">
        <v>43205.73049768519</v>
      </c>
      <c r="C1707" t="n">
        <v>0</v>
      </c>
      <c r="D1707" t="n">
        <v>148</v>
      </c>
      <c r="E1707" t="s">
        <v>1718</v>
      </c>
      <c r="F1707" t="s"/>
      <c r="G1707" t="s"/>
      <c r="H1707" t="s"/>
      <c r="I1707" t="s"/>
      <c r="J1707" t="n">
        <v>-0.765</v>
      </c>
      <c r="K1707" t="n">
        <v>0.355</v>
      </c>
      <c r="L1707" t="n">
        <v>0.645</v>
      </c>
      <c r="M1707" t="n">
        <v>0</v>
      </c>
    </row>
    <row r="1708" spans="1:13">
      <c r="A1708" s="1">
        <f>HYPERLINK("http://www.twitter.com/NathanBLawrence/status/985571173978312706", "985571173978312706")</f>
        <v/>
      </c>
      <c r="B1708" s="2" t="n">
        <v>43205.7297800926</v>
      </c>
      <c r="C1708" t="n">
        <v>0</v>
      </c>
      <c r="D1708" t="n">
        <v>1024</v>
      </c>
      <c r="E1708" t="s">
        <v>1719</v>
      </c>
      <c r="F1708" t="s"/>
      <c r="G1708" t="s"/>
      <c r="H1708" t="s"/>
      <c r="I1708" t="s"/>
      <c r="J1708" t="n">
        <v>-0.4753</v>
      </c>
      <c r="K1708" t="n">
        <v>0.18</v>
      </c>
      <c r="L1708" t="n">
        <v>0.73</v>
      </c>
      <c r="M1708" t="n">
        <v>0.09</v>
      </c>
    </row>
    <row r="1709" spans="1:13">
      <c r="A1709" s="1">
        <f>HYPERLINK("http://www.twitter.com/NathanBLawrence/status/985514623825858561", "985514623825858561")</f>
        <v/>
      </c>
      <c r="B1709" s="2" t="n">
        <v>43205.57372685185</v>
      </c>
      <c r="C1709" t="n">
        <v>0</v>
      </c>
      <c r="D1709" t="n">
        <v>5122</v>
      </c>
      <c r="E1709" t="s">
        <v>1720</v>
      </c>
      <c r="F1709" t="s"/>
      <c r="G1709" t="s"/>
      <c r="H1709" t="s"/>
      <c r="I1709" t="s"/>
      <c r="J1709" t="n">
        <v>0.6908</v>
      </c>
      <c r="K1709" t="n">
        <v>0</v>
      </c>
      <c r="L1709" t="n">
        <v>0.801</v>
      </c>
      <c r="M1709" t="n">
        <v>0.199</v>
      </c>
    </row>
    <row r="1710" spans="1:13">
      <c r="A1710" s="1">
        <f>HYPERLINK("http://www.twitter.com/NathanBLawrence/status/985514285903302656", "985514285903302656")</f>
        <v/>
      </c>
      <c r="B1710" s="2" t="n">
        <v>43205.57280092593</v>
      </c>
      <c r="C1710" t="n">
        <v>0</v>
      </c>
      <c r="D1710" t="n">
        <v>46</v>
      </c>
      <c r="E1710" t="s">
        <v>1721</v>
      </c>
      <c r="F1710">
        <f>HYPERLINK("http://pbs.twimg.com/media/Da0_xzKWsAAkoYe.jpg", "http://pbs.twimg.com/media/Da0_xzKWsAAkoYe.jpg")</f>
        <v/>
      </c>
      <c r="G1710" t="s"/>
      <c r="H1710" t="s"/>
      <c r="I1710" t="s"/>
      <c r="J1710" t="n">
        <v>0</v>
      </c>
      <c r="K1710" t="n">
        <v>0</v>
      </c>
      <c r="L1710" t="n">
        <v>1</v>
      </c>
      <c r="M1710" t="n">
        <v>0</v>
      </c>
    </row>
    <row r="1711" spans="1:13">
      <c r="A1711" s="1">
        <f>HYPERLINK("http://www.twitter.com/NathanBLawrence/status/985513981896019970", "985513981896019970")</f>
        <v/>
      </c>
      <c r="B1711" s="2" t="n">
        <v>43205.57195601852</v>
      </c>
      <c r="C1711" t="n">
        <v>0</v>
      </c>
      <c r="D1711" t="n">
        <v>86</v>
      </c>
      <c r="E1711" t="s">
        <v>1722</v>
      </c>
      <c r="F1711">
        <f>HYPERLINK("https://video.twimg.com/amplify_video/985483623657861120/vid/1280x720/np5QS4tSdI5biJFI.mp4?tag=2", "https://video.twimg.com/amplify_video/985483623657861120/vid/1280x720/np5QS4tSdI5biJFI.mp4?tag=2")</f>
        <v/>
      </c>
      <c r="G1711" t="s"/>
      <c r="H1711" t="s"/>
      <c r="I1711" t="s"/>
      <c r="J1711" t="n">
        <v>0</v>
      </c>
      <c r="K1711" t="n">
        <v>0</v>
      </c>
      <c r="L1711" t="n">
        <v>1</v>
      </c>
      <c r="M1711" t="n">
        <v>0</v>
      </c>
    </row>
    <row r="1712" spans="1:13">
      <c r="A1712" s="1">
        <f>HYPERLINK("http://www.twitter.com/NathanBLawrence/status/985513819429593089", "985513819429593089")</f>
        <v/>
      </c>
      <c r="B1712" s="2" t="n">
        <v>43205.5715162037</v>
      </c>
      <c r="C1712" t="n">
        <v>0</v>
      </c>
      <c r="D1712" t="n">
        <v>104</v>
      </c>
      <c r="E1712" t="s">
        <v>1723</v>
      </c>
      <c r="F1712" t="s"/>
      <c r="G1712" t="s"/>
      <c r="H1712" t="s"/>
      <c r="I1712" t="s"/>
      <c r="J1712" t="n">
        <v>0</v>
      </c>
      <c r="K1712" t="n">
        <v>0</v>
      </c>
      <c r="L1712" t="n">
        <v>1</v>
      </c>
      <c r="M1712" t="n">
        <v>0</v>
      </c>
    </row>
    <row r="1713" spans="1:13">
      <c r="A1713" s="1">
        <f>HYPERLINK("http://www.twitter.com/NathanBLawrence/status/985512941356232704", "985512941356232704")</f>
        <v/>
      </c>
      <c r="B1713" s="2" t="n">
        <v>43205.56908564815</v>
      </c>
      <c r="C1713" t="n">
        <v>0</v>
      </c>
      <c r="D1713" t="n">
        <v>127</v>
      </c>
      <c r="E1713" t="s">
        <v>1724</v>
      </c>
      <c r="F1713">
        <f>HYPERLINK("https://video.twimg.com/ext_tw_video/982421290127519744/pu/vid/720x1280/13vUqRSS5W1lXHZ7.mp4?tag=2", "https://video.twimg.com/ext_tw_video/982421290127519744/pu/vid/720x1280/13vUqRSS5W1lXHZ7.mp4?tag=2")</f>
        <v/>
      </c>
      <c r="G1713" t="s"/>
      <c r="H1713" t="s"/>
      <c r="I1713" t="s"/>
      <c r="J1713" t="n">
        <v>0</v>
      </c>
      <c r="K1713" t="n">
        <v>0</v>
      </c>
      <c r="L1713" t="n">
        <v>1</v>
      </c>
      <c r="M1713" t="n">
        <v>0</v>
      </c>
    </row>
    <row r="1714" spans="1:13">
      <c r="A1714" s="1">
        <f>HYPERLINK("http://www.twitter.com/NathanBLawrence/status/985351126328528896", "985351126328528896")</f>
        <v/>
      </c>
      <c r="B1714" s="2" t="n">
        <v>43205.12256944444</v>
      </c>
      <c r="C1714" t="n">
        <v>0</v>
      </c>
      <c r="D1714" t="n">
        <v>4781</v>
      </c>
      <c r="E1714" t="s">
        <v>1725</v>
      </c>
      <c r="F1714">
        <f>HYPERLINK("https://video.twimg.com/amplify_video/983463755878055936/vid/1280x720/-c7LXZDb3_hmPoBj.mp4?tag=2", "https://video.twimg.com/amplify_video/983463755878055936/vid/1280x720/-c7LXZDb3_hmPoBj.mp4?tag=2")</f>
        <v/>
      </c>
      <c r="G1714" t="s"/>
      <c r="H1714" t="s"/>
      <c r="I1714" t="s"/>
      <c r="J1714" t="n">
        <v>0.4199</v>
      </c>
      <c r="K1714" t="n">
        <v>0</v>
      </c>
      <c r="L1714" t="n">
        <v>0.887</v>
      </c>
      <c r="M1714" t="n">
        <v>0.113</v>
      </c>
    </row>
    <row r="1715" spans="1:13">
      <c r="A1715" s="1">
        <f>HYPERLINK("http://www.twitter.com/NathanBLawrence/status/985350760610353152", "985350760610353152")</f>
        <v/>
      </c>
      <c r="B1715" s="2" t="n">
        <v>43205.12155092593</v>
      </c>
      <c r="C1715" t="n">
        <v>0</v>
      </c>
      <c r="D1715" t="n">
        <v>42</v>
      </c>
      <c r="E1715" t="s">
        <v>1726</v>
      </c>
      <c r="F1715">
        <f>HYPERLINK("http://pbs.twimg.com/media/DayqUpCW4AEv_Kc.jpg", "http://pbs.twimg.com/media/DayqUpCW4AEv_Kc.jpg")</f>
        <v/>
      </c>
      <c r="G1715" t="s"/>
      <c r="H1715" t="s"/>
      <c r="I1715" t="s"/>
      <c r="J1715" t="n">
        <v>-0.5574</v>
      </c>
      <c r="K1715" t="n">
        <v>0.217</v>
      </c>
      <c r="L1715" t="n">
        <v>0.783</v>
      </c>
      <c r="M1715" t="n">
        <v>0</v>
      </c>
    </row>
    <row r="1716" spans="1:13">
      <c r="A1716" s="1">
        <f>HYPERLINK("http://www.twitter.com/NathanBLawrence/status/985350461397008385", "985350461397008385")</f>
        <v/>
      </c>
      <c r="B1716" s="2" t="n">
        <v>43205.12072916667</v>
      </c>
      <c r="C1716" t="n">
        <v>0</v>
      </c>
      <c r="D1716" t="n">
        <v>84</v>
      </c>
      <c r="E1716" t="s">
        <v>1727</v>
      </c>
      <c r="F1716" t="s"/>
      <c r="G1716" t="s"/>
      <c r="H1716" t="s"/>
      <c r="I1716" t="s"/>
      <c r="J1716" t="n">
        <v>0.4404</v>
      </c>
      <c r="K1716" t="n">
        <v>0</v>
      </c>
      <c r="L1716" t="n">
        <v>0.734</v>
      </c>
      <c r="M1716" t="n">
        <v>0.266</v>
      </c>
    </row>
    <row r="1717" spans="1:13">
      <c r="A1717" s="1">
        <f>HYPERLINK("http://www.twitter.com/NathanBLawrence/status/985349996924100609", "985349996924100609")</f>
        <v/>
      </c>
      <c r="B1717" s="2" t="n">
        <v>43205.11944444444</v>
      </c>
      <c r="C1717" t="n">
        <v>0</v>
      </c>
      <c r="D1717" t="n">
        <v>886</v>
      </c>
      <c r="E1717" t="s">
        <v>1728</v>
      </c>
      <c r="F1717" t="s"/>
      <c r="G1717" t="s"/>
      <c r="H1717" t="s"/>
      <c r="I1717" t="s"/>
      <c r="J1717" t="n">
        <v>-0.2714</v>
      </c>
      <c r="K1717" t="n">
        <v>0.13</v>
      </c>
      <c r="L1717" t="n">
        <v>0.87</v>
      </c>
      <c r="M1717" t="n">
        <v>0</v>
      </c>
    </row>
    <row r="1718" spans="1:13">
      <c r="A1718" s="1">
        <f>HYPERLINK("http://www.twitter.com/NathanBLawrence/status/985349680212176896", "985349680212176896")</f>
        <v/>
      </c>
      <c r="B1718" s="2" t="n">
        <v>43205.11857638889</v>
      </c>
      <c r="C1718" t="n">
        <v>0</v>
      </c>
      <c r="D1718" t="n">
        <v>506</v>
      </c>
      <c r="E1718" t="s">
        <v>1729</v>
      </c>
      <c r="F1718" t="s"/>
      <c r="G1718" t="s"/>
      <c r="H1718" t="s"/>
      <c r="I1718" t="s"/>
      <c r="J1718" t="n">
        <v>0.4767</v>
      </c>
      <c r="K1718" t="n">
        <v>0</v>
      </c>
      <c r="L1718" t="n">
        <v>0.886</v>
      </c>
      <c r="M1718" t="n">
        <v>0.114</v>
      </c>
    </row>
    <row r="1719" spans="1:13">
      <c r="A1719" s="1">
        <f>HYPERLINK("http://www.twitter.com/NathanBLawrence/status/985349568484298752", "985349568484298752")</f>
        <v/>
      </c>
      <c r="B1719" s="2" t="n">
        <v>43205.11826388889</v>
      </c>
      <c r="C1719" t="n">
        <v>0</v>
      </c>
      <c r="D1719" t="n">
        <v>1644</v>
      </c>
      <c r="E1719" t="s">
        <v>1730</v>
      </c>
      <c r="F1719" t="s"/>
      <c r="G1719" t="s"/>
      <c r="H1719" t="s"/>
      <c r="I1719" t="s"/>
      <c r="J1719" t="n">
        <v>0</v>
      </c>
      <c r="K1719" t="n">
        <v>0</v>
      </c>
      <c r="L1719" t="n">
        <v>1</v>
      </c>
      <c r="M1719" t="n">
        <v>0</v>
      </c>
    </row>
    <row r="1720" spans="1:13">
      <c r="A1720" s="1">
        <f>HYPERLINK("http://www.twitter.com/NathanBLawrence/status/985349298656350208", "985349298656350208")</f>
        <v/>
      </c>
      <c r="B1720" s="2" t="n">
        <v>43205.11752314815</v>
      </c>
      <c r="C1720" t="n">
        <v>0</v>
      </c>
      <c r="D1720" t="n">
        <v>1140</v>
      </c>
      <c r="E1720" t="s">
        <v>1731</v>
      </c>
      <c r="F1720">
        <f>HYPERLINK("https://video.twimg.com/ext_tw_video/985229994082422784/pu/vid/640x360/wQdmaUFeUAe7YGI2.mp4?tag=2", "https://video.twimg.com/ext_tw_video/985229994082422784/pu/vid/640x360/wQdmaUFeUAe7YGI2.mp4?tag=2")</f>
        <v/>
      </c>
      <c r="G1720" t="s"/>
      <c r="H1720" t="s"/>
      <c r="I1720" t="s"/>
      <c r="J1720" t="n">
        <v>0</v>
      </c>
      <c r="K1720" t="n">
        <v>0</v>
      </c>
      <c r="L1720" t="n">
        <v>1</v>
      </c>
      <c r="M1720" t="n">
        <v>0</v>
      </c>
    </row>
    <row r="1721" spans="1:13">
      <c r="A1721" s="1">
        <f>HYPERLINK("http://www.twitter.com/NathanBLawrence/status/985102182134566913", "985102182134566913")</f>
        <v/>
      </c>
      <c r="B1721" s="2" t="n">
        <v>43204.43561342593</v>
      </c>
      <c r="C1721" t="n">
        <v>0</v>
      </c>
      <c r="D1721" t="n">
        <v>533</v>
      </c>
      <c r="E1721" t="s">
        <v>1732</v>
      </c>
      <c r="F1721">
        <f>HYPERLINK("https://video.twimg.com/ext_tw_video/985011336819171330/pu/vid/612x640/KpKuCXpM9ollFa_W.mp4?tag=2", "https://video.twimg.com/ext_tw_video/985011336819171330/pu/vid/612x640/KpKuCXpM9ollFa_W.mp4?tag=2")</f>
        <v/>
      </c>
      <c r="G1721" t="s"/>
      <c r="H1721" t="s"/>
      <c r="I1721" t="s"/>
      <c r="J1721" t="n">
        <v>0.636</v>
      </c>
      <c r="K1721" t="n">
        <v>0</v>
      </c>
      <c r="L1721" t="n">
        <v>0.766</v>
      </c>
      <c r="M1721" t="n">
        <v>0.234</v>
      </c>
    </row>
    <row r="1722" spans="1:13">
      <c r="A1722" s="1">
        <f>HYPERLINK("http://www.twitter.com/NathanBLawrence/status/985101513335943168", "985101513335943168")</f>
        <v/>
      </c>
      <c r="B1722" s="2" t="n">
        <v>43204.43376157407</v>
      </c>
      <c r="C1722" t="n">
        <v>0</v>
      </c>
      <c r="D1722" t="n">
        <v>167</v>
      </c>
      <c r="E1722" t="s">
        <v>1733</v>
      </c>
      <c r="F1722" t="s"/>
      <c r="G1722" t="s"/>
      <c r="H1722" t="s"/>
      <c r="I1722" t="s"/>
      <c r="J1722" t="n">
        <v>0</v>
      </c>
      <c r="K1722" t="n">
        <v>0</v>
      </c>
      <c r="L1722" t="n">
        <v>1</v>
      </c>
      <c r="M1722" t="n">
        <v>0</v>
      </c>
    </row>
    <row r="1723" spans="1:13">
      <c r="A1723" s="1">
        <f>HYPERLINK("http://www.twitter.com/NathanBLawrence/status/985100837449027586", "985100837449027586")</f>
        <v/>
      </c>
      <c r="B1723" s="2" t="n">
        <v>43204.43189814815</v>
      </c>
      <c r="C1723" t="n">
        <v>0</v>
      </c>
      <c r="D1723" t="n">
        <v>803</v>
      </c>
      <c r="E1723" t="s">
        <v>1734</v>
      </c>
      <c r="F1723" t="s"/>
      <c r="G1723" t="s"/>
      <c r="H1723" t="s"/>
      <c r="I1723" t="s"/>
      <c r="J1723" t="n">
        <v>-0.3612</v>
      </c>
      <c r="K1723" t="n">
        <v>0.111</v>
      </c>
      <c r="L1723" t="n">
        <v>0.889</v>
      </c>
      <c r="M1723" t="n">
        <v>0</v>
      </c>
    </row>
    <row r="1724" spans="1:13">
      <c r="A1724" s="1">
        <f>HYPERLINK("http://www.twitter.com/NathanBLawrence/status/984991954579722241", "984991954579722241")</f>
        <v/>
      </c>
      <c r="B1724" s="2" t="n">
        <v>43204.13143518518</v>
      </c>
      <c r="C1724" t="n">
        <v>0</v>
      </c>
      <c r="D1724" t="n">
        <v>995</v>
      </c>
      <c r="E1724" t="s">
        <v>1735</v>
      </c>
      <c r="F1724" t="s"/>
      <c r="G1724" t="s"/>
      <c r="H1724" t="s"/>
      <c r="I1724" t="s"/>
      <c r="J1724" t="n">
        <v>0.8442</v>
      </c>
      <c r="K1724" t="n">
        <v>0.083</v>
      </c>
      <c r="L1724" t="n">
        <v>0.543</v>
      </c>
      <c r="M1724" t="n">
        <v>0.374</v>
      </c>
    </row>
    <row r="1725" spans="1:13">
      <c r="A1725" s="1">
        <f>HYPERLINK("http://www.twitter.com/NathanBLawrence/status/984991525791846402", "984991525791846402")</f>
        <v/>
      </c>
      <c r="B1725" s="2" t="n">
        <v>43204.13025462963</v>
      </c>
      <c r="C1725" t="n">
        <v>0</v>
      </c>
      <c r="D1725" t="n">
        <v>367</v>
      </c>
      <c r="E1725" t="s">
        <v>1736</v>
      </c>
      <c r="F1725">
        <f>HYPERLINK("http://pbs.twimg.com/media/DatTf9vVAAE6n1z.jpg", "http://pbs.twimg.com/media/DatTf9vVAAE6n1z.jpg")</f>
        <v/>
      </c>
      <c r="G1725" t="s"/>
      <c r="H1725" t="s"/>
      <c r="I1725" t="s"/>
      <c r="J1725" t="n">
        <v>0.2023</v>
      </c>
      <c r="K1725" t="n">
        <v>0.081</v>
      </c>
      <c r="L1725" t="n">
        <v>0.8120000000000001</v>
      </c>
      <c r="M1725" t="n">
        <v>0.107</v>
      </c>
    </row>
    <row r="1726" spans="1:13">
      <c r="A1726" s="1">
        <f>HYPERLINK("http://www.twitter.com/NathanBLawrence/status/984990417514057728", "984990417514057728")</f>
        <v/>
      </c>
      <c r="B1726" s="2" t="n">
        <v>43204.12719907407</v>
      </c>
      <c r="C1726" t="n">
        <v>0</v>
      </c>
      <c r="D1726" t="n">
        <v>1842</v>
      </c>
      <c r="E1726" t="s">
        <v>1737</v>
      </c>
      <c r="F1726" t="s"/>
      <c r="G1726" t="s"/>
      <c r="H1726" t="s"/>
      <c r="I1726" t="s"/>
      <c r="J1726" t="n">
        <v>0.1053</v>
      </c>
      <c r="K1726" t="n">
        <v>0.169</v>
      </c>
      <c r="L1726" t="n">
        <v>0.621</v>
      </c>
      <c r="M1726" t="n">
        <v>0.21</v>
      </c>
    </row>
    <row r="1727" spans="1:13">
      <c r="A1727" s="1">
        <f>HYPERLINK("http://www.twitter.com/NathanBLawrence/status/984990232805347329", "984990232805347329")</f>
        <v/>
      </c>
      <c r="B1727" s="2" t="n">
        <v>43204.12668981482</v>
      </c>
      <c r="C1727" t="n">
        <v>0</v>
      </c>
      <c r="D1727" t="n">
        <v>987</v>
      </c>
      <c r="E1727" t="s">
        <v>1738</v>
      </c>
      <c r="F1727" t="s"/>
      <c r="G1727" t="s"/>
      <c r="H1727" t="s"/>
      <c r="I1727" t="s"/>
      <c r="J1727" t="n">
        <v>-0.4939</v>
      </c>
      <c r="K1727" t="n">
        <v>0.167</v>
      </c>
      <c r="L1727" t="n">
        <v>0.833</v>
      </c>
      <c r="M1727" t="n">
        <v>0</v>
      </c>
    </row>
    <row r="1728" spans="1:13">
      <c r="A1728" s="1">
        <f>HYPERLINK("http://www.twitter.com/NathanBLawrence/status/984990056900366336", "984990056900366336")</f>
        <v/>
      </c>
      <c r="B1728" s="2" t="n">
        <v>43204.1262037037</v>
      </c>
      <c r="C1728" t="n">
        <v>0</v>
      </c>
      <c r="D1728" t="n">
        <v>85</v>
      </c>
      <c r="E1728" t="s">
        <v>1739</v>
      </c>
      <c r="F1728">
        <f>HYPERLINK("http://pbs.twimg.com/media/DatgaWhX4AAaO1w.jpg", "http://pbs.twimg.com/media/DatgaWhX4AAaO1w.jpg")</f>
        <v/>
      </c>
      <c r="G1728" t="s"/>
      <c r="H1728" t="s"/>
      <c r="I1728" t="s"/>
      <c r="J1728" t="n">
        <v>-0.3612</v>
      </c>
      <c r="K1728" t="n">
        <v>0.161</v>
      </c>
      <c r="L1728" t="n">
        <v>0.839</v>
      </c>
      <c r="M1728" t="n">
        <v>0</v>
      </c>
    </row>
    <row r="1729" spans="1:13">
      <c r="A1729" s="1">
        <f>HYPERLINK("http://www.twitter.com/NathanBLawrence/status/984989791262519298", "984989791262519298")</f>
        <v/>
      </c>
      <c r="B1729" s="2" t="n">
        <v>43204.12547453704</v>
      </c>
      <c r="C1729" t="n">
        <v>0</v>
      </c>
      <c r="D1729" t="n">
        <v>6</v>
      </c>
      <c r="E1729" t="s">
        <v>1740</v>
      </c>
      <c r="F1729" t="s"/>
      <c r="G1729" t="s"/>
      <c r="H1729" t="s"/>
      <c r="I1729" t="s"/>
      <c r="J1729" t="n">
        <v>0.4019</v>
      </c>
      <c r="K1729" t="n">
        <v>0.08400000000000001</v>
      </c>
      <c r="L1729" t="n">
        <v>0.741</v>
      </c>
      <c r="M1729" t="n">
        <v>0.175</v>
      </c>
    </row>
    <row r="1730" spans="1:13">
      <c r="A1730" s="1">
        <f>HYPERLINK("http://www.twitter.com/NathanBLawrence/status/984989736761724928", "984989736761724928")</f>
        <v/>
      </c>
      <c r="B1730" s="2" t="n">
        <v>43204.12532407408</v>
      </c>
      <c r="C1730" t="n">
        <v>0</v>
      </c>
      <c r="D1730" t="n">
        <v>276</v>
      </c>
      <c r="E1730" t="s">
        <v>1741</v>
      </c>
      <c r="F1730" t="s"/>
      <c r="G1730" t="s"/>
      <c r="H1730" t="s"/>
      <c r="I1730" t="s"/>
      <c r="J1730" t="n">
        <v>-0.6908</v>
      </c>
      <c r="K1730" t="n">
        <v>0.183</v>
      </c>
      <c r="L1730" t="n">
        <v>0.8169999999999999</v>
      </c>
      <c r="M1730" t="n">
        <v>0</v>
      </c>
    </row>
    <row r="1731" spans="1:13">
      <c r="A1731" s="1">
        <f>HYPERLINK("http://www.twitter.com/NathanBLawrence/status/984989693401026560", "984989693401026560")</f>
        <v/>
      </c>
      <c r="B1731" s="2" t="n">
        <v>43204.12519675926</v>
      </c>
      <c r="C1731" t="n">
        <v>0</v>
      </c>
      <c r="D1731" t="n">
        <v>926</v>
      </c>
      <c r="E1731" t="s">
        <v>1742</v>
      </c>
      <c r="F1731">
        <f>HYPERLINK("https://video.twimg.com/amplify_video/984966829306253312/vid/720x720/cDieQml4COf0LuNN.mp4?tag=2", "https://video.twimg.com/amplify_video/984966829306253312/vid/720x720/cDieQml4COf0LuNN.mp4?tag=2")</f>
        <v/>
      </c>
      <c r="G1731" t="s"/>
      <c r="H1731" t="s"/>
      <c r="I1731" t="s"/>
      <c r="J1731" t="n">
        <v>-0.0258</v>
      </c>
      <c r="K1731" t="n">
        <v>0.107</v>
      </c>
      <c r="L1731" t="n">
        <v>0.791</v>
      </c>
      <c r="M1731" t="n">
        <v>0.103</v>
      </c>
    </row>
    <row r="1732" spans="1:13">
      <c r="A1732" s="1">
        <f>HYPERLINK("http://www.twitter.com/NathanBLawrence/status/984989305591533568", "984989305591533568")</f>
        <v/>
      </c>
      <c r="B1732" s="2" t="n">
        <v>43204.12413194445</v>
      </c>
      <c r="C1732" t="n">
        <v>0</v>
      </c>
      <c r="D1732" t="n">
        <v>5</v>
      </c>
      <c r="E1732" t="s">
        <v>1743</v>
      </c>
      <c r="F1732">
        <f>HYPERLINK("http://pbs.twimg.com/media/DathRsZXkAsCn-t.jpg", "http://pbs.twimg.com/media/DathRsZXkAsCn-t.jpg")</f>
        <v/>
      </c>
      <c r="G1732" t="s"/>
      <c r="H1732" t="s"/>
      <c r="I1732" t="s"/>
      <c r="J1732" t="n">
        <v>-0.6705</v>
      </c>
      <c r="K1732" t="n">
        <v>0.2</v>
      </c>
      <c r="L1732" t="n">
        <v>0.8</v>
      </c>
      <c r="M1732" t="n">
        <v>0</v>
      </c>
    </row>
    <row r="1733" spans="1:13">
      <c r="A1733" s="1">
        <f>HYPERLINK("http://www.twitter.com/NathanBLawrence/status/984989114146713600", "984989114146713600")</f>
        <v/>
      </c>
      <c r="B1733" s="2" t="n">
        <v>43204.12359953704</v>
      </c>
      <c r="C1733" t="n">
        <v>0</v>
      </c>
      <c r="D1733" t="n">
        <v>11</v>
      </c>
      <c r="E1733" t="s">
        <v>1744</v>
      </c>
      <c r="F1733">
        <f>HYPERLINK("http://pbs.twimg.com/media/DatdyblVMAAqhbt.jpg", "http://pbs.twimg.com/media/DatdyblVMAAqhbt.jpg")</f>
        <v/>
      </c>
      <c r="G1733" t="s"/>
      <c r="H1733" t="s"/>
      <c r="I1733" t="s"/>
      <c r="J1733" t="n">
        <v>0</v>
      </c>
      <c r="K1733" t="n">
        <v>0</v>
      </c>
      <c r="L1733" t="n">
        <v>1</v>
      </c>
      <c r="M1733" t="n">
        <v>0</v>
      </c>
    </row>
    <row r="1734" spans="1:13">
      <c r="A1734" s="1">
        <f>HYPERLINK("http://www.twitter.com/NathanBLawrence/status/984989001286332417", "984989001286332417")</f>
        <v/>
      </c>
      <c r="B1734" s="2" t="n">
        <v>43204.12328703704</v>
      </c>
      <c r="C1734" t="n">
        <v>0</v>
      </c>
      <c r="D1734" t="n">
        <v>3202</v>
      </c>
      <c r="E1734" t="s">
        <v>1745</v>
      </c>
      <c r="F1734">
        <f>HYPERLINK("http://pbs.twimg.com/media/DajFwSxV4AAnEOT.jpg", "http://pbs.twimg.com/media/DajFwSxV4AAnEOT.jpg")</f>
        <v/>
      </c>
      <c r="G1734" t="s"/>
      <c r="H1734" t="s"/>
      <c r="I1734" t="s"/>
      <c r="J1734" t="n">
        <v>0</v>
      </c>
      <c r="K1734" t="n">
        <v>0</v>
      </c>
      <c r="L1734" t="n">
        <v>1</v>
      </c>
      <c r="M1734" t="n">
        <v>0</v>
      </c>
    </row>
    <row r="1735" spans="1:13">
      <c r="A1735" s="1">
        <f>HYPERLINK("http://www.twitter.com/NathanBLawrence/status/984988494329151488", "984988494329151488")</f>
        <v/>
      </c>
      <c r="B1735" s="2" t="n">
        <v>43204.12188657407</v>
      </c>
      <c r="C1735" t="n">
        <v>0</v>
      </c>
      <c r="D1735" t="n">
        <v>6132</v>
      </c>
      <c r="E1735" t="s">
        <v>1746</v>
      </c>
      <c r="F1735" t="s"/>
      <c r="G1735" t="s"/>
      <c r="H1735" t="s"/>
      <c r="I1735" t="s"/>
      <c r="J1735" t="n">
        <v>0</v>
      </c>
      <c r="K1735" t="n">
        <v>0</v>
      </c>
      <c r="L1735" t="n">
        <v>1</v>
      </c>
      <c r="M1735" t="n">
        <v>0</v>
      </c>
    </row>
    <row r="1736" spans="1:13">
      <c r="A1736" s="1">
        <f>HYPERLINK("http://www.twitter.com/NathanBLawrence/status/984988177222991873", "984988177222991873")</f>
        <v/>
      </c>
      <c r="B1736" s="2" t="n">
        <v>43204.12101851852</v>
      </c>
      <c r="C1736" t="n">
        <v>0</v>
      </c>
      <c r="D1736" t="n">
        <v>297</v>
      </c>
      <c r="E1736" t="s">
        <v>1747</v>
      </c>
      <c r="F1736">
        <f>HYPERLINK("http://pbs.twimg.com/media/DatD3jfU8AAwxPo.jpg", "http://pbs.twimg.com/media/DatD3jfU8AAwxPo.jpg")</f>
        <v/>
      </c>
      <c r="G1736" t="s"/>
      <c r="H1736" t="s"/>
      <c r="I1736" t="s"/>
      <c r="J1736" t="n">
        <v>0.6249</v>
      </c>
      <c r="K1736" t="n">
        <v>0</v>
      </c>
      <c r="L1736" t="n">
        <v>0.806</v>
      </c>
      <c r="M1736" t="n">
        <v>0.194</v>
      </c>
    </row>
    <row r="1737" spans="1:13">
      <c r="A1737" s="1">
        <f>HYPERLINK("http://www.twitter.com/NathanBLawrence/status/984988046956392450", "984988046956392450")</f>
        <v/>
      </c>
      <c r="B1737" s="2" t="n">
        <v>43204.12065972222</v>
      </c>
      <c r="C1737" t="n">
        <v>0</v>
      </c>
      <c r="D1737" t="n">
        <v>278</v>
      </c>
      <c r="E1737" t="s">
        <v>1748</v>
      </c>
      <c r="F1737">
        <f>HYPERLINK("https://video.twimg.com/ext_tw_video/984983931001982976/pu/vid/352x640/V2LWjxFvst7U7GYe.mp4?tag=2", "https://video.twimg.com/ext_tw_video/984983931001982976/pu/vid/352x640/V2LWjxFvst7U7GYe.mp4?tag=2")</f>
        <v/>
      </c>
      <c r="G1737" t="s"/>
      <c r="H1737" t="s"/>
      <c r="I1737" t="s"/>
      <c r="J1737" t="n">
        <v>0</v>
      </c>
      <c r="K1737" t="n">
        <v>0</v>
      </c>
      <c r="L1737" t="n">
        <v>1</v>
      </c>
      <c r="M1737" t="n">
        <v>0</v>
      </c>
    </row>
    <row r="1738" spans="1:13">
      <c r="A1738" s="1">
        <f>HYPERLINK("http://www.twitter.com/NathanBLawrence/status/984987808984158208", "984987808984158208")</f>
        <v/>
      </c>
      <c r="B1738" s="2" t="n">
        <v>43204.12</v>
      </c>
      <c r="C1738" t="n">
        <v>0</v>
      </c>
      <c r="D1738" t="n">
        <v>7</v>
      </c>
      <c r="E1738" t="s">
        <v>1749</v>
      </c>
      <c r="F1738" t="s"/>
      <c r="G1738" t="s"/>
      <c r="H1738" t="s"/>
      <c r="I1738" t="s"/>
      <c r="J1738" t="n">
        <v>0</v>
      </c>
      <c r="K1738" t="n">
        <v>0</v>
      </c>
      <c r="L1738" t="n">
        <v>1</v>
      </c>
      <c r="M1738" t="n">
        <v>0</v>
      </c>
    </row>
    <row r="1739" spans="1:13">
      <c r="A1739" s="1">
        <f>HYPERLINK("http://www.twitter.com/NathanBLawrence/status/984987696006418432", "984987696006418432")</f>
        <v/>
      </c>
      <c r="B1739" s="2" t="n">
        <v>43204.1196875</v>
      </c>
      <c r="C1739" t="n">
        <v>0</v>
      </c>
      <c r="D1739" t="n">
        <v>40</v>
      </c>
      <c r="E1739" t="s">
        <v>1750</v>
      </c>
      <c r="F1739">
        <f>HYPERLINK("http://pbs.twimg.com/media/Date-ieUMAAUo6j.jpg", "http://pbs.twimg.com/media/Date-ieUMAAUo6j.jpg")</f>
        <v/>
      </c>
      <c r="G1739" t="s"/>
      <c r="H1739" t="s"/>
      <c r="I1739" t="s"/>
      <c r="J1739" t="n">
        <v>-0.128</v>
      </c>
      <c r="K1739" t="n">
        <v>0.13</v>
      </c>
      <c r="L1739" t="n">
        <v>0.87</v>
      </c>
      <c r="M1739" t="n">
        <v>0</v>
      </c>
    </row>
    <row r="1740" spans="1:13">
      <c r="A1740" s="1">
        <f>HYPERLINK("http://www.twitter.com/NathanBLawrence/status/984987259685523456", "984987259685523456")</f>
        <v/>
      </c>
      <c r="B1740" s="2" t="n">
        <v>43204.11848379629</v>
      </c>
      <c r="C1740" t="n">
        <v>0</v>
      </c>
      <c r="D1740" t="n">
        <v>28</v>
      </c>
      <c r="E1740" t="s">
        <v>1751</v>
      </c>
      <c r="F1740" t="s"/>
      <c r="G1740" t="s"/>
      <c r="H1740" t="s"/>
      <c r="I1740" t="s"/>
      <c r="J1740" t="n">
        <v>0</v>
      </c>
      <c r="K1740" t="n">
        <v>0</v>
      </c>
      <c r="L1740" t="n">
        <v>1</v>
      </c>
      <c r="M1740" t="n">
        <v>0</v>
      </c>
    </row>
    <row r="1741" spans="1:13">
      <c r="A1741" s="1">
        <f>HYPERLINK("http://www.twitter.com/NathanBLawrence/status/984987099295354881", "984987099295354881")</f>
        <v/>
      </c>
      <c r="B1741" s="2" t="n">
        <v>43204.11804398148</v>
      </c>
      <c r="C1741" t="n">
        <v>0</v>
      </c>
      <c r="D1741" t="n">
        <v>762</v>
      </c>
      <c r="E1741" t="s">
        <v>1752</v>
      </c>
      <c r="F1741">
        <f>HYPERLINK("http://pbs.twimg.com/media/DatfTigWAAEPZaZ.jpg", "http://pbs.twimg.com/media/DatfTigWAAEPZaZ.jpg")</f>
        <v/>
      </c>
      <c r="G1741" t="s"/>
      <c r="H1741" t="s"/>
      <c r="I1741" t="s"/>
      <c r="J1741" t="n">
        <v>0.5859</v>
      </c>
      <c r="K1741" t="n">
        <v>0.105</v>
      </c>
      <c r="L1741" t="n">
        <v>0.63</v>
      </c>
      <c r="M1741" t="n">
        <v>0.265</v>
      </c>
    </row>
    <row r="1742" spans="1:13">
      <c r="A1742" s="1">
        <f>HYPERLINK("http://www.twitter.com/NathanBLawrence/status/984986585082056704", "984986585082056704")</f>
        <v/>
      </c>
      <c r="B1742" s="2" t="n">
        <v>43204.11662037037</v>
      </c>
      <c r="C1742" t="n">
        <v>0</v>
      </c>
      <c r="D1742" t="n">
        <v>18</v>
      </c>
      <c r="E1742" t="s">
        <v>1753</v>
      </c>
      <c r="F1742">
        <f>HYPERLINK("https://video.twimg.com/amplify_video/984575844143247361/vid/1280x720/SSA403Umgs-naUky.mp4?tag=6", "https://video.twimg.com/amplify_video/984575844143247361/vid/1280x720/SSA403Umgs-naUky.mp4?tag=6")</f>
        <v/>
      </c>
      <c r="G1742" t="s"/>
      <c r="H1742" t="s"/>
      <c r="I1742" t="s"/>
      <c r="J1742" t="n">
        <v>0</v>
      </c>
      <c r="K1742" t="n">
        <v>0</v>
      </c>
      <c r="L1742" t="n">
        <v>1</v>
      </c>
      <c r="M1742" t="n">
        <v>0</v>
      </c>
    </row>
    <row r="1743" spans="1:13">
      <c r="A1743" s="1">
        <f>HYPERLINK("http://www.twitter.com/NathanBLawrence/status/984985836398759936", "984985836398759936")</f>
        <v/>
      </c>
      <c r="B1743" s="2" t="n">
        <v>43204.11456018518</v>
      </c>
      <c r="C1743" t="n">
        <v>0</v>
      </c>
      <c r="D1743" t="n">
        <v>380</v>
      </c>
      <c r="E1743" t="s">
        <v>1754</v>
      </c>
      <c r="F1743">
        <f>HYPERLINK("http://pbs.twimg.com/media/DatdFAOVwAAMSZq.jpg", "http://pbs.twimg.com/media/DatdFAOVwAAMSZq.jpg")</f>
        <v/>
      </c>
      <c r="G1743" t="s"/>
      <c r="H1743" t="s"/>
      <c r="I1743" t="s"/>
      <c r="J1743" t="n">
        <v>-0.5266999999999999</v>
      </c>
      <c r="K1743" t="n">
        <v>0.167</v>
      </c>
      <c r="L1743" t="n">
        <v>0.833</v>
      </c>
      <c r="M1743" t="n">
        <v>0</v>
      </c>
    </row>
    <row r="1744" spans="1:13">
      <c r="A1744" s="1">
        <f>HYPERLINK("http://www.twitter.com/NathanBLawrence/status/984985492897914881", "984985492897914881")</f>
        <v/>
      </c>
      <c r="B1744" s="2" t="n">
        <v>43204.11361111111</v>
      </c>
      <c r="C1744" t="n">
        <v>0</v>
      </c>
      <c r="D1744" t="n">
        <v>906</v>
      </c>
      <c r="E1744" t="s">
        <v>1755</v>
      </c>
      <c r="F1744">
        <f>HYPERLINK("http://pbs.twimg.com/media/Das0rckVQAE3M_K.jpg", "http://pbs.twimg.com/media/Das0rckVQAE3M_K.jpg")</f>
        <v/>
      </c>
      <c r="G1744" t="s"/>
      <c r="H1744" t="s"/>
      <c r="I1744" t="s"/>
      <c r="J1744" t="n">
        <v>0.4939</v>
      </c>
      <c r="K1744" t="n">
        <v>0</v>
      </c>
      <c r="L1744" t="n">
        <v>0.856</v>
      </c>
      <c r="M1744" t="n">
        <v>0.144</v>
      </c>
    </row>
    <row r="1745" spans="1:13">
      <c r="A1745" s="1">
        <f>HYPERLINK("http://www.twitter.com/NathanBLawrence/status/984985310256881664", "984985310256881664")</f>
        <v/>
      </c>
      <c r="B1745" s="2" t="n">
        <v>43204.11310185185</v>
      </c>
      <c r="C1745" t="n">
        <v>0</v>
      </c>
      <c r="D1745" t="n">
        <v>645</v>
      </c>
      <c r="E1745" t="s">
        <v>1756</v>
      </c>
      <c r="F1745" t="s"/>
      <c r="G1745" t="s"/>
      <c r="H1745" t="s"/>
      <c r="I1745" t="s"/>
      <c r="J1745" t="n">
        <v>-0.5423</v>
      </c>
      <c r="K1745" t="n">
        <v>0.149</v>
      </c>
      <c r="L1745" t="n">
        <v>0.851</v>
      </c>
      <c r="M1745" t="n">
        <v>0</v>
      </c>
    </row>
    <row r="1746" spans="1:13">
      <c r="A1746" s="1">
        <f>HYPERLINK("http://www.twitter.com/NathanBLawrence/status/984985086390099968", "984985086390099968")</f>
        <v/>
      </c>
      <c r="B1746" s="2" t="n">
        <v>43204.11248842593</v>
      </c>
      <c r="C1746" t="n">
        <v>0</v>
      </c>
      <c r="D1746" t="n">
        <v>18</v>
      </c>
      <c r="E1746" t="s">
        <v>1757</v>
      </c>
      <c r="F1746">
        <f>HYPERLINK("http://pbs.twimg.com/media/DateGW1W4AIM1z4.jpg", "http://pbs.twimg.com/media/DateGW1W4AIM1z4.jpg")</f>
        <v/>
      </c>
      <c r="G1746" t="s"/>
      <c r="H1746" t="s"/>
      <c r="I1746" t="s"/>
      <c r="J1746" t="n">
        <v>-0.8176</v>
      </c>
      <c r="K1746" t="n">
        <v>0.347</v>
      </c>
      <c r="L1746" t="n">
        <v>0.653</v>
      </c>
      <c r="M1746" t="n">
        <v>0</v>
      </c>
    </row>
    <row r="1747" spans="1:13">
      <c r="A1747" s="1">
        <f>HYPERLINK("http://www.twitter.com/NathanBLawrence/status/984984903925358592", "984984903925358592")</f>
        <v/>
      </c>
      <c r="B1747" s="2" t="n">
        <v>43204.11197916666</v>
      </c>
      <c r="C1747" t="n">
        <v>0</v>
      </c>
      <c r="D1747" t="n">
        <v>639</v>
      </c>
      <c r="E1747" t="s">
        <v>1758</v>
      </c>
      <c r="F1747">
        <f>HYPERLINK("http://pbs.twimg.com/media/DatddzaV4AAwi_8.jpg", "http://pbs.twimg.com/media/DatddzaV4AAwi_8.jpg")</f>
        <v/>
      </c>
      <c r="G1747" t="s"/>
      <c r="H1747" t="s"/>
      <c r="I1747" t="s"/>
      <c r="J1747" t="n">
        <v>-0.3612</v>
      </c>
      <c r="K1747" t="n">
        <v>0.121</v>
      </c>
      <c r="L1747" t="n">
        <v>0.8169999999999999</v>
      </c>
      <c r="M1747" t="n">
        <v>0.062</v>
      </c>
    </row>
    <row r="1748" spans="1:13">
      <c r="A1748" s="1">
        <f>HYPERLINK("http://www.twitter.com/NathanBLawrence/status/984984797406814209", "984984797406814209")</f>
        <v/>
      </c>
      <c r="B1748" s="2" t="n">
        <v>43204.11168981482</v>
      </c>
      <c r="C1748" t="n">
        <v>0</v>
      </c>
      <c r="D1748" t="n">
        <v>62</v>
      </c>
      <c r="E1748" t="s">
        <v>1759</v>
      </c>
      <c r="F1748">
        <f>HYPERLINK("http://pbs.twimg.com/media/DatduQmW0AAtB6x.jpg", "http://pbs.twimg.com/media/DatduQmW0AAtB6x.jpg")</f>
        <v/>
      </c>
      <c r="G1748" t="s"/>
      <c r="H1748" t="s"/>
      <c r="I1748" t="s"/>
      <c r="J1748" t="n">
        <v>0.4588</v>
      </c>
      <c r="K1748" t="n">
        <v>0</v>
      </c>
      <c r="L1748" t="n">
        <v>0.625</v>
      </c>
      <c r="M1748" t="n">
        <v>0.375</v>
      </c>
    </row>
    <row r="1749" spans="1:13">
      <c r="A1749" s="1">
        <f>HYPERLINK("http://www.twitter.com/NathanBLawrence/status/984984683774607360", "984984683774607360")</f>
        <v/>
      </c>
      <c r="B1749" s="2" t="n">
        <v>43204.11137731482</v>
      </c>
      <c r="C1749" t="n">
        <v>0</v>
      </c>
      <c r="D1749" t="n">
        <v>16</v>
      </c>
      <c r="E1749" t="s">
        <v>1760</v>
      </c>
      <c r="F1749" t="s"/>
      <c r="G1749" t="s"/>
      <c r="H1749" t="s"/>
      <c r="I1749" t="s"/>
      <c r="J1749" t="n">
        <v>0.3182</v>
      </c>
      <c r="K1749" t="n">
        <v>0</v>
      </c>
      <c r="L1749" t="n">
        <v>0.892</v>
      </c>
      <c r="M1749" t="n">
        <v>0.108</v>
      </c>
    </row>
    <row r="1750" spans="1:13">
      <c r="A1750" s="1">
        <f>HYPERLINK("http://www.twitter.com/NathanBLawrence/status/984984588656267266", "984984588656267266")</f>
        <v/>
      </c>
      <c r="B1750" s="2" t="n">
        <v>43204.11111111111</v>
      </c>
      <c r="C1750" t="n">
        <v>0</v>
      </c>
      <c r="D1750" t="n">
        <v>2338</v>
      </c>
      <c r="E1750" t="s">
        <v>1761</v>
      </c>
      <c r="F1750">
        <f>HYPERLINK("http://pbs.twimg.com/media/DarE2HTW0AEmA9B.jpg", "http://pbs.twimg.com/media/DarE2HTW0AEmA9B.jpg")</f>
        <v/>
      </c>
      <c r="G1750" t="s"/>
      <c r="H1750" t="s"/>
      <c r="I1750" t="s"/>
      <c r="J1750" t="n">
        <v>0</v>
      </c>
      <c r="K1750" t="n">
        <v>0</v>
      </c>
      <c r="L1750" t="n">
        <v>1</v>
      </c>
      <c r="M1750" t="n">
        <v>0</v>
      </c>
    </row>
    <row r="1751" spans="1:13">
      <c r="A1751" s="1">
        <f>HYPERLINK("http://www.twitter.com/NathanBLawrence/status/984984060559790080", "984984060559790080")</f>
        <v/>
      </c>
      <c r="B1751" s="2" t="n">
        <v>43204.10965277778</v>
      </c>
      <c r="C1751" t="n">
        <v>0</v>
      </c>
      <c r="D1751" t="n">
        <v>2487</v>
      </c>
      <c r="E1751" t="s">
        <v>1762</v>
      </c>
      <c r="F1751" t="s"/>
      <c r="G1751" t="s"/>
      <c r="H1751" t="s"/>
      <c r="I1751" t="s"/>
      <c r="J1751" t="n">
        <v>0</v>
      </c>
      <c r="K1751" t="n">
        <v>0</v>
      </c>
      <c r="L1751" t="n">
        <v>1</v>
      </c>
      <c r="M1751" t="n">
        <v>0</v>
      </c>
    </row>
    <row r="1752" spans="1:13">
      <c r="A1752" s="1">
        <f>HYPERLINK("http://www.twitter.com/NathanBLawrence/status/984983742015033344", "984983742015033344")</f>
        <v/>
      </c>
      <c r="B1752" s="2" t="n">
        <v>43204.10877314815</v>
      </c>
      <c r="C1752" t="n">
        <v>0</v>
      </c>
      <c r="D1752" t="n">
        <v>2</v>
      </c>
      <c r="E1752" t="s">
        <v>1763</v>
      </c>
      <c r="F1752" t="s"/>
      <c r="G1752" t="s"/>
      <c r="H1752" t="s"/>
      <c r="I1752" t="s"/>
      <c r="J1752" t="n">
        <v>-0.2003</v>
      </c>
      <c r="K1752" t="n">
        <v>0.091</v>
      </c>
      <c r="L1752" t="n">
        <v>0.909</v>
      </c>
      <c r="M1752" t="n">
        <v>0</v>
      </c>
    </row>
    <row r="1753" spans="1:13">
      <c r="A1753" s="1">
        <f>HYPERLINK("http://www.twitter.com/NathanBLawrence/status/984983669281624064", "984983669281624064")</f>
        <v/>
      </c>
      <c r="B1753" s="2" t="n">
        <v>43204.10857638889</v>
      </c>
      <c r="C1753" t="n">
        <v>0</v>
      </c>
      <c r="D1753" t="n">
        <v>530</v>
      </c>
      <c r="E1753" t="s">
        <v>1764</v>
      </c>
      <c r="F1753">
        <f>HYPERLINK("http://pbs.twimg.com/media/DatZwbPWsAAXGoo.jpg", "http://pbs.twimg.com/media/DatZwbPWsAAXGoo.jpg")</f>
        <v/>
      </c>
      <c r="G1753" t="s"/>
      <c r="H1753" t="s"/>
      <c r="I1753" t="s"/>
      <c r="J1753" t="n">
        <v>-0.3612</v>
      </c>
      <c r="K1753" t="n">
        <v>0.102</v>
      </c>
      <c r="L1753" t="n">
        <v>0.898</v>
      </c>
      <c r="M1753" t="n">
        <v>0</v>
      </c>
    </row>
    <row r="1754" spans="1:13">
      <c r="A1754" s="1">
        <f>HYPERLINK("http://www.twitter.com/NathanBLawrence/status/984983042275016704", "984983042275016704")</f>
        <v/>
      </c>
      <c r="B1754" s="2" t="n">
        <v>43204.10685185185</v>
      </c>
      <c r="C1754" t="n">
        <v>0</v>
      </c>
      <c r="D1754" t="n">
        <v>4</v>
      </c>
      <c r="E1754" t="s">
        <v>1765</v>
      </c>
      <c r="F1754" t="s"/>
      <c r="G1754" t="s"/>
      <c r="H1754" t="s"/>
      <c r="I1754" t="s"/>
      <c r="J1754" t="n">
        <v>-0.1847</v>
      </c>
      <c r="K1754" t="n">
        <v>0.142</v>
      </c>
      <c r="L1754" t="n">
        <v>0.756</v>
      </c>
      <c r="M1754" t="n">
        <v>0.103</v>
      </c>
    </row>
    <row r="1755" spans="1:13">
      <c r="A1755" s="1">
        <f>HYPERLINK("http://www.twitter.com/NathanBLawrence/status/984982930287136768", "984982930287136768")</f>
        <v/>
      </c>
      <c r="B1755" s="2" t="n">
        <v>43204.10653935185</v>
      </c>
      <c r="C1755" t="n">
        <v>0</v>
      </c>
      <c r="D1755" t="n">
        <v>518</v>
      </c>
      <c r="E1755" t="s">
        <v>1766</v>
      </c>
      <c r="F1755" t="s"/>
      <c r="G1755" t="s"/>
      <c r="H1755" t="s"/>
      <c r="I1755" t="s"/>
      <c r="J1755" t="n">
        <v>0.7644</v>
      </c>
      <c r="K1755" t="n">
        <v>0</v>
      </c>
      <c r="L1755" t="n">
        <v>0.703</v>
      </c>
      <c r="M1755" t="n">
        <v>0.297</v>
      </c>
    </row>
    <row r="1756" spans="1:13">
      <c r="A1756" s="1">
        <f>HYPERLINK("http://www.twitter.com/NathanBLawrence/status/984982857536950273", "984982857536950273")</f>
        <v/>
      </c>
      <c r="B1756" s="2" t="n">
        <v>43204.10633101852</v>
      </c>
      <c r="C1756" t="n">
        <v>0</v>
      </c>
      <c r="D1756" t="n">
        <v>8148</v>
      </c>
      <c r="E1756" t="s">
        <v>1767</v>
      </c>
      <c r="F1756" t="s"/>
      <c r="G1756" t="s"/>
      <c r="H1756" t="s"/>
      <c r="I1756" t="s"/>
      <c r="J1756" t="n">
        <v>0.7096</v>
      </c>
      <c r="K1756" t="n">
        <v>0</v>
      </c>
      <c r="L1756" t="n">
        <v>0.789</v>
      </c>
      <c r="M1756" t="n">
        <v>0.211</v>
      </c>
    </row>
    <row r="1757" spans="1:13">
      <c r="A1757" s="1">
        <f>HYPERLINK("http://www.twitter.com/NathanBLawrence/status/984982634844643328", "984982634844643328")</f>
        <v/>
      </c>
      <c r="B1757" s="2" t="n">
        <v>43204.1057175926</v>
      </c>
      <c r="C1757" t="n">
        <v>0</v>
      </c>
      <c r="D1757" t="n">
        <v>98</v>
      </c>
      <c r="E1757" t="s">
        <v>1768</v>
      </c>
      <c r="F1757" t="s"/>
      <c r="G1757" t="s"/>
      <c r="H1757" t="s"/>
      <c r="I1757" t="s"/>
      <c r="J1757" t="n">
        <v>-0.3612</v>
      </c>
      <c r="K1757" t="n">
        <v>0.135</v>
      </c>
      <c r="L1757" t="n">
        <v>0.865</v>
      </c>
      <c r="M1757" t="n">
        <v>0</v>
      </c>
    </row>
    <row r="1758" spans="1:13">
      <c r="A1758" s="1">
        <f>HYPERLINK("http://www.twitter.com/NathanBLawrence/status/984982139178450946", "984982139178450946")</f>
        <v/>
      </c>
      <c r="B1758" s="2" t="n">
        <v>43204.10435185185</v>
      </c>
      <c r="C1758" t="n">
        <v>0</v>
      </c>
      <c r="D1758" t="n">
        <v>174</v>
      </c>
      <c r="E1758" t="s">
        <v>1769</v>
      </c>
      <c r="F1758">
        <f>HYPERLINK("http://pbs.twimg.com/media/DatZbGEVQAED3Yw.jpg", "http://pbs.twimg.com/media/DatZbGEVQAED3Yw.jpg")</f>
        <v/>
      </c>
      <c r="G1758" t="s"/>
      <c r="H1758" t="s"/>
      <c r="I1758" t="s"/>
      <c r="J1758" t="n">
        <v>0.743</v>
      </c>
      <c r="K1758" t="n">
        <v>0</v>
      </c>
      <c r="L1758" t="n">
        <v>0.759</v>
      </c>
      <c r="M1758" t="n">
        <v>0.241</v>
      </c>
    </row>
    <row r="1759" spans="1:13">
      <c r="A1759" s="1">
        <f>HYPERLINK("http://www.twitter.com/NathanBLawrence/status/984982002108715008", "984982002108715008")</f>
        <v/>
      </c>
      <c r="B1759" s="2" t="n">
        <v>43204.10398148148</v>
      </c>
      <c r="C1759" t="n">
        <v>0</v>
      </c>
      <c r="D1759" t="n">
        <v>10</v>
      </c>
      <c r="E1759" t="s">
        <v>1770</v>
      </c>
      <c r="F1759" t="s"/>
      <c r="G1759" t="s"/>
      <c r="H1759" t="s"/>
      <c r="I1759" t="s"/>
      <c r="J1759" t="n">
        <v>0.1779</v>
      </c>
      <c r="K1759" t="n">
        <v>0.131</v>
      </c>
      <c r="L1759" t="n">
        <v>0.704</v>
      </c>
      <c r="M1759" t="n">
        <v>0.166</v>
      </c>
    </row>
    <row r="1760" spans="1:13">
      <c r="A1760" s="1">
        <f>HYPERLINK("http://www.twitter.com/NathanBLawrence/status/984981842850930688", "984981842850930688")</f>
        <v/>
      </c>
      <c r="B1760" s="2" t="n">
        <v>43204.10354166666</v>
      </c>
      <c r="C1760" t="n">
        <v>0</v>
      </c>
      <c r="D1760" t="n">
        <v>67</v>
      </c>
      <c r="E1760" t="s">
        <v>1771</v>
      </c>
      <c r="F1760" t="s"/>
      <c r="G1760" t="s"/>
      <c r="H1760" t="s"/>
      <c r="I1760" t="s"/>
      <c r="J1760" t="n">
        <v>0.7506</v>
      </c>
      <c r="K1760" t="n">
        <v>0</v>
      </c>
      <c r="L1760" t="n">
        <v>0.726</v>
      </c>
      <c r="M1760" t="n">
        <v>0.274</v>
      </c>
    </row>
    <row r="1761" spans="1:13">
      <c r="A1761" s="1">
        <f>HYPERLINK("http://www.twitter.com/NathanBLawrence/status/984980479769235456", "984980479769235456")</f>
        <v/>
      </c>
      <c r="B1761" s="2" t="n">
        <v>43204.09978009259</v>
      </c>
      <c r="C1761" t="n">
        <v>0</v>
      </c>
      <c r="D1761" t="n">
        <v>217</v>
      </c>
      <c r="E1761" t="s">
        <v>1772</v>
      </c>
      <c r="F1761" t="s"/>
      <c r="G1761" t="s"/>
      <c r="H1761" t="s"/>
      <c r="I1761" t="s"/>
      <c r="J1761" t="n">
        <v>-0.1027</v>
      </c>
      <c r="K1761" t="n">
        <v>0.089</v>
      </c>
      <c r="L1761" t="n">
        <v>0.842</v>
      </c>
      <c r="M1761" t="n">
        <v>0.068</v>
      </c>
    </row>
    <row r="1762" spans="1:13">
      <c r="A1762" s="1">
        <f>HYPERLINK("http://www.twitter.com/NathanBLawrence/status/984980176026161153", "984980176026161153")</f>
        <v/>
      </c>
      <c r="B1762" s="2" t="n">
        <v>43204.09893518518</v>
      </c>
      <c r="C1762" t="n">
        <v>0</v>
      </c>
      <c r="D1762" t="n">
        <v>7</v>
      </c>
      <c r="E1762" t="s">
        <v>1773</v>
      </c>
      <c r="F1762">
        <f>HYPERLINK("http://pbs.twimg.com/media/DatTo8EW0AACsuo.jpg", "http://pbs.twimg.com/media/DatTo8EW0AACsuo.jpg")</f>
        <v/>
      </c>
      <c r="G1762" t="s"/>
      <c r="H1762" t="s"/>
      <c r="I1762" t="s"/>
      <c r="J1762" t="n">
        <v>-0.7906</v>
      </c>
      <c r="K1762" t="n">
        <v>0.276</v>
      </c>
      <c r="L1762" t="n">
        <v>0.724</v>
      </c>
      <c r="M1762" t="n">
        <v>0</v>
      </c>
    </row>
    <row r="1763" spans="1:13">
      <c r="A1763" s="1">
        <f>HYPERLINK("http://www.twitter.com/NathanBLawrence/status/984980021927469056", "984980021927469056")</f>
        <v/>
      </c>
      <c r="B1763" s="2" t="n">
        <v>43204.09850694444</v>
      </c>
      <c r="C1763" t="n">
        <v>0</v>
      </c>
      <c r="D1763" t="n">
        <v>53</v>
      </c>
      <c r="E1763" t="s">
        <v>1774</v>
      </c>
      <c r="F1763">
        <f>HYPERLINK("http://pbs.twimg.com/media/DatVtjHX0AA4A7e.jpg", "http://pbs.twimg.com/media/DatVtjHX0AA4A7e.jpg")</f>
        <v/>
      </c>
      <c r="G1763" t="s"/>
      <c r="H1763" t="s"/>
      <c r="I1763" t="s"/>
      <c r="J1763" t="n">
        <v>0</v>
      </c>
      <c r="K1763" t="n">
        <v>0</v>
      </c>
      <c r="L1763" t="n">
        <v>1</v>
      </c>
      <c r="M1763" t="n">
        <v>0</v>
      </c>
    </row>
    <row r="1764" spans="1:13">
      <c r="A1764" s="1">
        <f>HYPERLINK("http://www.twitter.com/NathanBLawrence/status/984979608071262208", "984979608071262208")</f>
        <v/>
      </c>
      <c r="B1764" s="2" t="n">
        <v>43204.09737268519</v>
      </c>
      <c r="C1764" t="n">
        <v>0</v>
      </c>
      <c r="D1764" t="n">
        <v>31</v>
      </c>
      <c r="E1764" t="s">
        <v>1775</v>
      </c>
      <c r="F1764" t="s"/>
      <c r="G1764" t="s"/>
      <c r="H1764" t="s"/>
      <c r="I1764" t="s"/>
      <c r="J1764" t="n">
        <v>0</v>
      </c>
      <c r="K1764" t="n">
        <v>0</v>
      </c>
      <c r="L1764" t="n">
        <v>1</v>
      </c>
      <c r="M1764" t="n">
        <v>0</v>
      </c>
    </row>
    <row r="1765" spans="1:13">
      <c r="A1765" s="1">
        <f>HYPERLINK("http://www.twitter.com/NathanBLawrence/status/984979285567033344", "984979285567033344")</f>
        <v/>
      </c>
      <c r="B1765" s="2" t="n">
        <v>43204.09648148148</v>
      </c>
      <c r="C1765" t="n">
        <v>0</v>
      </c>
      <c r="D1765" t="n">
        <v>28</v>
      </c>
      <c r="E1765" t="s">
        <v>1776</v>
      </c>
      <c r="F1765" t="s"/>
      <c r="G1765" t="s"/>
      <c r="H1765" t="s"/>
      <c r="I1765" t="s"/>
      <c r="J1765" t="n">
        <v>-0.3612</v>
      </c>
      <c r="K1765" t="n">
        <v>0.185</v>
      </c>
      <c r="L1765" t="n">
        <v>0.8149999999999999</v>
      </c>
      <c r="M1765" t="n">
        <v>0</v>
      </c>
    </row>
    <row r="1766" spans="1:13">
      <c r="A1766" s="1">
        <f>HYPERLINK("http://www.twitter.com/NathanBLawrence/status/984975927540092928", "984975927540092928")</f>
        <v/>
      </c>
      <c r="B1766" s="2" t="n">
        <v>43204.08721064815</v>
      </c>
      <c r="C1766" t="n">
        <v>0</v>
      </c>
      <c r="D1766" t="n">
        <v>911</v>
      </c>
      <c r="E1766" t="s">
        <v>1777</v>
      </c>
      <c r="F1766">
        <f>HYPERLINK("http://pbs.twimg.com/media/DatO5f1WkAIwydV.jpg", "http://pbs.twimg.com/media/DatO5f1WkAIwydV.jpg")</f>
        <v/>
      </c>
      <c r="G1766" t="s"/>
      <c r="H1766" t="s"/>
      <c r="I1766" t="s"/>
      <c r="J1766" t="n">
        <v>0.7845</v>
      </c>
      <c r="K1766" t="n">
        <v>0</v>
      </c>
      <c r="L1766" t="n">
        <v>0.6830000000000001</v>
      </c>
      <c r="M1766" t="n">
        <v>0.317</v>
      </c>
    </row>
    <row r="1767" spans="1:13">
      <c r="A1767" s="1">
        <f>HYPERLINK("http://www.twitter.com/NathanBLawrence/status/984975864264822784", "984975864264822784")</f>
        <v/>
      </c>
      <c r="B1767" s="2" t="n">
        <v>43204.08703703704</v>
      </c>
      <c r="C1767" t="n">
        <v>0</v>
      </c>
      <c r="D1767" t="n">
        <v>12</v>
      </c>
      <c r="E1767" t="s">
        <v>1778</v>
      </c>
      <c r="F1767">
        <f>HYPERLINK("http://pbs.twimg.com/media/DatRjqoVAAACRbz.jpg", "http://pbs.twimg.com/media/DatRjqoVAAACRbz.jpg")</f>
        <v/>
      </c>
      <c r="G1767" t="s"/>
      <c r="H1767" t="s"/>
      <c r="I1767" t="s"/>
      <c r="J1767" t="n">
        <v>0.4926</v>
      </c>
      <c r="K1767" t="n">
        <v>0</v>
      </c>
      <c r="L1767" t="n">
        <v>0.878</v>
      </c>
      <c r="M1767" t="n">
        <v>0.122</v>
      </c>
    </row>
    <row r="1768" spans="1:13">
      <c r="A1768" s="1">
        <f>HYPERLINK("http://www.twitter.com/NathanBLawrence/status/984975643053035520", "984975643053035520")</f>
        <v/>
      </c>
      <c r="B1768" s="2" t="n">
        <v>43204.08642361111</v>
      </c>
      <c r="C1768" t="n">
        <v>0</v>
      </c>
      <c r="D1768" t="n">
        <v>34</v>
      </c>
      <c r="E1768" t="s">
        <v>1779</v>
      </c>
      <c r="F1768" t="s"/>
      <c r="G1768" t="s"/>
      <c r="H1768" t="s"/>
      <c r="I1768" t="s"/>
      <c r="J1768" t="n">
        <v>-0.2003</v>
      </c>
      <c r="K1768" t="n">
        <v>0.121</v>
      </c>
      <c r="L1768" t="n">
        <v>0.879</v>
      </c>
      <c r="M1768" t="n">
        <v>0</v>
      </c>
    </row>
    <row r="1769" spans="1:13">
      <c r="A1769" s="1">
        <f>HYPERLINK("http://www.twitter.com/NathanBLawrence/status/984975595732979712", "984975595732979712")</f>
        <v/>
      </c>
      <c r="B1769" s="2" t="n">
        <v>43204.08629629629</v>
      </c>
      <c r="C1769" t="n">
        <v>0</v>
      </c>
      <c r="D1769" t="n">
        <v>1216</v>
      </c>
      <c r="E1769" t="s">
        <v>1780</v>
      </c>
      <c r="F1769">
        <f>HYPERLINK("http://pbs.twimg.com/media/DatSMJbVAAA03Br.jpg", "http://pbs.twimg.com/media/DatSMJbVAAA03Br.jpg")</f>
        <v/>
      </c>
      <c r="G1769" t="s"/>
      <c r="H1769" t="s"/>
      <c r="I1769" t="s"/>
      <c r="J1769" t="n">
        <v>0.2263</v>
      </c>
      <c r="K1769" t="n">
        <v>0</v>
      </c>
      <c r="L1769" t="n">
        <v>0.725</v>
      </c>
      <c r="M1769" t="n">
        <v>0.275</v>
      </c>
    </row>
    <row r="1770" spans="1:13">
      <c r="A1770" s="1">
        <f>HYPERLINK("http://www.twitter.com/NathanBLawrence/status/984975439071514624", "984975439071514624")</f>
        <v/>
      </c>
      <c r="B1770" s="2" t="n">
        <v>43204.08586805555</v>
      </c>
      <c r="C1770" t="n">
        <v>0</v>
      </c>
      <c r="D1770" t="n">
        <v>85</v>
      </c>
      <c r="E1770" t="s">
        <v>1781</v>
      </c>
      <c r="F1770" t="s"/>
      <c r="G1770" t="s"/>
      <c r="H1770" t="s"/>
      <c r="I1770" t="s"/>
      <c r="J1770" t="n">
        <v>0.2732</v>
      </c>
      <c r="K1770" t="n">
        <v>0.138</v>
      </c>
      <c r="L1770" t="n">
        <v>0.6899999999999999</v>
      </c>
      <c r="M1770" t="n">
        <v>0.172</v>
      </c>
    </row>
    <row r="1771" spans="1:13">
      <c r="A1771" s="1">
        <f>HYPERLINK("http://www.twitter.com/NathanBLawrence/status/984975200277139457", "984975200277139457")</f>
        <v/>
      </c>
      <c r="B1771" s="2" t="n">
        <v>43204.08520833333</v>
      </c>
      <c r="C1771" t="n">
        <v>0</v>
      </c>
      <c r="D1771" t="n">
        <v>4</v>
      </c>
      <c r="E1771" t="s">
        <v>1782</v>
      </c>
      <c r="F1771" t="s"/>
      <c r="G1771" t="s"/>
      <c r="H1771" t="s"/>
      <c r="I1771" t="s"/>
      <c r="J1771" t="n">
        <v>0.5473</v>
      </c>
      <c r="K1771" t="n">
        <v>0</v>
      </c>
      <c r="L1771" t="n">
        <v>0.8090000000000001</v>
      </c>
      <c r="M1771" t="n">
        <v>0.191</v>
      </c>
    </row>
    <row r="1772" spans="1:13">
      <c r="A1772" s="1">
        <f>HYPERLINK("http://www.twitter.com/NathanBLawrence/status/984975164537495552", "984975164537495552")</f>
        <v/>
      </c>
      <c r="B1772" s="2" t="n">
        <v>43204.08510416667</v>
      </c>
      <c r="C1772" t="n">
        <v>0</v>
      </c>
      <c r="D1772" t="n">
        <v>297</v>
      </c>
      <c r="E1772" t="s">
        <v>1783</v>
      </c>
      <c r="F1772">
        <f>HYPERLINK("http://pbs.twimg.com/media/DatRb-HUQAIAd99.jpg", "http://pbs.twimg.com/media/DatRb-HUQAIAd99.jpg")</f>
        <v/>
      </c>
      <c r="G1772" t="s"/>
      <c r="H1772" t="s"/>
      <c r="I1772" t="s"/>
      <c r="J1772" t="n">
        <v>-0.4201</v>
      </c>
      <c r="K1772" t="n">
        <v>0.157</v>
      </c>
      <c r="L1772" t="n">
        <v>0.843</v>
      </c>
      <c r="M1772" t="n">
        <v>0</v>
      </c>
    </row>
    <row r="1773" spans="1:13">
      <c r="A1773" s="1">
        <f>HYPERLINK("http://www.twitter.com/NathanBLawrence/status/984972903954427904", "984972903954427904")</f>
        <v/>
      </c>
      <c r="B1773" s="2" t="n">
        <v>43204.07886574074</v>
      </c>
      <c r="C1773" t="n">
        <v>0</v>
      </c>
      <c r="D1773" t="n">
        <v>23</v>
      </c>
      <c r="E1773" t="s">
        <v>1784</v>
      </c>
      <c r="F1773">
        <f>HYPERLINK("https://video.twimg.com/ext_tw_video/984962962187259904/pu/vid/178x320/FeNgHH-Lp07ncUxQ.mp4?tag=2", "https://video.twimg.com/ext_tw_video/984962962187259904/pu/vid/178x320/FeNgHH-Lp07ncUxQ.mp4?tag=2")</f>
        <v/>
      </c>
      <c r="G1773" t="s"/>
      <c r="H1773" t="s"/>
      <c r="I1773" t="s"/>
      <c r="J1773" t="n">
        <v>0.128</v>
      </c>
      <c r="K1773" t="n">
        <v>0</v>
      </c>
      <c r="L1773" t="n">
        <v>0.923</v>
      </c>
      <c r="M1773" t="n">
        <v>0.077</v>
      </c>
    </row>
    <row r="1774" spans="1:13">
      <c r="A1774" s="1">
        <f>HYPERLINK("http://www.twitter.com/NathanBLawrence/status/984971184025554944", "984971184025554944")</f>
        <v/>
      </c>
      <c r="B1774" s="2" t="n">
        <v>43204.07412037037</v>
      </c>
      <c r="C1774" t="n">
        <v>0</v>
      </c>
      <c r="D1774" t="n">
        <v>1307</v>
      </c>
      <c r="E1774" t="s">
        <v>1785</v>
      </c>
      <c r="F1774" t="s"/>
      <c r="G1774" t="s"/>
      <c r="H1774" t="s"/>
      <c r="I1774" t="s"/>
      <c r="J1774" t="n">
        <v>-0.4824</v>
      </c>
      <c r="K1774" t="n">
        <v>0.511</v>
      </c>
      <c r="L1774" t="n">
        <v>0.489</v>
      </c>
      <c r="M1774" t="n">
        <v>0</v>
      </c>
    </row>
    <row r="1775" spans="1:13">
      <c r="A1775" s="1">
        <f>HYPERLINK("http://www.twitter.com/NathanBLawrence/status/984970962922885120", "984970962922885120")</f>
        <v/>
      </c>
      <c r="B1775" s="2" t="n">
        <v>43204.07351851852</v>
      </c>
      <c r="C1775" t="n">
        <v>0</v>
      </c>
      <c r="D1775" t="n">
        <v>962</v>
      </c>
      <c r="E1775" t="s">
        <v>1786</v>
      </c>
      <c r="F1775" t="s"/>
      <c r="G1775" t="s"/>
      <c r="H1775" t="s"/>
      <c r="I1775" t="s"/>
      <c r="J1775" t="n">
        <v>-0.4374</v>
      </c>
      <c r="K1775" t="n">
        <v>0.245</v>
      </c>
      <c r="L1775" t="n">
        <v>0.623</v>
      </c>
      <c r="M1775" t="n">
        <v>0.132</v>
      </c>
    </row>
    <row r="1776" spans="1:13">
      <c r="A1776" s="1">
        <f>HYPERLINK("http://www.twitter.com/NathanBLawrence/status/984867249935867909", "984867249935867909")</f>
        <v/>
      </c>
      <c r="B1776" s="2" t="n">
        <v>43203.78731481481</v>
      </c>
      <c r="C1776" t="n">
        <v>0</v>
      </c>
      <c r="D1776" t="n">
        <v>449</v>
      </c>
      <c r="E1776" t="s">
        <v>1787</v>
      </c>
      <c r="F1776" t="s"/>
      <c r="G1776" t="s"/>
      <c r="H1776" t="s"/>
      <c r="I1776" t="s"/>
      <c r="J1776" t="n">
        <v>0</v>
      </c>
      <c r="K1776" t="n">
        <v>0</v>
      </c>
      <c r="L1776" t="n">
        <v>1</v>
      </c>
      <c r="M1776" t="n">
        <v>0</v>
      </c>
    </row>
    <row r="1777" spans="1:13">
      <c r="A1777" s="1">
        <f>HYPERLINK("http://www.twitter.com/NathanBLawrence/status/984866940400340992", "984866940400340992")</f>
        <v/>
      </c>
      <c r="B1777" s="2" t="n">
        <v>43203.78646990741</v>
      </c>
      <c r="C1777" t="n">
        <v>0</v>
      </c>
      <c r="D1777" t="n">
        <v>16098</v>
      </c>
      <c r="E1777" t="s">
        <v>1788</v>
      </c>
      <c r="F1777" t="s"/>
      <c r="G1777" t="s"/>
      <c r="H1777" t="s"/>
      <c r="I1777" t="s"/>
      <c r="J1777" t="n">
        <v>-0.8316</v>
      </c>
      <c r="K1777" t="n">
        <v>0.317</v>
      </c>
      <c r="L1777" t="n">
        <v>0.6830000000000001</v>
      </c>
      <c r="M1777" t="n">
        <v>0</v>
      </c>
    </row>
    <row r="1778" spans="1:13">
      <c r="A1778" s="1">
        <f>HYPERLINK("http://www.twitter.com/NathanBLawrence/status/984865852670578689", "984865852670578689")</f>
        <v/>
      </c>
      <c r="B1778" s="2" t="n">
        <v>43203.78346064815</v>
      </c>
      <c r="C1778" t="n">
        <v>0</v>
      </c>
      <c r="D1778" t="n">
        <v>25</v>
      </c>
      <c r="E1778" t="s">
        <v>1789</v>
      </c>
      <c r="F1778" t="s"/>
      <c r="G1778" t="s"/>
      <c r="H1778" t="s"/>
      <c r="I1778" t="s"/>
      <c r="J1778" t="n">
        <v>0.5696</v>
      </c>
      <c r="K1778" t="n">
        <v>0</v>
      </c>
      <c r="L1778" t="n">
        <v>0.862</v>
      </c>
      <c r="M1778" t="n">
        <v>0.138</v>
      </c>
    </row>
    <row r="1779" spans="1:13">
      <c r="A1779" s="1">
        <f>HYPERLINK("http://www.twitter.com/NathanBLawrence/status/984792112435785729", "984792112435785729")</f>
        <v/>
      </c>
      <c r="B1779" s="2" t="n">
        <v>43203.57997685186</v>
      </c>
      <c r="C1779" t="n">
        <v>0</v>
      </c>
      <c r="D1779" t="n">
        <v>23</v>
      </c>
      <c r="E1779" t="s">
        <v>1790</v>
      </c>
      <c r="F1779" t="s"/>
      <c r="G1779" t="s"/>
      <c r="H1779" t="s"/>
      <c r="I1779" t="s"/>
      <c r="J1779" t="n">
        <v>0.1027</v>
      </c>
      <c r="K1779" t="n">
        <v>0.092</v>
      </c>
      <c r="L1779" t="n">
        <v>0.8</v>
      </c>
      <c r="M1779" t="n">
        <v>0.108</v>
      </c>
    </row>
    <row r="1780" spans="1:13">
      <c r="A1780" s="1">
        <f>HYPERLINK("http://www.twitter.com/NathanBLawrence/status/984791514655215616", "984791514655215616")</f>
        <v/>
      </c>
      <c r="B1780" s="2" t="n">
        <v>43203.57833333333</v>
      </c>
      <c r="C1780" t="n">
        <v>0</v>
      </c>
      <c r="D1780" t="n">
        <v>1</v>
      </c>
      <c r="E1780" t="s">
        <v>1791</v>
      </c>
      <c r="F1780">
        <f>HYPERLINK("http://pbs.twimg.com/media/DaquICCWsAEGMtO.jpg", "http://pbs.twimg.com/media/DaquICCWsAEGMtO.jpg")</f>
        <v/>
      </c>
      <c r="G1780" t="s"/>
      <c r="H1780" t="s"/>
      <c r="I1780" t="s"/>
      <c r="J1780" t="n">
        <v>0.0772</v>
      </c>
      <c r="K1780" t="n">
        <v>0.173</v>
      </c>
      <c r="L1780" t="n">
        <v>0.63</v>
      </c>
      <c r="M1780" t="n">
        <v>0.197</v>
      </c>
    </row>
    <row r="1781" spans="1:13">
      <c r="A1781" s="1">
        <f>HYPERLINK("http://www.twitter.com/NathanBLawrence/status/984790768991854593", "984790768991854593")</f>
        <v/>
      </c>
      <c r="B1781" s="2" t="n">
        <v>43203.57627314814</v>
      </c>
      <c r="C1781" t="n">
        <v>0</v>
      </c>
      <c r="D1781" t="n">
        <v>293</v>
      </c>
      <c r="E1781" t="s">
        <v>1792</v>
      </c>
      <c r="F1781">
        <f>HYPERLINK("http://pbs.twimg.com/media/DaqnulmV4AAVLSe.jpg", "http://pbs.twimg.com/media/DaqnulmV4AAVLSe.jpg")</f>
        <v/>
      </c>
      <c r="G1781" t="s"/>
      <c r="H1781" t="s"/>
      <c r="I1781" t="s"/>
      <c r="J1781" t="n">
        <v>0</v>
      </c>
      <c r="K1781" t="n">
        <v>0</v>
      </c>
      <c r="L1781" t="n">
        <v>1</v>
      </c>
      <c r="M1781" t="n">
        <v>0</v>
      </c>
    </row>
    <row r="1782" spans="1:13">
      <c r="A1782" s="1">
        <f>HYPERLINK("http://www.twitter.com/NathanBLawrence/status/984790004122742789", "984790004122742789")</f>
        <v/>
      </c>
      <c r="B1782" s="2" t="n">
        <v>43203.57416666667</v>
      </c>
      <c r="C1782" t="n">
        <v>0</v>
      </c>
      <c r="D1782" t="n">
        <v>12</v>
      </c>
      <c r="E1782" t="s">
        <v>1793</v>
      </c>
      <c r="F1782" t="s"/>
      <c r="G1782" t="s"/>
      <c r="H1782" t="s"/>
      <c r="I1782" t="s"/>
      <c r="J1782" t="n">
        <v>0</v>
      </c>
      <c r="K1782" t="n">
        <v>0</v>
      </c>
      <c r="L1782" t="n">
        <v>1</v>
      </c>
      <c r="M1782" t="n">
        <v>0</v>
      </c>
    </row>
    <row r="1783" spans="1:13">
      <c r="A1783" s="1">
        <f>HYPERLINK("http://www.twitter.com/NathanBLawrence/status/984787982505914368", "984787982505914368")</f>
        <v/>
      </c>
      <c r="B1783" s="2" t="n">
        <v>43203.56858796296</v>
      </c>
      <c r="C1783" t="n">
        <v>0</v>
      </c>
      <c r="D1783" t="n">
        <v>166</v>
      </c>
      <c r="E1783" t="s">
        <v>1794</v>
      </c>
      <c r="F1783">
        <f>HYPERLINK("http://pbs.twimg.com/media/Dao9lIyW4AAKskV.jpg", "http://pbs.twimg.com/media/Dao9lIyW4AAKskV.jpg")</f>
        <v/>
      </c>
      <c r="G1783" t="s"/>
      <c r="H1783" t="s"/>
      <c r="I1783" t="s"/>
      <c r="J1783" t="n">
        <v>0.729</v>
      </c>
      <c r="K1783" t="n">
        <v>0</v>
      </c>
      <c r="L1783" t="n">
        <v>0.745</v>
      </c>
      <c r="M1783" t="n">
        <v>0.255</v>
      </c>
    </row>
    <row r="1784" spans="1:13">
      <c r="A1784" s="1">
        <f>HYPERLINK("http://www.twitter.com/NathanBLawrence/status/984787631434293251", "984787631434293251")</f>
        <v/>
      </c>
      <c r="B1784" s="2" t="n">
        <v>43203.56761574074</v>
      </c>
      <c r="C1784" t="n">
        <v>0</v>
      </c>
      <c r="D1784" t="n">
        <v>278</v>
      </c>
      <c r="E1784" t="s">
        <v>1795</v>
      </c>
      <c r="F1784" t="s"/>
      <c r="G1784" t="s"/>
      <c r="H1784" t="s"/>
      <c r="I1784" t="s"/>
      <c r="J1784" t="n">
        <v>-0.296</v>
      </c>
      <c r="K1784" t="n">
        <v>0.099</v>
      </c>
      <c r="L1784" t="n">
        <v>0.901</v>
      </c>
      <c r="M1784" t="n">
        <v>0</v>
      </c>
    </row>
    <row r="1785" spans="1:13">
      <c r="A1785" s="1">
        <f>HYPERLINK("http://www.twitter.com/NathanBLawrence/status/984786981963141121", "984786981963141121")</f>
        <v/>
      </c>
      <c r="B1785" s="2" t="n">
        <v>43203.56582175926</v>
      </c>
      <c r="C1785" t="n">
        <v>0</v>
      </c>
      <c r="D1785" t="n">
        <v>244</v>
      </c>
      <c r="E1785" t="s">
        <v>1796</v>
      </c>
      <c r="F1785">
        <f>HYPERLINK("http://pbs.twimg.com/media/DZPnWIDUQAA3OHL.jpg", "http://pbs.twimg.com/media/DZPnWIDUQAA3OHL.jpg")</f>
        <v/>
      </c>
      <c r="G1785" t="s"/>
      <c r="H1785" t="s"/>
      <c r="I1785" t="s"/>
      <c r="J1785" t="n">
        <v>0</v>
      </c>
      <c r="K1785" t="n">
        <v>0</v>
      </c>
      <c r="L1785" t="n">
        <v>1</v>
      </c>
      <c r="M1785" t="n">
        <v>0</v>
      </c>
    </row>
    <row r="1786" spans="1:13">
      <c r="A1786" s="1">
        <f>HYPERLINK("http://www.twitter.com/NathanBLawrence/status/984786433452986368", "984786433452986368")</f>
        <v/>
      </c>
      <c r="B1786" s="2" t="n">
        <v>43203.56430555556</v>
      </c>
      <c r="C1786" t="n">
        <v>0</v>
      </c>
      <c r="D1786" t="n">
        <v>206</v>
      </c>
      <c r="E1786" t="s">
        <v>1797</v>
      </c>
      <c r="F1786">
        <f>HYPERLINK("http://pbs.twimg.com/media/DaqiFLWUMAARvJG.jpg", "http://pbs.twimg.com/media/DaqiFLWUMAARvJG.jpg")</f>
        <v/>
      </c>
      <c r="G1786" t="s"/>
      <c r="H1786" t="s"/>
      <c r="I1786" t="s"/>
      <c r="J1786" t="n">
        <v>0.6973</v>
      </c>
      <c r="K1786" t="n">
        <v>0</v>
      </c>
      <c r="L1786" t="n">
        <v>0.6929999999999999</v>
      </c>
      <c r="M1786" t="n">
        <v>0.307</v>
      </c>
    </row>
    <row r="1787" spans="1:13">
      <c r="A1787" s="1">
        <f>HYPERLINK("http://www.twitter.com/NathanBLawrence/status/984785796464087040", "984785796464087040")</f>
        <v/>
      </c>
      <c r="B1787" s="2" t="n">
        <v>43203.5625462963</v>
      </c>
      <c r="C1787" t="n">
        <v>0</v>
      </c>
      <c r="D1787" t="n">
        <v>1</v>
      </c>
      <c r="E1787" t="s">
        <v>1798</v>
      </c>
      <c r="F1787" t="s"/>
      <c r="G1787" t="s"/>
      <c r="H1787" t="s"/>
      <c r="I1787" t="s"/>
      <c r="J1787" t="n">
        <v>0</v>
      </c>
      <c r="K1787" t="n">
        <v>0</v>
      </c>
      <c r="L1787" t="n">
        <v>1</v>
      </c>
      <c r="M1787" t="n">
        <v>0</v>
      </c>
    </row>
    <row r="1788" spans="1:13">
      <c r="A1788" s="1">
        <f>HYPERLINK("http://www.twitter.com/NathanBLawrence/status/984785590901182464", "984785590901182464")</f>
        <v/>
      </c>
      <c r="B1788" s="2" t="n">
        <v>43203.56197916667</v>
      </c>
      <c r="C1788" t="n">
        <v>0</v>
      </c>
      <c r="D1788" t="n">
        <v>3</v>
      </c>
      <c r="E1788" t="s">
        <v>1799</v>
      </c>
      <c r="F1788" t="s"/>
      <c r="G1788" t="s"/>
      <c r="H1788" t="s"/>
      <c r="I1788" t="s"/>
      <c r="J1788" t="n">
        <v>-0.3612</v>
      </c>
      <c r="K1788" t="n">
        <v>0.2</v>
      </c>
      <c r="L1788" t="n">
        <v>0.8</v>
      </c>
      <c r="M1788" t="n">
        <v>0</v>
      </c>
    </row>
    <row r="1789" spans="1:13">
      <c r="A1789" s="1">
        <f>HYPERLINK("http://www.twitter.com/NathanBLawrence/status/984784884517437441", "984784884517437441")</f>
        <v/>
      </c>
      <c r="B1789" s="2" t="n">
        <v>43203.56003472222</v>
      </c>
      <c r="C1789" t="n">
        <v>0</v>
      </c>
      <c r="D1789" t="n">
        <v>119</v>
      </c>
      <c r="E1789" t="s">
        <v>1800</v>
      </c>
      <c r="F1789">
        <f>HYPERLINK("http://pbs.twimg.com/media/DaqieEMUwAE2pkP.jpg", "http://pbs.twimg.com/media/DaqieEMUwAE2pkP.jpg")</f>
        <v/>
      </c>
      <c r="G1789" t="s"/>
      <c r="H1789" t="s"/>
      <c r="I1789" t="s"/>
      <c r="J1789" t="n">
        <v>-0.7269</v>
      </c>
      <c r="K1789" t="n">
        <v>0.225</v>
      </c>
      <c r="L1789" t="n">
        <v>0.775</v>
      </c>
      <c r="M1789" t="n">
        <v>0</v>
      </c>
    </row>
    <row r="1790" spans="1:13">
      <c r="A1790" s="1">
        <f>HYPERLINK("http://www.twitter.com/NathanBLawrence/status/984784604144992256", "984784604144992256")</f>
        <v/>
      </c>
      <c r="B1790" s="2" t="n">
        <v>43203.55925925926</v>
      </c>
      <c r="C1790" t="n">
        <v>0</v>
      </c>
      <c r="D1790" t="n">
        <v>623</v>
      </c>
      <c r="E1790" t="s">
        <v>1801</v>
      </c>
      <c r="F1790">
        <f>HYPERLINK("http://pbs.twimg.com/media/DaqZ_aMWkAEdh66.jpg", "http://pbs.twimg.com/media/DaqZ_aMWkAEdh66.jpg")</f>
        <v/>
      </c>
      <c r="G1790" t="s"/>
      <c r="H1790" t="s"/>
      <c r="I1790" t="s"/>
      <c r="J1790" t="n">
        <v>0.4019</v>
      </c>
      <c r="K1790" t="n">
        <v>0.081</v>
      </c>
      <c r="L1790" t="n">
        <v>0.738</v>
      </c>
      <c r="M1790" t="n">
        <v>0.181</v>
      </c>
    </row>
    <row r="1791" spans="1:13">
      <c r="A1791" s="1">
        <f>HYPERLINK("http://www.twitter.com/NathanBLawrence/status/984784387882586112", "984784387882586112")</f>
        <v/>
      </c>
      <c r="B1791" s="2" t="n">
        <v>43203.55866898148</v>
      </c>
      <c r="C1791" t="n">
        <v>0</v>
      </c>
      <c r="D1791" t="n">
        <v>11645</v>
      </c>
      <c r="E1791" t="s">
        <v>1802</v>
      </c>
      <c r="F1791" t="s"/>
      <c r="G1791" t="s"/>
      <c r="H1791" t="s"/>
      <c r="I1791" t="s"/>
      <c r="J1791" t="n">
        <v>0.7902</v>
      </c>
      <c r="K1791" t="n">
        <v>0</v>
      </c>
      <c r="L1791" t="n">
        <v>0.75</v>
      </c>
      <c r="M1791" t="n">
        <v>0.25</v>
      </c>
    </row>
    <row r="1792" spans="1:13">
      <c r="A1792" s="1">
        <f>HYPERLINK("http://www.twitter.com/NathanBLawrence/status/984783759366115328", "984783759366115328")</f>
        <v/>
      </c>
      <c r="B1792" s="2" t="n">
        <v>43203.55693287037</v>
      </c>
      <c r="C1792" t="n">
        <v>0</v>
      </c>
      <c r="D1792" t="n">
        <v>5187</v>
      </c>
      <c r="E1792" t="s">
        <v>1803</v>
      </c>
      <c r="F1792">
        <f>HYPERLINK("https://video.twimg.com/ext_tw_video/982242203329167361/pu/vid/640x360/cRFKs_f9BbNkI3iU.mp4?tag=2", "https://video.twimg.com/ext_tw_video/982242203329167361/pu/vid/640x360/cRFKs_f9BbNkI3iU.mp4?tag=2")</f>
        <v/>
      </c>
      <c r="G1792" t="s"/>
      <c r="H1792" t="s"/>
      <c r="I1792" t="s"/>
      <c r="J1792" t="n">
        <v>-0.296</v>
      </c>
      <c r="K1792" t="n">
        <v>0.095</v>
      </c>
      <c r="L1792" t="n">
        <v>0.905</v>
      </c>
      <c r="M1792" t="n">
        <v>0</v>
      </c>
    </row>
    <row r="1793" spans="1:13">
      <c r="A1793" s="1">
        <f>HYPERLINK("http://www.twitter.com/NathanBLawrence/status/984782452907528192", "984782452907528192")</f>
        <v/>
      </c>
      <c r="B1793" s="2" t="n">
        <v>43203.55332175926</v>
      </c>
      <c r="C1793" t="n">
        <v>0</v>
      </c>
      <c r="D1793" t="n">
        <v>53</v>
      </c>
      <c r="E1793" t="s">
        <v>1804</v>
      </c>
      <c r="F1793" t="s"/>
      <c r="G1793" t="s"/>
      <c r="H1793" t="s"/>
      <c r="I1793" t="s"/>
      <c r="J1793" t="n">
        <v>-0.7351</v>
      </c>
      <c r="K1793" t="n">
        <v>0.3</v>
      </c>
      <c r="L1793" t="n">
        <v>0.594</v>
      </c>
      <c r="M1793" t="n">
        <v>0.106</v>
      </c>
    </row>
    <row r="1794" spans="1:13">
      <c r="A1794" s="1">
        <f>HYPERLINK("http://www.twitter.com/NathanBLawrence/status/984782411618832384", "984782411618832384")</f>
        <v/>
      </c>
      <c r="B1794" s="2" t="n">
        <v>43203.55320601852</v>
      </c>
      <c r="C1794" t="n">
        <v>0</v>
      </c>
      <c r="D1794" t="n">
        <v>2948</v>
      </c>
      <c r="E1794" t="s">
        <v>1805</v>
      </c>
      <c r="F1794" t="s"/>
      <c r="G1794" t="s"/>
      <c r="H1794" t="s"/>
      <c r="I1794" t="s"/>
      <c r="J1794" t="n">
        <v>-0.4939</v>
      </c>
      <c r="K1794" t="n">
        <v>0.132</v>
      </c>
      <c r="L1794" t="n">
        <v>0.868</v>
      </c>
      <c r="M1794" t="n">
        <v>0</v>
      </c>
    </row>
    <row r="1795" spans="1:13">
      <c r="A1795" s="1">
        <f>HYPERLINK("http://www.twitter.com/NathanBLawrence/status/984782340701478913", "984782340701478913")</f>
        <v/>
      </c>
      <c r="B1795" s="2" t="n">
        <v>43203.55302083334</v>
      </c>
      <c r="C1795" t="n">
        <v>0</v>
      </c>
      <c r="D1795" t="n">
        <v>18</v>
      </c>
      <c r="E1795" t="s">
        <v>1806</v>
      </c>
      <c r="F1795">
        <f>HYPERLINK("http://pbs.twimg.com/media/DaqfVoZXUAAYNRn.jpg", "http://pbs.twimg.com/media/DaqfVoZXUAAYNRn.jpg")</f>
        <v/>
      </c>
      <c r="G1795" t="s"/>
      <c r="H1795" t="s"/>
      <c r="I1795" t="s"/>
      <c r="J1795" t="n">
        <v>0</v>
      </c>
      <c r="K1795" t="n">
        <v>0</v>
      </c>
      <c r="L1795" t="n">
        <v>1</v>
      </c>
      <c r="M1795" t="n">
        <v>0</v>
      </c>
    </row>
    <row r="1796" spans="1:13">
      <c r="A1796" s="1">
        <f>HYPERLINK("http://www.twitter.com/NathanBLawrence/status/984781126052048896", "984781126052048896")</f>
        <v/>
      </c>
      <c r="B1796" s="2" t="n">
        <v>43203.54966435185</v>
      </c>
      <c r="C1796" t="n">
        <v>0</v>
      </c>
      <c r="D1796" t="n">
        <v>2203</v>
      </c>
      <c r="E1796" t="s">
        <v>1807</v>
      </c>
      <c r="F1796" t="s"/>
      <c r="G1796" t="s"/>
      <c r="H1796" t="s"/>
      <c r="I1796" t="s"/>
      <c r="J1796" t="n">
        <v>0</v>
      </c>
      <c r="K1796" t="n">
        <v>0</v>
      </c>
      <c r="L1796" t="n">
        <v>1</v>
      </c>
      <c r="M1796" t="n">
        <v>0</v>
      </c>
    </row>
    <row r="1797" spans="1:13">
      <c r="A1797" s="1">
        <f>HYPERLINK("http://www.twitter.com/NathanBLawrence/status/984642830084853760", "984642830084853760")</f>
        <v/>
      </c>
      <c r="B1797" s="2" t="n">
        <v>43203.16804398148</v>
      </c>
      <c r="C1797" t="n">
        <v>0</v>
      </c>
      <c r="D1797" t="n">
        <v>339</v>
      </c>
      <c r="E1797" t="s">
        <v>1808</v>
      </c>
      <c r="F1797">
        <f>HYPERLINK("http://pbs.twimg.com/media/Dad2_eQX4AA9MBo.jpg", "http://pbs.twimg.com/media/Dad2_eQX4AA9MBo.jpg")</f>
        <v/>
      </c>
      <c r="G1797" t="s"/>
      <c r="H1797" t="s"/>
      <c r="I1797" t="s"/>
      <c r="J1797" t="n">
        <v>0</v>
      </c>
      <c r="K1797" t="n">
        <v>0</v>
      </c>
      <c r="L1797" t="n">
        <v>1</v>
      </c>
      <c r="M1797" t="n">
        <v>0</v>
      </c>
    </row>
    <row r="1798" spans="1:13">
      <c r="A1798" s="1">
        <f>HYPERLINK("http://www.twitter.com/NathanBLawrence/status/984642402374873088", "984642402374873088")</f>
        <v/>
      </c>
      <c r="B1798" s="2" t="n">
        <v>43203.16686342593</v>
      </c>
      <c r="C1798" t="n">
        <v>0</v>
      </c>
      <c r="D1798" t="n">
        <v>90</v>
      </c>
      <c r="E1798" t="s">
        <v>1809</v>
      </c>
      <c r="F1798" t="s"/>
      <c r="G1798" t="s"/>
      <c r="H1798" t="s"/>
      <c r="I1798" t="s"/>
      <c r="J1798" t="n">
        <v>-0.5994</v>
      </c>
      <c r="K1798" t="n">
        <v>0.197</v>
      </c>
      <c r="L1798" t="n">
        <v>0.803</v>
      </c>
      <c r="M1798" t="n">
        <v>0</v>
      </c>
    </row>
    <row r="1799" spans="1:13">
      <c r="A1799" s="1">
        <f>HYPERLINK("http://www.twitter.com/NathanBLawrence/status/984641913000210435", "984641913000210435")</f>
        <v/>
      </c>
      <c r="B1799" s="2" t="n">
        <v>43203.16550925926</v>
      </c>
      <c r="C1799" t="n">
        <v>0</v>
      </c>
      <c r="D1799" t="n">
        <v>87</v>
      </c>
      <c r="E1799" t="s">
        <v>1810</v>
      </c>
      <c r="F1799">
        <f>HYPERLINK("http://pbs.twimg.com/media/DanQDYgWkAE_KZa.jpg", "http://pbs.twimg.com/media/DanQDYgWkAE_KZa.jpg")</f>
        <v/>
      </c>
      <c r="G1799" t="s"/>
      <c r="H1799" t="s"/>
      <c r="I1799" t="s"/>
      <c r="J1799" t="n">
        <v>0.8286</v>
      </c>
      <c r="K1799" t="n">
        <v>0</v>
      </c>
      <c r="L1799" t="n">
        <v>0.66</v>
      </c>
      <c r="M1799" t="n">
        <v>0.34</v>
      </c>
    </row>
    <row r="1800" spans="1:13">
      <c r="A1800" s="1">
        <f>HYPERLINK("http://www.twitter.com/NathanBLawrence/status/984634175658577923", "984634175658577923")</f>
        <v/>
      </c>
      <c r="B1800" s="2" t="n">
        <v>43203.1441550926</v>
      </c>
      <c r="C1800" t="n">
        <v>0</v>
      </c>
      <c r="D1800" t="n">
        <v>9</v>
      </c>
      <c r="E1800" t="s">
        <v>1811</v>
      </c>
      <c r="F1800" t="s"/>
      <c r="G1800" t="s"/>
      <c r="H1800" t="s"/>
      <c r="I1800" t="s"/>
      <c r="J1800" t="n">
        <v>0.6249</v>
      </c>
      <c r="K1800" t="n">
        <v>0</v>
      </c>
      <c r="L1800" t="n">
        <v>0.76</v>
      </c>
      <c r="M1800" t="n">
        <v>0.24</v>
      </c>
    </row>
    <row r="1801" spans="1:13">
      <c r="A1801" s="1">
        <f>HYPERLINK("http://www.twitter.com/NathanBLawrence/status/984633896326385664", "984633896326385664")</f>
        <v/>
      </c>
      <c r="B1801" s="2" t="n">
        <v>43203.1433912037</v>
      </c>
      <c r="C1801" t="n">
        <v>0</v>
      </c>
      <c r="D1801" t="n">
        <v>1567</v>
      </c>
      <c r="E1801" t="s">
        <v>1812</v>
      </c>
      <c r="F1801" t="s"/>
      <c r="G1801" t="s"/>
      <c r="H1801" t="s"/>
      <c r="I1801" t="s"/>
      <c r="J1801" t="n">
        <v>-0.3899</v>
      </c>
      <c r="K1801" t="n">
        <v>0.229</v>
      </c>
      <c r="L1801" t="n">
        <v>0.657</v>
      </c>
      <c r="M1801" t="n">
        <v>0.114</v>
      </c>
    </row>
    <row r="1802" spans="1:13">
      <c r="A1802" s="1">
        <f>HYPERLINK("http://www.twitter.com/NathanBLawrence/status/984633840265236480", "984633840265236480")</f>
        <v/>
      </c>
      <c r="B1802" s="2" t="n">
        <v>43203.14322916666</v>
      </c>
      <c r="C1802" t="n">
        <v>0</v>
      </c>
      <c r="D1802" t="n">
        <v>1574</v>
      </c>
      <c r="E1802" t="s">
        <v>1813</v>
      </c>
      <c r="F1802">
        <f>HYPERLINK("https://video.twimg.com/ext_tw_video/984575149109374976/pu/vid/720x720/eMNmZFuyZ1IyNszQ.mp4?tag=2", "https://video.twimg.com/ext_tw_video/984575149109374976/pu/vid/720x720/eMNmZFuyZ1IyNszQ.mp4?tag=2")</f>
        <v/>
      </c>
      <c r="G1802" t="s"/>
      <c r="H1802" t="s"/>
      <c r="I1802" t="s"/>
      <c r="J1802" t="n">
        <v>0</v>
      </c>
      <c r="K1802" t="n">
        <v>0</v>
      </c>
      <c r="L1802" t="n">
        <v>1</v>
      </c>
      <c r="M1802" t="n">
        <v>0</v>
      </c>
    </row>
    <row r="1803" spans="1:13">
      <c r="A1803" s="1">
        <f>HYPERLINK("http://www.twitter.com/NathanBLawrence/status/984633562405195777", "984633562405195777")</f>
        <v/>
      </c>
      <c r="B1803" s="2" t="n">
        <v>43203.14246527778</v>
      </c>
      <c r="C1803" t="n">
        <v>0</v>
      </c>
      <c r="D1803" t="n">
        <v>143</v>
      </c>
      <c r="E1803" t="s">
        <v>1814</v>
      </c>
      <c r="F1803" t="s"/>
      <c r="G1803" t="s"/>
      <c r="H1803" t="s"/>
      <c r="I1803" t="s"/>
      <c r="J1803" t="n">
        <v>0</v>
      </c>
      <c r="K1803" t="n">
        <v>0</v>
      </c>
      <c r="L1803" t="n">
        <v>1</v>
      </c>
      <c r="M1803" t="n">
        <v>0</v>
      </c>
    </row>
    <row r="1804" spans="1:13">
      <c r="A1804" s="1">
        <f>HYPERLINK("http://www.twitter.com/NathanBLawrence/status/984633411624210432", "984633411624210432")</f>
        <v/>
      </c>
      <c r="B1804" s="2" t="n">
        <v>43203.14204861111</v>
      </c>
      <c r="C1804" t="n">
        <v>0</v>
      </c>
      <c r="D1804" t="n">
        <v>111</v>
      </c>
      <c r="E1804" t="s">
        <v>1815</v>
      </c>
      <c r="F1804" t="s"/>
      <c r="G1804" t="s"/>
      <c r="H1804" t="s"/>
      <c r="I1804" t="s"/>
      <c r="J1804" t="n">
        <v>-0.4767</v>
      </c>
      <c r="K1804" t="n">
        <v>0.181</v>
      </c>
      <c r="L1804" t="n">
        <v>0.819</v>
      </c>
      <c r="M1804" t="n">
        <v>0</v>
      </c>
    </row>
    <row r="1805" spans="1:13">
      <c r="A1805" s="1">
        <f>HYPERLINK("http://www.twitter.com/NathanBLawrence/status/984633378778566656", "984633378778566656")</f>
        <v/>
      </c>
      <c r="B1805" s="2" t="n">
        <v>43203.14195601852</v>
      </c>
      <c r="C1805" t="n">
        <v>0</v>
      </c>
      <c r="D1805" t="n">
        <v>207</v>
      </c>
      <c r="E1805" t="s">
        <v>1816</v>
      </c>
      <c r="F1805">
        <f>HYPERLINK("http://pbs.twimg.com/media/DaoUzeOUwAEkQf8.jpg", "http://pbs.twimg.com/media/DaoUzeOUwAEkQf8.jpg")</f>
        <v/>
      </c>
      <c r="G1805" t="s"/>
      <c r="H1805" t="s"/>
      <c r="I1805" t="s"/>
      <c r="J1805" t="n">
        <v>0.727</v>
      </c>
      <c r="K1805" t="n">
        <v>0</v>
      </c>
      <c r="L1805" t="n">
        <v>0.788</v>
      </c>
      <c r="M1805" t="n">
        <v>0.212</v>
      </c>
    </row>
    <row r="1806" spans="1:13">
      <c r="A1806" s="1">
        <f>HYPERLINK("http://www.twitter.com/NathanBLawrence/status/984633017699389440", "984633017699389440")</f>
        <v/>
      </c>
      <c r="B1806" s="2" t="n">
        <v>43203.14096064815</v>
      </c>
      <c r="C1806" t="n">
        <v>0</v>
      </c>
      <c r="D1806" t="n">
        <v>658</v>
      </c>
      <c r="E1806" t="s">
        <v>1817</v>
      </c>
      <c r="F1806" t="s"/>
      <c r="G1806" t="s"/>
      <c r="H1806" t="s"/>
      <c r="I1806" t="s"/>
      <c r="J1806" t="n">
        <v>0.5574</v>
      </c>
      <c r="K1806" t="n">
        <v>0</v>
      </c>
      <c r="L1806" t="n">
        <v>0.777</v>
      </c>
      <c r="M1806" t="n">
        <v>0.223</v>
      </c>
    </row>
    <row r="1807" spans="1:13">
      <c r="A1807" s="1">
        <f>HYPERLINK("http://www.twitter.com/NathanBLawrence/status/984632685451792384", "984632685451792384")</f>
        <v/>
      </c>
      <c r="B1807" s="2" t="n">
        <v>43203.1400462963</v>
      </c>
      <c r="C1807" t="n">
        <v>0</v>
      </c>
      <c r="D1807" t="n">
        <v>300</v>
      </c>
      <c r="E1807" t="s">
        <v>1818</v>
      </c>
      <c r="F1807">
        <f>HYPERLINK("http://pbs.twimg.com/media/DaoYvcoVQAIotEv.jpg", "http://pbs.twimg.com/media/DaoYvcoVQAIotEv.jpg")</f>
        <v/>
      </c>
      <c r="G1807" t="s"/>
      <c r="H1807" t="s"/>
      <c r="I1807" t="s"/>
      <c r="J1807" t="n">
        <v>0</v>
      </c>
      <c r="K1807" t="n">
        <v>0</v>
      </c>
      <c r="L1807" t="n">
        <v>1</v>
      </c>
      <c r="M1807" t="n">
        <v>0</v>
      </c>
    </row>
    <row r="1808" spans="1:13">
      <c r="A1808" s="1">
        <f>HYPERLINK("http://www.twitter.com/NathanBLawrence/status/984474496785637376", "984474496785637376")</f>
        <v/>
      </c>
      <c r="B1808" s="2" t="n">
        <v>43202.70353009259</v>
      </c>
      <c r="C1808" t="n">
        <v>0</v>
      </c>
      <c r="D1808" t="n">
        <v>290</v>
      </c>
      <c r="E1808" t="s">
        <v>1819</v>
      </c>
      <c r="F1808" t="s"/>
      <c r="G1808" t="s"/>
      <c r="H1808" t="s"/>
      <c r="I1808" t="s"/>
      <c r="J1808" t="n">
        <v>-0.4939</v>
      </c>
      <c r="K1808" t="n">
        <v>0.296</v>
      </c>
      <c r="L1808" t="n">
        <v>0.704</v>
      </c>
      <c r="M1808" t="n">
        <v>0</v>
      </c>
    </row>
    <row r="1809" spans="1:13">
      <c r="A1809" s="1">
        <f>HYPERLINK("http://www.twitter.com/NathanBLawrence/status/984474446860873729", "984474446860873729")</f>
        <v/>
      </c>
      <c r="B1809" s="2" t="n">
        <v>43202.7033912037</v>
      </c>
      <c r="C1809" t="n">
        <v>0</v>
      </c>
      <c r="D1809" t="n">
        <v>12245</v>
      </c>
      <c r="E1809" t="s">
        <v>1820</v>
      </c>
      <c r="F1809" t="s"/>
      <c r="G1809" t="s"/>
      <c r="H1809" t="s"/>
      <c r="I1809" t="s"/>
      <c r="J1809" t="n">
        <v>0.8832</v>
      </c>
      <c r="K1809" t="n">
        <v>0</v>
      </c>
      <c r="L1809" t="n">
        <v>0.609</v>
      </c>
      <c r="M1809" t="n">
        <v>0.391</v>
      </c>
    </row>
    <row r="1810" spans="1:13">
      <c r="A1810" s="1">
        <f>HYPERLINK("http://www.twitter.com/NathanBLawrence/status/984474278824480768", "984474278824480768")</f>
        <v/>
      </c>
      <c r="B1810" s="2" t="n">
        <v>43202.70292824074</v>
      </c>
      <c r="C1810" t="n">
        <v>0</v>
      </c>
      <c r="D1810" t="n">
        <v>3</v>
      </c>
      <c r="E1810" t="s">
        <v>1821</v>
      </c>
      <c r="F1810" t="s"/>
      <c r="G1810" t="s"/>
      <c r="H1810" t="s"/>
      <c r="I1810" t="s"/>
      <c r="J1810" t="n">
        <v>0</v>
      </c>
      <c r="K1810" t="n">
        <v>0</v>
      </c>
      <c r="L1810" t="n">
        <v>1</v>
      </c>
      <c r="M1810" t="n">
        <v>0</v>
      </c>
    </row>
    <row r="1811" spans="1:13">
      <c r="A1811" s="1">
        <f>HYPERLINK("http://www.twitter.com/NathanBLawrence/status/984473624274001920", "984473624274001920")</f>
        <v/>
      </c>
      <c r="B1811" s="2" t="n">
        <v>43202.70112268518</v>
      </c>
      <c r="C1811" t="n">
        <v>0</v>
      </c>
      <c r="D1811" t="n">
        <v>535</v>
      </c>
      <c r="E1811" t="s">
        <v>1822</v>
      </c>
      <c r="F1811">
        <f>HYPERLINK("https://video.twimg.com/ext_tw_video/984455144124301312/pu/vid/1280x720/90lJ3_J7ZwPYqLX1.mp4?tag=2", "https://video.twimg.com/ext_tw_video/984455144124301312/pu/vid/1280x720/90lJ3_J7ZwPYqLX1.mp4?tag=2")</f>
        <v/>
      </c>
      <c r="G1811" t="s"/>
      <c r="H1811" t="s"/>
      <c r="I1811" t="s"/>
      <c r="J1811" t="n">
        <v>-0.2263</v>
      </c>
      <c r="K1811" t="n">
        <v>0.08699999999999999</v>
      </c>
      <c r="L1811" t="n">
        <v>0.913</v>
      </c>
      <c r="M1811" t="n">
        <v>0</v>
      </c>
    </row>
    <row r="1812" spans="1:13">
      <c r="A1812" s="1">
        <f>HYPERLINK("http://www.twitter.com/NathanBLawrence/status/984448794506022918", "984448794506022918")</f>
        <v/>
      </c>
      <c r="B1812" s="2" t="n">
        <v>43202.63260416667</v>
      </c>
      <c r="C1812" t="n">
        <v>0</v>
      </c>
      <c r="D1812" t="n">
        <v>5</v>
      </c>
      <c r="E1812" t="s">
        <v>1823</v>
      </c>
      <c r="F1812" t="s"/>
      <c r="G1812" t="s"/>
      <c r="H1812" t="s"/>
      <c r="I1812" t="s"/>
      <c r="J1812" t="n">
        <v>0</v>
      </c>
      <c r="K1812" t="n">
        <v>0</v>
      </c>
      <c r="L1812" t="n">
        <v>1</v>
      </c>
      <c r="M1812" t="n">
        <v>0</v>
      </c>
    </row>
    <row r="1813" spans="1:13">
      <c r="A1813" s="1">
        <f>HYPERLINK("http://www.twitter.com/NathanBLawrence/status/984448243395424256", "984448243395424256")</f>
        <v/>
      </c>
      <c r="B1813" s="2" t="n">
        <v>43202.63108796296</v>
      </c>
      <c r="C1813" t="n">
        <v>0</v>
      </c>
      <c r="D1813" t="n">
        <v>2415</v>
      </c>
      <c r="E1813" t="s">
        <v>1824</v>
      </c>
      <c r="F1813" t="s"/>
      <c r="G1813" t="s"/>
      <c r="H1813" t="s"/>
      <c r="I1813" t="s"/>
      <c r="J1813" t="n">
        <v>-0.7003</v>
      </c>
      <c r="K1813" t="n">
        <v>0.195</v>
      </c>
      <c r="L1813" t="n">
        <v>0.805</v>
      </c>
      <c r="M1813" t="n">
        <v>0</v>
      </c>
    </row>
    <row r="1814" spans="1:13">
      <c r="A1814" s="1">
        <f>HYPERLINK("http://www.twitter.com/NathanBLawrence/status/984448082158014464", "984448082158014464")</f>
        <v/>
      </c>
      <c r="B1814" s="2" t="n">
        <v>43202.63063657407</v>
      </c>
      <c r="C1814" t="n">
        <v>0</v>
      </c>
      <c r="D1814" t="n">
        <v>678</v>
      </c>
      <c r="E1814" t="s">
        <v>1825</v>
      </c>
      <c r="F1814" t="s"/>
      <c r="G1814" t="s"/>
      <c r="H1814" t="s"/>
      <c r="I1814" t="s"/>
      <c r="J1814" t="n">
        <v>0.6369</v>
      </c>
      <c r="K1814" t="n">
        <v>0</v>
      </c>
      <c r="L1814" t="n">
        <v>0.846</v>
      </c>
      <c r="M1814" t="n">
        <v>0.154</v>
      </c>
    </row>
    <row r="1815" spans="1:13">
      <c r="A1815" s="1">
        <f>HYPERLINK("http://www.twitter.com/NathanBLawrence/status/984447645677707264", "984447645677707264")</f>
        <v/>
      </c>
      <c r="B1815" s="2" t="n">
        <v>43202.62943287037</v>
      </c>
      <c r="C1815" t="n">
        <v>0</v>
      </c>
      <c r="D1815" t="n">
        <v>71</v>
      </c>
      <c r="E1815" t="s">
        <v>1826</v>
      </c>
      <c r="F1815">
        <f>HYPERLINK("http://pbs.twimg.com/media/DalyTlvXcAAz7zD.jpg", "http://pbs.twimg.com/media/DalyTlvXcAAz7zD.jpg")</f>
        <v/>
      </c>
      <c r="G1815" t="s"/>
      <c r="H1815" t="s"/>
      <c r="I1815" t="s"/>
      <c r="J1815" t="n">
        <v>0</v>
      </c>
      <c r="K1815" t="n">
        <v>0</v>
      </c>
      <c r="L1815" t="n">
        <v>1</v>
      </c>
      <c r="M1815" t="n">
        <v>0</v>
      </c>
    </row>
    <row r="1816" spans="1:13">
      <c r="A1816" s="1">
        <f>HYPERLINK("http://www.twitter.com/NathanBLawrence/status/984447550785802240", "984447550785802240")</f>
        <v/>
      </c>
      <c r="B1816" s="2" t="n">
        <v>43202.62916666667</v>
      </c>
      <c r="C1816" t="n">
        <v>0</v>
      </c>
      <c r="D1816" t="n">
        <v>1502</v>
      </c>
      <c r="E1816" t="s">
        <v>1827</v>
      </c>
      <c r="F1816" t="s"/>
      <c r="G1816" t="s"/>
      <c r="H1816" t="s"/>
      <c r="I1816" t="s"/>
      <c r="J1816" t="n">
        <v>0.4767</v>
      </c>
      <c r="K1816" t="n">
        <v>0</v>
      </c>
      <c r="L1816" t="n">
        <v>0.871</v>
      </c>
      <c r="M1816" t="n">
        <v>0.129</v>
      </c>
    </row>
    <row r="1817" spans="1:13">
      <c r="A1817" s="1">
        <f>HYPERLINK("http://www.twitter.com/NathanBLawrence/status/984445174603550720", "984445174603550720")</f>
        <v/>
      </c>
      <c r="B1817" s="2" t="n">
        <v>43202.62261574074</v>
      </c>
      <c r="C1817" t="n">
        <v>0</v>
      </c>
      <c r="D1817" t="n">
        <v>21</v>
      </c>
      <c r="E1817" t="s">
        <v>1828</v>
      </c>
      <c r="F1817">
        <f>HYPERLINK("http://pbs.twimg.com/media/DaXrCSmUQAACYaT.jpg", "http://pbs.twimg.com/media/DaXrCSmUQAACYaT.jpg")</f>
        <v/>
      </c>
      <c r="G1817" t="s"/>
      <c r="H1817" t="s"/>
      <c r="I1817" t="s"/>
      <c r="J1817" t="n">
        <v>0.795</v>
      </c>
      <c r="K1817" t="n">
        <v>0</v>
      </c>
      <c r="L1817" t="n">
        <v>0.706</v>
      </c>
      <c r="M1817" t="n">
        <v>0.294</v>
      </c>
    </row>
    <row r="1818" spans="1:13">
      <c r="A1818" s="1">
        <f>HYPERLINK("http://www.twitter.com/NathanBLawrence/status/984445012623667202", "984445012623667202")</f>
        <v/>
      </c>
      <c r="B1818" s="2" t="n">
        <v>43202.62216435185</v>
      </c>
      <c r="C1818" t="n">
        <v>0</v>
      </c>
      <c r="D1818" t="n">
        <v>27</v>
      </c>
      <c r="E1818" t="s">
        <v>1829</v>
      </c>
      <c r="F1818">
        <f>HYPERLINK("http://pbs.twimg.com/media/DacDwEhWkAEHL9u.jpg", "http://pbs.twimg.com/media/DacDwEhWkAEHL9u.jpg")</f>
        <v/>
      </c>
      <c r="G1818" t="s"/>
      <c r="H1818" t="s"/>
      <c r="I1818" t="s"/>
      <c r="J1818" t="n">
        <v>-0.4767</v>
      </c>
      <c r="K1818" t="n">
        <v>0.15</v>
      </c>
      <c r="L1818" t="n">
        <v>0.793</v>
      </c>
      <c r="M1818" t="n">
        <v>0.057</v>
      </c>
    </row>
    <row r="1819" spans="1:13">
      <c r="A1819" s="1">
        <f>HYPERLINK("http://www.twitter.com/NathanBLawrence/status/984444652072955905", "984444652072955905")</f>
        <v/>
      </c>
      <c r="B1819" s="2" t="n">
        <v>43202.62116898148</v>
      </c>
      <c r="C1819" t="n">
        <v>0</v>
      </c>
      <c r="D1819" t="n">
        <v>116</v>
      </c>
      <c r="E1819" t="s">
        <v>1830</v>
      </c>
      <c r="F1819" t="s"/>
      <c r="G1819" t="s"/>
      <c r="H1819" t="s"/>
      <c r="I1819" t="s"/>
      <c r="J1819" t="n">
        <v>0.6124000000000001</v>
      </c>
      <c r="K1819" t="n">
        <v>0</v>
      </c>
      <c r="L1819" t="n">
        <v>0.826</v>
      </c>
      <c r="M1819" t="n">
        <v>0.174</v>
      </c>
    </row>
    <row r="1820" spans="1:13">
      <c r="A1820" s="1">
        <f>HYPERLINK("http://www.twitter.com/NathanBLawrence/status/984444631785058304", "984444631785058304")</f>
        <v/>
      </c>
      <c r="B1820" s="2" t="n">
        <v>43202.62111111111</v>
      </c>
      <c r="C1820" t="n">
        <v>0</v>
      </c>
      <c r="D1820" t="n">
        <v>56</v>
      </c>
      <c r="E1820" t="s">
        <v>1831</v>
      </c>
      <c r="F1820" t="s"/>
      <c r="G1820" t="s"/>
      <c r="H1820" t="s"/>
      <c r="I1820" t="s"/>
      <c r="J1820" t="n">
        <v>0.7579</v>
      </c>
      <c r="K1820" t="n">
        <v>0</v>
      </c>
      <c r="L1820" t="n">
        <v>0.717</v>
      </c>
      <c r="M1820" t="n">
        <v>0.283</v>
      </c>
    </row>
    <row r="1821" spans="1:13">
      <c r="A1821" s="1">
        <f>HYPERLINK("http://www.twitter.com/NathanBLawrence/status/984444425731493889", "984444425731493889")</f>
        <v/>
      </c>
      <c r="B1821" s="2" t="n">
        <v>43202.62054398148</v>
      </c>
      <c r="C1821" t="n">
        <v>0</v>
      </c>
      <c r="D1821" t="n">
        <v>9</v>
      </c>
      <c r="E1821" t="s">
        <v>1832</v>
      </c>
      <c r="F1821" t="s"/>
      <c r="G1821" t="s"/>
      <c r="H1821" t="s"/>
      <c r="I1821" t="s"/>
      <c r="J1821" t="n">
        <v>-0.5266999999999999</v>
      </c>
      <c r="K1821" t="n">
        <v>0.152</v>
      </c>
      <c r="L1821" t="n">
        <v>0.848</v>
      </c>
      <c r="M1821" t="n">
        <v>0</v>
      </c>
    </row>
    <row r="1822" spans="1:13">
      <c r="A1822" s="1">
        <f>HYPERLINK("http://www.twitter.com/NathanBLawrence/status/984427268364742662", "984427268364742662")</f>
        <v/>
      </c>
      <c r="B1822" s="2" t="n">
        <v>43202.57320601852</v>
      </c>
      <c r="C1822" t="n">
        <v>0</v>
      </c>
      <c r="D1822" t="n">
        <v>156</v>
      </c>
      <c r="E1822" t="s">
        <v>1833</v>
      </c>
      <c r="F1822" t="s"/>
      <c r="G1822" t="s"/>
      <c r="H1822" t="s"/>
      <c r="I1822" t="s"/>
      <c r="J1822" t="n">
        <v>0.3182</v>
      </c>
      <c r="K1822" t="n">
        <v>0</v>
      </c>
      <c r="L1822" t="n">
        <v>0.839</v>
      </c>
      <c r="M1822" t="n">
        <v>0.161</v>
      </c>
    </row>
    <row r="1823" spans="1:13">
      <c r="A1823" s="1">
        <f>HYPERLINK("http://www.twitter.com/NathanBLawrence/status/984426929255219201", "984426929255219201")</f>
        <v/>
      </c>
      <c r="B1823" s="2" t="n">
        <v>43202.57226851852</v>
      </c>
      <c r="C1823" t="n">
        <v>0</v>
      </c>
      <c r="D1823" t="n">
        <v>9531</v>
      </c>
      <c r="E1823" t="s">
        <v>1834</v>
      </c>
      <c r="F1823" t="s"/>
      <c r="G1823" t="s"/>
      <c r="H1823" t="s"/>
      <c r="I1823" t="s"/>
      <c r="J1823" t="n">
        <v>-0.8986</v>
      </c>
      <c r="K1823" t="n">
        <v>0.378</v>
      </c>
      <c r="L1823" t="n">
        <v>0.622</v>
      </c>
      <c r="M1823" t="n">
        <v>0</v>
      </c>
    </row>
    <row r="1824" spans="1:13">
      <c r="A1824" s="1">
        <f>HYPERLINK("http://www.twitter.com/NathanBLawrence/status/984268671492284416", "984268671492284416")</f>
        <v/>
      </c>
      <c r="B1824" s="2" t="n">
        <v>43202.13555555556</v>
      </c>
      <c r="C1824" t="n">
        <v>0</v>
      </c>
      <c r="D1824" t="n">
        <v>1252</v>
      </c>
      <c r="E1824" t="s">
        <v>1835</v>
      </c>
      <c r="F1824" t="s"/>
      <c r="G1824" t="s"/>
      <c r="H1824" t="s"/>
      <c r="I1824" t="s"/>
      <c r="J1824" t="n">
        <v>0.5859</v>
      </c>
      <c r="K1824" t="n">
        <v>0</v>
      </c>
      <c r="L1824" t="n">
        <v>0.84</v>
      </c>
      <c r="M1824" t="n">
        <v>0.16</v>
      </c>
    </row>
    <row r="1825" spans="1:13">
      <c r="A1825" s="1">
        <f>HYPERLINK("http://www.twitter.com/NathanBLawrence/status/984160583984480256", "984160583984480256")</f>
        <v/>
      </c>
      <c r="B1825" s="2" t="n">
        <v>43201.83729166666</v>
      </c>
      <c r="C1825" t="n">
        <v>0</v>
      </c>
      <c r="D1825" t="n">
        <v>4</v>
      </c>
      <c r="E1825" t="s">
        <v>1836</v>
      </c>
      <c r="F1825" t="s"/>
      <c r="G1825" t="s"/>
      <c r="H1825" t="s"/>
      <c r="I1825" t="s"/>
      <c r="J1825" t="n">
        <v>0.2732</v>
      </c>
      <c r="K1825" t="n">
        <v>0</v>
      </c>
      <c r="L1825" t="n">
        <v>0.8110000000000001</v>
      </c>
      <c r="M1825" t="n">
        <v>0.189</v>
      </c>
    </row>
    <row r="1826" spans="1:13">
      <c r="A1826" s="1">
        <f>HYPERLINK("http://www.twitter.com/NathanBLawrence/status/984085194528477184", "984085194528477184")</f>
        <v/>
      </c>
      <c r="B1826" s="2" t="n">
        <v>43201.62925925926</v>
      </c>
      <c r="C1826" t="n">
        <v>0</v>
      </c>
      <c r="D1826" t="n">
        <v>180</v>
      </c>
      <c r="E1826" t="s">
        <v>1837</v>
      </c>
      <c r="F1826">
        <f>HYPERLINK("http://pbs.twimg.com/media/DaggB8ZX0AAgWKP.jpg", "http://pbs.twimg.com/media/DaggB8ZX0AAgWKP.jpg")</f>
        <v/>
      </c>
      <c r="G1826" t="s"/>
      <c r="H1826" t="s"/>
      <c r="I1826" t="s"/>
      <c r="J1826" t="n">
        <v>-0.3291</v>
      </c>
      <c r="K1826" t="n">
        <v>0.097</v>
      </c>
      <c r="L1826" t="n">
        <v>0.903</v>
      </c>
      <c r="M1826" t="n">
        <v>0</v>
      </c>
    </row>
    <row r="1827" spans="1:13">
      <c r="A1827" s="1">
        <f>HYPERLINK("http://www.twitter.com/NathanBLawrence/status/984085142628192256", "984085142628192256")</f>
        <v/>
      </c>
      <c r="B1827" s="2" t="n">
        <v>43201.62912037037</v>
      </c>
      <c r="C1827" t="n">
        <v>0</v>
      </c>
      <c r="D1827" t="n">
        <v>1538</v>
      </c>
      <c r="E1827" t="s">
        <v>1838</v>
      </c>
      <c r="F1827">
        <f>HYPERLINK("https://video.twimg.com/amplify_video/983904031897739265/vid/1280x720/nklXKrg_JpK60Rzg.mp4?tag=2", "https://video.twimg.com/amplify_video/983904031897739265/vid/1280x720/nklXKrg_JpK60Rzg.mp4?tag=2")</f>
        <v/>
      </c>
      <c r="G1827" t="s"/>
      <c r="H1827" t="s"/>
      <c r="I1827" t="s"/>
      <c r="J1827" t="n">
        <v>-0.5859</v>
      </c>
      <c r="K1827" t="n">
        <v>0.174</v>
      </c>
      <c r="L1827" t="n">
        <v>0.826</v>
      </c>
      <c r="M1827" t="n">
        <v>0</v>
      </c>
    </row>
    <row r="1828" spans="1:13">
      <c r="A1828" s="1">
        <f>HYPERLINK("http://www.twitter.com/NathanBLawrence/status/984068205856657408", "984068205856657408")</f>
        <v/>
      </c>
      <c r="B1828" s="2" t="n">
        <v>43201.58238425926</v>
      </c>
      <c r="C1828" t="n">
        <v>0</v>
      </c>
      <c r="D1828" t="n">
        <v>697</v>
      </c>
      <c r="E1828" t="s">
        <v>1839</v>
      </c>
      <c r="F1828">
        <f>HYPERLINK("http://pbs.twimg.com/media/DagQdV-W0AAPHQw.jpg", "http://pbs.twimg.com/media/DagQdV-W0AAPHQw.jpg")</f>
        <v/>
      </c>
      <c r="G1828" t="s"/>
      <c r="H1828" t="s"/>
      <c r="I1828" t="s"/>
      <c r="J1828" t="n">
        <v>0.6249</v>
      </c>
      <c r="K1828" t="n">
        <v>0</v>
      </c>
      <c r="L1828" t="n">
        <v>0.8120000000000001</v>
      </c>
      <c r="M1828" t="n">
        <v>0.188</v>
      </c>
    </row>
    <row r="1829" spans="1:13">
      <c r="A1829" s="1">
        <f>HYPERLINK("http://www.twitter.com/NathanBLawrence/status/984066896642412544", "984066896642412544")</f>
        <v/>
      </c>
      <c r="B1829" s="2" t="n">
        <v>43201.57876157408</v>
      </c>
      <c r="C1829" t="n">
        <v>0</v>
      </c>
      <c r="D1829" t="n">
        <v>13</v>
      </c>
      <c r="E1829" t="s">
        <v>1840</v>
      </c>
      <c r="F1829" t="s"/>
      <c r="G1829" t="s"/>
      <c r="H1829" t="s"/>
      <c r="I1829" t="s"/>
      <c r="J1829" t="n">
        <v>-0.4019</v>
      </c>
      <c r="K1829" t="n">
        <v>0.26</v>
      </c>
      <c r="L1829" t="n">
        <v>0.596</v>
      </c>
      <c r="M1829" t="n">
        <v>0.145</v>
      </c>
    </row>
    <row r="1830" spans="1:13">
      <c r="A1830" s="1">
        <f>HYPERLINK("http://www.twitter.com/NathanBLawrence/status/984066502885339136", "984066502885339136")</f>
        <v/>
      </c>
      <c r="B1830" s="2" t="n">
        <v>43201.57768518518</v>
      </c>
      <c r="C1830" t="n">
        <v>0</v>
      </c>
      <c r="D1830" t="n">
        <v>871</v>
      </c>
      <c r="E1830" t="s">
        <v>1841</v>
      </c>
      <c r="F1830" t="s"/>
      <c r="G1830" t="s"/>
      <c r="H1830" t="s"/>
      <c r="I1830" t="s"/>
      <c r="J1830" t="n">
        <v>0.2942</v>
      </c>
      <c r="K1830" t="n">
        <v>0</v>
      </c>
      <c r="L1830" t="n">
        <v>0.901</v>
      </c>
      <c r="M1830" t="n">
        <v>0.099</v>
      </c>
    </row>
    <row r="1831" spans="1:13">
      <c r="A1831" s="1">
        <f>HYPERLINK("http://www.twitter.com/NathanBLawrence/status/983898952008458240", "983898952008458240")</f>
        <v/>
      </c>
      <c r="B1831" s="2" t="n">
        <v>43201.11532407408</v>
      </c>
      <c r="C1831" t="n">
        <v>0</v>
      </c>
      <c r="D1831" t="n">
        <v>5586</v>
      </c>
      <c r="E1831" t="s">
        <v>1842</v>
      </c>
      <c r="F1831">
        <f>HYPERLINK("https://video.twimg.com/ext_tw_video/983877484323201024/pu/vid/720x720/pBeubYc-CdtcVMgw.mp4?tag=2", "https://video.twimg.com/ext_tw_video/983877484323201024/pu/vid/720x720/pBeubYc-CdtcVMgw.mp4?tag=2")</f>
        <v/>
      </c>
      <c r="G1831" t="s"/>
      <c r="H1831" t="s"/>
      <c r="I1831" t="s"/>
      <c r="J1831" t="n">
        <v>0</v>
      </c>
      <c r="K1831" t="n">
        <v>0</v>
      </c>
      <c r="L1831" t="n">
        <v>1</v>
      </c>
      <c r="M1831" t="n">
        <v>0</v>
      </c>
    </row>
    <row r="1832" spans="1:13">
      <c r="A1832" s="1">
        <f>HYPERLINK("http://www.twitter.com/NathanBLawrence/status/983897865448763392", "983897865448763392")</f>
        <v/>
      </c>
      <c r="B1832" s="2" t="n">
        <v>43201.11232638889</v>
      </c>
      <c r="C1832" t="n">
        <v>0</v>
      </c>
      <c r="D1832" t="n">
        <v>1151</v>
      </c>
      <c r="E1832" t="s">
        <v>1843</v>
      </c>
      <c r="F1832">
        <f>HYPERLINK("http://pbs.twimg.com/media/DadbCthUMAA11Km.jpg", "http://pbs.twimg.com/media/DadbCthUMAA11Km.jpg")</f>
        <v/>
      </c>
      <c r="G1832" t="s"/>
      <c r="H1832" t="s"/>
      <c r="I1832" t="s"/>
      <c r="J1832" t="n">
        <v>0</v>
      </c>
      <c r="K1832" t="n">
        <v>0</v>
      </c>
      <c r="L1832" t="n">
        <v>1</v>
      </c>
      <c r="M1832" t="n">
        <v>0</v>
      </c>
    </row>
    <row r="1833" spans="1:13">
      <c r="A1833" s="1">
        <f>HYPERLINK("http://www.twitter.com/NathanBLawrence/status/983897818833260544", "983897818833260544")</f>
        <v/>
      </c>
      <c r="B1833" s="2" t="n">
        <v>43201.11219907407</v>
      </c>
      <c r="C1833" t="n">
        <v>0</v>
      </c>
      <c r="D1833" t="n">
        <v>2715</v>
      </c>
      <c r="E1833" t="s">
        <v>1844</v>
      </c>
      <c r="F1833">
        <f>HYPERLINK("https://video.twimg.com/ext_tw_video/983895312476631042/pu/vid/720x720/anhFf04e5TXBH6X8.mp4?tag=2", "https://video.twimg.com/ext_tw_video/983895312476631042/pu/vid/720x720/anhFf04e5TXBH6X8.mp4?tag=2")</f>
        <v/>
      </c>
      <c r="G1833" t="s"/>
      <c r="H1833" t="s"/>
      <c r="I1833" t="s"/>
      <c r="J1833" t="n">
        <v>-0.34</v>
      </c>
      <c r="K1833" t="n">
        <v>0.195</v>
      </c>
      <c r="L1833" t="n">
        <v>0.805</v>
      </c>
      <c r="M1833" t="n">
        <v>0</v>
      </c>
    </row>
    <row r="1834" spans="1:13">
      <c r="A1834" s="1">
        <f>HYPERLINK("http://www.twitter.com/NathanBLawrence/status/983778919408111617", "983778919408111617")</f>
        <v/>
      </c>
      <c r="B1834" s="2" t="n">
        <v>43200.78409722223</v>
      </c>
      <c r="C1834" t="n">
        <v>0</v>
      </c>
      <c r="D1834" t="n">
        <v>249</v>
      </c>
      <c r="E1834" t="s">
        <v>1845</v>
      </c>
      <c r="F1834" t="s"/>
      <c r="G1834" t="s"/>
      <c r="H1834" t="s"/>
      <c r="I1834" t="s"/>
      <c r="J1834" t="n">
        <v>0</v>
      </c>
      <c r="K1834" t="n">
        <v>0</v>
      </c>
      <c r="L1834" t="n">
        <v>1</v>
      </c>
      <c r="M1834" t="n">
        <v>0</v>
      </c>
    </row>
    <row r="1835" spans="1:13">
      <c r="A1835" s="1">
        <f>HYPERLINK("http://www.twitter.com/NathanBLawrence/status/983778809982971904", "983778809982971904")</f>
        <v/>
      </c>
      <c r="B1835" s="2" t="n">
        <v>43200.78379629629</v>
      </c>
      <c r="C1835" t="n">
        <v>0</v>
      </c>
      <c r="D1835" t="n">
        <v>72</v>
      </c>
      <c r="E1835" t="s">
        <v>1846</v>
      </c>
      <c r="F1835">
        <f>HYPERLINK("http://pbs.twimg.com/media/DacUtdxXkAAyrhv.jpg", "http://pbs.twimg.com/media/DacUtdxXkAAyrhv.jpg")</f>
        <v/>
      </c>
      <c r="G1835" t="s"/>
      <c r="H1835" t="s"/>
      <c r="I1835" t="s"/>
      <c r="J1835" t="n">
        <v>0</v>
      </c>
      <c r="K1835" t="n">
        <v>0</v>
      </c>
      <c r="L1835" t="n">
        <v>1</v>
      </c>
      <c r="M1835" t="n">
        <v>0</v>
      </c>
    </row>
    <row r="1836" spans="1:13">
      <c r="A1836" s="1">
        <f>HYPERLINK("http://www.twitter.com/NathanBLawrence/status/983776074583740416", "983776074583740416")</f>
        <v/>
      </c>
      <c r="B1836" s="2" t="n">
        <v>43200.77625</v>
      </c>
      <c r="C1836" t="n">
        <v>0</v>
      </c>
      <c r="D1836" t="n">
        <v>3</v>
      </c>
      <c r="E1836" t="s">
        <v>1847</v>
      </c>
      <c r="F1836">
        <f>HYPERLINK("http://pbs.twimg.com/media/DacPXZvVwAAnv1E.jpg", "http://pbs.twimg.com/media/DacPXZvVwAAnv1E.jpg")</f>
        <v/>
      </c>
      <c r="G1836" t="s"/>
      <c r="H1836" t="s"/>
      <c r="I1836" t="s"/>
      <c r="J1836" t="n">
        <v>0</v>
      </c>
      <c r="K1836" t="n">
        <v>0</v>
      </c>
      <c r="L1836" t="n">
        <v>1</v>
      </c>
      <c r="M1836" t="n">
        <v>0</v>
      </c>
    </row>
    <row r="1837" spans="1:13">
      <c r="A1837" s="1">
        <f>HYPERLINK("http://www.twitter.com/NathanBLawrence/status/983775805280079872", "983775805280079872")</f>
        <v/>
      </c>
      <c r="B1837" s="2" t="n">
        <v>43200.77550925926</v>
      </c>
      <c r="C1837" t="n">
        <v>0</v>
      </c>
      <c r="D1837" t="n">
        <v>207</v>
      </c>
      <c r="E1837" t="s">
        <v>1848</v>
      </c>
      <c r="F1837" t="s"/>
      <c r="G1837" t="s"/>
      <c r="H1837" t="s"/>
      <c r="I1837" t="s"/>
      <c r="J1837" t="n">
        <v>-0.8658</v>
      </c>
      <c r="K1837" t="n">
        <v>0.377</v>
      </c>
      <c r="L1837" t="n">
        <v>0.623</v>
      </c>
      <c r="M1837" t="n">
        <v>0</v>
      </c>
    </row>
    <row r="1838" spans="1:13">
      <c r="A1838" s="1">
        <f>HYPERLINK("http://www.twitter.com/NathanBLawrence/status/983775719389097984", "983775719389097984")</f>
        <v/>
      </c>
      <c r="B1838" s="2" t="n">
        <v>43200.7752662037</v>
      </c>
      <c r="C1838" t="n">
        <v>0</v>
      </c>
      <c r="D1838" t="n">
        <v>318</v>
      </c>
      <c r="E1838" t="s">
        <v>1849</v>
      </c>
      <c r="F1838">
        <f>HYPERLINK("http://pbs.twimg.com/media/DabEijRUwAE6YWE.jpg", "http://pbs.twimg.com/media/DabEijRUwAE6YWE.jpg")</f>
        <v/>
      </c>
      <c r="G1838" t="s"/>
      <c r="H1838" t="s"/>
      <c r="I1838" t="s"/>
      <c r="J1838" t="n">
        <v>0.7964</v>
      </c>
      <c r="K1838" t="n">
        <v>0</v>
      </c>
      <c r="L1838" t="n">
        <v>0.576</v>
      </c>
      <c r="M1838" t="n">
        <v>0.424</v>
      </c>
    </row>
    <row r="1839" spans="1:13">
      <c r="A1839" s="1">
        <f>HYPERLINK("http://www.twitter.com/NathanBLawrence/status/983775326395355136", "983775326395355136")</f>
        <v/>
      </c>
      <c r="B1839" s="2" t="n">
        <v>43200.77418981482</v>
      </c>
      <c r="C1839" t="n">
        <v>0</v>
      </c>
      <c r="D1839" t="n">
        <v>1189</v>
      </c>
      <c r="E1839" t="s">
        <v>1850</v>
      </c>
      <c r="F1839" t="s"/>
      <c r="G1839" t="s"/>
      <c r="H1839" t="s"/>
      <c r="I1839" t="s"/>
      <c r="J1839" t="n">
        <v>0</v>
      </c>
      <c r="K1839" t="n">
        <v>0</v>
      </c>
      <c r="L1839" t="n">
        <v>1</v>
      </c>
      <c r="M1839" t="n">
        <v>0</v>
      </c>
    </row>
    <row r="1840" spans="1:13">
      <c r="A1840" s="1">
        <f>HYPERLINK("http://www.twitter.com/NathanBLawrence/status/983775155628453888", "983775155628453888")</f>
        <v/>
      </c>
      <c r="B1840" s="2" t="n">
        <v>43200.77371527778</v>
      </c>
      <c r="C1840" t="n">
        <v>0</v>
      </c>
      <c r="D1840" t="n">
        <v>748</v>
      </c>
      <c r="E1840" t="s">
        <v>1851</v>
      </c>
      <c r="F1840">
        <f>HYPERLINK("https://video.twimg.com/amplify_video/975835837379198976/vid/480x480/uBGkPDhUEXpQbe7M.mp4", "https://video.twimg.com/amplify_video/975835837379198976/vid/480x480/uBGkPDhUEXpQbe7M.mp4")</f>
        <v/>
      </c>
      <c r="G1840" t="s"/>
      <c r="H1840" t="s"/>
      <c r="I1840" t="s"/>
      <c r="J1840" t="n">
        <v>0</v>
      </c>
      <c r="K1840" t="n">
        <v>0</v>
      </c>
      <c r="L1840" t="n">
        <v>1</v>
      </c>
      <c r="M1840" t="n">
        <v>0</v>
      </c>
    </row>
    <row r="1841" spans="1:13">
      <c r="A1841" s="1">
        <f>HYPERLINK("http://www.twitter.com/NathanBLawrence/status/983775003861766144", "983775003861766144")</f>
        <v/>
      </c>
      <c r="B1841" s="2" t="n">
        <v>43200.77329861111</v>
      </c>
      <c r="C1841" t="n">
        <v>0</v>
      </c>
      <c r="D1841" t="n">
        <v>302</v>
      </c>
      <c r="E1841" t="s">
        <v>1852</v>
      </c>
      <c r="F1841" t="s"/>
      <c r="G1841" t="s"/>
      <c r="H1841" t="s"/>
      <c r="I1841" t="s"/>
      <c r="J1841" t="n">
        <v>-0.1511</v>
      </c>
      <c r="K1841" t="n">
        <v>0.125</v>
      </c>
      <c r="L1841" t="n">
        <v>0.776</v>
      </c>
      <c r="M1841" t="n">
        <v>0.099</v>
      </c>
    </row>
    <row r="1842" spans="1:13">
      <c r="A1842" s="1">
        <f>HYPERLINK("http://www.twitter.com/NathanBLawrence/status/983749581493108736", "983749581493108736")</f>
        <v/>
      </c>
      <c r="B1842" s="2" t="n">
        <v>43200.70314814815</v>
      </c>
      <c r="C1842" t="n">
        <v>0</v>
      </c>
      <c r="D1842" t="n">
        <v>119</v>
      </c>
      <c r="E1842" t="s">
        <v>1853</v>
      </c>
      <c r="F1842" t="s"/>
      <c r="G1842" t="s"/>
      <c r="H1842" t="s"/>
      <c r="I1842" t="s"/>
      <c r="J1842" t="n">
        <v>-0.4547</v>
      </c>
      <c r="K1842" t="n">
        <v>0.209</v>
      </c>
      <c r="L1842" t="n">
        <v>0.698</v>
      </c>
      <c r="M1842" t="n">
        <v>0.093</v>
      </c>
    </row>
    <row r="1843" spans="1:13">
      <c r="A1843" s="1">
        <f>HYPERLINK("http://www.twitter.com/NathanBLawrence/status/983713431571386368", "983713431571386368")</f>
        <v/>
      </c>
      <c r="B1843" s="2" t="n">
        <v>43200.6033912037</v>
      </c>
      <c r="C1843" t="n">
        <v>0</v>
      </c>
      <c r="D1843" t="n">
        <v>789</v>
      </c>
      <c r="E1843" t="s">
        <v>1854</v>
      </c>
      <c r="F1843">
        <f>HYPERLINK("https://video.twimg.com/amplify_video/983510430567096320/vid/1280x720/qSRzCU8H1P_v9f8a.mp4?tag=2", "https://video.twimg.com/amplify_video/983510430567096320/vid/1280x720/qSRzCU8H1P_v9f8a.mp4?tag=2")</f>
        <v/>
      </c>
      <c r="G1843" t="s"/>
      <c r="H1843" t="s"/>
      <c r="I1843" t="s"/>
      <c r="J1843" t="n">
        <v>0.34</v>
      </c>
      <c r="K1843" t="n">
        <v>0</v>
      </c>
      <c r="L1843" t="n">
        <v>0.876</v>
      </c>
      <c r="M1843" t="n">
        <v>0.124</v>
      </c>
    </row>
    <row r="1844" spans="1:13">
      <c r="A1844" s="1">
        <f>HYPERLINK("http://www.twitter.com/NathanBLawrence/status/983710030611517440", "983710030611517440")</f>
        <v/>
      </c>
      <c r="B1844" s="2" t="n">
        <v>43200.59400462963</v>
      </c>
      <c r="C1844" t="n">
        <v>0</v>
      </c>
      <c r="D1844" t="n">
        <v>61</v>
      </c>
      <c r="E1844" t="s">
        <v>1855</v>
      </c>
      <c r="F1844" t="s"/>
      <c r="G1844" t="s"/>
      <c r="H1844" t="s"/>
      <c r="I1844" t="s"/>
      <c r="J1844" t="n">
        <v>0.2942</v>
      </c>
      <c r="K1844" t="n">
        <v>0.162</v>
      </c>
      <c r="L1844" t="n">
        <v>0.623</v>
      </c>
      <c r="M1844" t="n">
        <v>0.215</v>
      </c>
    </row>
    <row r="1845" spans="1:13">
      <c r="A1845" s="1">
        <f>HYPERLINK("http://www.twitter.com/NathanBLawrence/status/983709579841298432", "983709579841298432")</f>
        <v/>
      </c>
      <c r="B1845" s="2" t="n">
        <v>43200.59275462963</v>
      </c>
      <c r="C1845" t="n">
        <v>0</v>
      </c>
      <c r="D1845" t="n">
        <v>1299</v>
      </c>
      <c r="E1845" t="s">
        <v>1856</v>
      </c>
      <c r="F1845">
        <f>HYPERLINK("http://pbs.twimg.com/media/DaZCV9mW0AAe-iN.jpg", "http://pbs.twimg.com/media/DaZCV9mW0AAe-iN.jpg")</f>
        <v/>
      </c>
      <c r="G1845" t="s"/>
      <c r="H1845" t="s"/>
      <c r="I1845" t="s"/>
      <c r="J1845" t="n">
        <v>0</v>
      </c>
      <c r="K1845" t="n">
        <v>0</v>
      </c>
      <c r="L1845" t="n">
        <v>1</v>
      </c>
      <c r="M1845" t="n">
        <v>0</v>
      </c>
    </row>
    <row r="1846" spans="1:13">
      <c r="A1846" s="1">
        <f>HYPERLINK("http://www.twitter.com/NathanBLawrence/status/983708956848779265", "983708956848779265")</f>
        <v/>
      </c>
      <c r="B1846" s="2" t="n">
        <v>43200.59104166667</v>
      </c>
      <c r="C1846" t="n">
        <v>0</v>
      </c>
      <c r="D1846" t="n">
        <v>371</v>
      </c>
      <c r="E1846" t="s">
        <v>1857</v>
      </c>
      <c r="F1846">
        <f>HYPERLINK("http://pbs.twimg.com/media/Daam70_WAAAqmmj.jpg", "http://pbs.twimg.com/media/Daam70_WAAAqmmj.jpg")</f>
        <v/>
      </c>
      <c r="G1846" t="s"/>
      <c r="H1846" t="s"/>
      <c r="I1846" t="s"/>
      <c r="J1846" t="n">
        <v>0.4404</v>
      </c>
      <c r="K1846" t="n">
        <v>0</v>
      </c>
      <c r="L1846" t="n">
        <v>0.879</v>
      </c>
      <c r="M1846" t="n">
        <v>0.121</v>
      </c>
    </row>
    <row r="1847" spans="1:13">
      <c r="A1847" s="1">
        <f>HYPERLINK("http://www.twitter.com/NathanBLawrence/status/983708151273934848", "983708151273934848")</f>
        <v/>
      </c>
      <c r="B1847" s="2" t="n">
        <v>43200.58881944444</v>
      </c>
      <c r="C1847" t="n">
        <v>0</v>
      </c>
      <c r="D1847" t="n">
        <v>11014</v>
      </c>
      <c r="E1847" t="s">
        <v>1858</v>
      </c>
      <c r="F1847" t="s"/>
      <c r="G1847" t="s"/>
      <c r="H1847" t="s"/>
      <c r="I1847" t="s"/>
      <c r="J1847" t="n">
        <v>-0.2263</v>
      </c>
      <c r="K1847" t="n">
        <v>0.148</v>
      </c>
      <c r="L1847" t="n">
        <v>0.742</v>
      </c>
      <c r="M1847" t="n">
        <v>0.109</v>
      </c>
    </row>
    <row r="1848" spans="1:13">
      <c r="A1848" s="1">
        <f>HYPERLINK("http://www.twitter.com/NathanBLawrence/status/983707659173072897", "983707659173072897")</f>
        <v/>
      </c>
      <c r="B1848" s="2" t="n">
        <v>43200.58746527778</v>
      </c>
      <c r="C1848" t="n">
        <v>0</v>
      </c>
      <c r="D1848" t="n">
        <v>19237</v>
      </c>
      <c r="E1848" t="s">
        <v>1859</v>
      </c>
      <c r="F1848">
        <f>HYPERLINK("http://pbs.twimg.com/media/DabMzj3VMAMFUgn.jpg", "http://pbs.twimg.com/media/DabMzj3VMAMFUgn.jpg")</f>
        <v/>
      </c>
      <c r="G1848" t="s"/>
      <c r="H1848" t="s"/>
      <c r="I1848" t="s"/>
      <c r="J1848" t="n">
        <v>0.8316</v>
      </c>
      <c r="K1848" t="n">
        <v>0</v>
      </c>
      <c r="L1848" t="n">
        <v>0.694</v>
      </c>
      <c r="M1848" t="n">
        <v>0.306</v>
      </c>
    </row>
    <row r="1849" spans="1:13">
      <c r="A1849" s="1">
        <f>HYPERLINK("http://www.twitter.com/NathanBLawrence/status/983706396431732738", "983706396431732738")</f>
        <v/>
      </c>
      <c r="B1849" s="2" t="n">
        <v>43200.58396990741</v>
      </c>
      <c r="C1849" t="n">
        <v>0</v>
      </c>
      <c r="D1849" t="n">
        <v>1533</v>
      </c>
      <c r="E1849" t="s">
        <v>1860</v>
      </c>
      <c r="F1849">
        <f>HYPERLINK("https://video.twimg.com/amplify_video/983704164546031617/vid/1280x720/w7QS0scR9w88nYKs.mp4?tag=6", "https://video.twimg.com/amplify_video/983704164546031617/vid/1280x720/w7QS0scR9w88nYKs.mp4?tag=6")</f>
        <v/>
      </c>
      <c r="G1849" t="s"/>
      <c r="H1849" t="s"/>
      <c r="I1849" t="s"/>
      <c r="J1849" t="n">
        <v>0.6597</v>
      </c>
      <c r="K1849" t="n">
        <v>0</v>
      </c>
      <c r="L1849" t="n">
        <v>0.759</v>
      </c>
      <c r="M1849" t="n">
        <v>0.241</v>
      </c>
    </row>
    <row r="1850" spans="1:13">
      <c r="A1850" s="1">
        <f>HYPERLINK("http://www.twitter.com/NathanBLawrence/status/983553007970287617", "983553007970287617")</f>
        <v/>
      </c>
      <c r="B1850" s="2" t="n">
        <v>43200.16070601852</v>
      </c>
      <c r="C1850" t="n">
        <v>0</v>
      </c>
      <c r="D1850" t="n">
        <v>1656</v>
      </c>
      <c r="E1850" t="s">
        <v>1861</v>
      </c>
      <c r="F1850">
        <f>HYPERLINK("https://video.twimg.com/ext_tw_video/983546762978787328/pu/vid/1280x720/chnwFnhCDJy27-03.mp4?tag=2", "https://video.twimg.com/ext_tw_video/983546762978787328/pu/vid/1280x720/chnwFnhCDJy27-03.mp4?tag=2")</f>
        <v/>
      </c>
      <c r="G1850" t="s"/>
      <c r="H1850" t="s"/>
      <c r="I1850" t="s"/>
      <c r="J1850" t="n">
        <v>-0.1027</v>
      </c>
      <c r="K1850" t="n">
        <v>0.055</v>
      </c>
      <c r="L1850" t="n">
        <v>0.945</v>
      </c>
      <c r="M1850" t="n">
        <v>0</v>
      </c>
    </row>
    <row r="1851" spans="1:13">
      <c r="A1851" s="1">
        <f>HYPERLINK("http://www.twitter.com/NathanBLawrence/status/983551081392287744", "983551081392287744")</f>
        <v/>
      </c>
      <c r="B1851" s="2" t="n">
        <v>43200.15538194445</v>
      </c>
      <c r="C1851" t="n">
        <v>0</v>
      </c>
      <c r="D1851" t="n">
        <v>8</v>
      </c>
      <c r="E1851" t="s">
        <v>1862</v>
      </c>
      <c r="F1851" t="s"/>
      <c r="G1851" t="s"/>
      <c r="H1851" t="s"/>
      <c r="I1851" t="s"/>
      <c r="J1851" t="n">
        <v>0</v>
      </c>
      <c r="K1851" t="n">
        <v>0</v>
      </c>
      <c r="L1851" t="n">
        <v>1</v>
      </c>
      <c r="M1851" t="n">
        <v>0</v>
      </c>
    </row>
    <row r="1852" spans="1:13">
      <c r="A1852" s="1">
        <f>HYPERLINK("http://www.twitter.com/NathanBLawrence/status/983550845009780737", "983550845009780737")</f>
        <v/>
      </c>
      <c r="B1852" s="2" t="n">
        <v>43200.1547337963</v>
      </c>
      <c r="C1852" t="n">
        <v>0</v>
      </c>
      <c r="D1852" t="n">
        <v>21</v>
      </c>
      <c r="E1852" t="s">
        <v>1863</v>
      </c>
      <c r="F1852" t="s"/>
      <c r="G1852" t="s"/>
      <c r="H1852" t="s"/>
      <c r="I1852" t="s"/>
      <c r="J1852" t="n">
        <v>-0.25</v>
      </c>
      <c r="K1852" t="n">
        <v>0.214</v>
      </c>
      <c r="L1852" t="n">
        <v>0.649</v>
      </c>
      <c r="M1852" t="n">
        <v>0.137</v>
      </c>
    </row>
    <row r="1853" spans="1:13">
      <c r="A1853" s="1">
        <f>HYPERLINK("http://www.twitter.com/NathanBLawrence/status/983550585130582016", "983550585130582016")</f>
        <v/>
      </c>
      <c r="B1853" s="2" t="n">
        <v>43200.15401620371</v>
      </c>
      <c r="C1853" t="n">
        <v>0</v>
      </c>
      <c r="D1853" t="n">
        <v>460</v>
      </c>
      <c r="E1853" t="s">
        <v>1864</v>
      </c>
      <c r="F1853">
        <f>HYPERLINK("http://pbs.twimg.com/media/DaXwzrJX4AEqAaC.jpg", "http://pbs.twimg.com/media/DaXwzrJX4AEqAaC.jpg")</f>
        <v/>
      </c>
      <c r="G1853" t="s"/>
      <c r="H1853" t="s"/>
      <c r="I1853" t="s"/>
      <c r="J1853" t="n">
        <v>0</v>
      </c>
      <c r="K1853" t="n">
        <v>0</v>
      </c>
      <c r="L1853" t="n">
        <v>1</v>
      </c>
      <c r="M1853" t="n">
        <v>0</v>
      </c>
    </row>
    <row r="1854" spans="1:13">
      <c r="A1854" s="1">
        <f>HYPERLINK("http://www.twitter.com/NathanBLawrence/status/983550549319700480", "983550549319700480")</f>
        <v/>
      </c>
      <c r="B1854" s="2" t="n">
        <v>43200.15392361111</v>
      </c>
      <c r="C1854" t="n">
        <v>0</v>
      </c>
      <c r="D1854" t="n">
        <v>667</v>
      </c>
      <c r="E1854" t="s">
        <v>1865</v>
      </c>
      <c r="F1854">
        <f>HYPERLINK("http://pbs.twimg.com/media/DaYVE_4VMAI1g0X.jpg", "http://pbs.twimg.com/media/DaYVE_4VMAI1g0X.jpg")</f>
        <v/>
      </c>
      <c r="G1854" t="s"/>
      <c r="H1854" t="s"/>
      <c r="I1854" t="s"/>
      <c r="J1854" t="n">
        <v>-0.6561</v>
      </c>
      <c r="K1854" t="n">
        <v>0.212</v>
      </c>
      <c r="L1854" t="n">
        <v>0.788</v>
      </c>
      <c r="M1854" t="n">
        <v>0</v>
      </c>
    </row>
    <row r="1855" spans="1:13">
      <c r="A1855" s="1">
        <f>HYPERLINK("http://www.twitter.com/NathanBLawrence/status/983550292863148032", "983550292863148032")</f>
        <v/>
      </c>
      <c r="B1855" s="2" t="n">
        <v>43200.15320601852</v>
      </c>
      <c r="C1855" t="n">
        <v>0</v>
      </c>
      <c r="D1855" t="n">
        <v>227</v>
      </c>
      <c r="E1855" t="s">
        <v>1866</v>
      </c>
      <c r="F1855" t="s"/>
      <c r="G1855" t="s"/>
      <c r="H1855" t="s"/>
      <c r="I1855" t="s"/>
      <c r="J1855" t="n">
        <v>0.296</v>
      </c>
      <c r="K1855" t="n">
        <v>0</v>
      </c>
      <c r="L1855" t="n">
        <v>0.901</v>
      </c>
      <c r="M1855" t="n">
        <v>0.099</v>
      </c>
    </row>
    <row r="1856" spans="1:13">
      <c r="A1856" s="1">
        <f>HYPERLINK("http://www.twitter.com/NathanBLawrence/status/983549283742945280", "983549283742945280")</f>
        <v/>
      </c>
      <c r="B1856" s="2" t="n">
        <v>43200.15042824074</v>
      </c>
      <c r="C1856" t="n">
        <v>0</v>
      </c>
      <c r="D1856" t="n">
        <v>64</v>
      </c>
      <c r="E1856" t="s">
        <v>1867</v>
      </c>
      <c r="F1856" t="s"/>
      <c r="G1856" t="s"/>
      <c r="H1856" t="s"/>
      <c r="I1856" t="s"/>
      <c r="J1856" t="n">
        <v>0</v>
      </c>
      <c r="K1856" t="n">
        <v>0</v>
      </c>
      <c r="L1856" t="n">
        <v>1</v>
      </c>
      <c r="M1856" t="n">
        <v>0</v>
      </c>
    </row>
    <row r="1857" spans="1:13">
      <c r="A1857" s="1">
        <f>HYPERLINK("http://www.twitter.com/NathanBLawrence/status/983548916015812608", "983548916015812608")</f>
        <v/>
      </c>
      <c r="B1857" s="2" t="n">
        <v>43200.14940972222</v>
      </c>
      <c r="C1857" t="n">
        <v>0</v>
      </c>
      <c r="D1857" t="n">
        <v>26272</v>
      </c>
      <c r="E1857" t="s">
        <v>1868</v>
      </c>
      <c r="F1857" t="s"/>
      <c r="G1857" t="s"/>
      <c r="H1857" t="s"/>
      <c r="I1857" t="s"/>
      <c r="J1857" t="n">
        <v>0.7351</v>
      </c>
      <c r="K1857" t="n">
        <v>0.062</v>
      </c>
      <c r="L1857" t="n">
        <v>0.652</v>
      </c>
      <c r="M1857" t="n">
        <v>0.286</v>
      </c>
    </row>
    <row r="1858" spans="1:13">
      <c r="A1858" s="1">
        <f>HYPERLINK("http://www.twitter.com/NathanBLawrence/status/983548823887929344", "983548823887929344")</f>
        <v/>
      </c>
      <c r="B1858" s="2" t="n">
        <v>43200.14915509259</v>
      </c>
      <c r="C1858" t="n">
        <v>0</v>
      </c>
      <c r="D1858" t="n">
        <v>1298</v>
      </c>
      <c r="E1858" t="s">
        <v>1869</v>
      </c>
      <c r="F1858" t="s"/>
      <c r="G1858" t="s"/>
      <c r="H1858" t="s"/>
      <c r="I1858" t="s"/>
      <c r="J1858" t="n">
        <v>0</v>
      </c>
      <c r="K1858" t="n">
        <v>0</v>
      </c>
      <c r="L1858" t="n">
        <v>1</v>
      </c>
      <c r="M1858" t="n">
        <v>0</v>
      </c>
    </row>
    <row r="1859" spans="1:13">
      <c r="A1859" s="1">
        <f>HYPERLINK("http://www.twitter.com/NathanBLawrence/status/983548362262802432", "983548362262802432")</f>
        <v/>
      </c>
      <c r="B1859" s="2" t="n">
        <v>43200.14788194445</v>
      </c>
      <c r="C1859" t="n">
        <v>0</v>
      </c>
      <c r="D1859" t="n">
        <v>2</v>
      </c>
      <c r="E1859" t="s">
        <v>1870</v>
      </c>
      <c r="F1859" t="s"/>
      <c r="G1859" t="s"/>
      <c r="H1859" t="s"/>
      <c r="I1859" t="s"/>
      <c r="J1859" t="n">
        <v>-0.5994</v>
      </c>
      <c r="K1859" t="n">
        <v>0.358</v>
      </c>
      <c r="L1859" t="n">
        <v>0.642</v>
      </c>
      <c r="M1859" t="n">
        <v>0</v>
      </c>
    </row>
    <row r="1860" spans="1:13">
      <c r="A1860" s="1">
        <f>HYPERLINK("http://www.twitter.com/NathanBLawrence/status/983541751012118531", "983541751012118531")</f>
        <v/>
      </c>
      <c r="B1860" s="2" t="n">
        <v>43200.1296412037</v>
      </c>
      <c r="C1860" t="n">
        <v>0</v>
      </c>
      <c r="D1860" t="n">
        <v>26</v>
      </c>
      <c r="E1860" t="s">
        <v>1871</v>
      </c>
      <c r="F1860" t="s"/>
      <c r="G1860" t="s"/>
      <c r="H1860" t="s"/>
      <c r="I1860" t="s"/>
      <c r="J1860" t="n">
        <v>-0.5266999999999999</v>
      </c>
      <c r="K1860" t="n">
        <v>0.188</v>
      </c>
      <c r="L1860" t="n">
        <v>0.8120000000000001</v>
      </c>
      <c r="M1860" t="n">
        <v>0</v>
      </c>
    </row>
    <row r="1861" spans="1:13">
      <c r="A1861" s="1">
        <f>HYPERLINK("http://www.twitter.com/NathanBLawrence/status/983541535680749568", "983541535680749568")</f>
        <v/>
      </c>
      <c r="B1861" s="2" t="n">
        <v>43200.12905092593</v>
      </c>
      <c r="C1861" t="n">
        <v>0</v>
      </c>
      <c r="D1861" t="n">
        <v>619</v>
      </c>
      <c r="E1861" t="s">
        <v>1872</v>
      </c>
      <c r="F1861" t="s"/>
      <c r="G1861" t="s"/>
      <c r="H1861" t="s"/>
      <c r="I1861" t="s"/>
      <c r="J1861" t="n">
        <v>0</v>
      </c>
      <c r="K1861" t="n">
        <v>0</v>
      </c>
      <c r="L1861" t="n">
        <v>1</v>
      </c>
      <c r="M1861" t="n">
        <v>0</v>
      </c>
    </row>
    <row r="1862" spans="1:13">
      <c r="A1862" s="1">
        <f>HYPERLINK("http://www.twitter.com/NathanBLawrence/status/983541482094198787", "983541482094198787")</f>
        <v/>
      </c>
      <c r="B1862" s="2" t="n">
        <v>43200.12890046297</v>
      </c>
      <c r="C1862" t="n">
        <v>0</v>
      </c>
      <c r="D1862" t="n">
        <v>26</v>
      </c>
      <c r="E1862" t="s">
        <v>1873</v>
      </c>
      <c r="F1862" t="s"/>
      <c r="G1862" t="s"/>
      <c r="H1862" t="s"/>
      <c r="I1862" t="s"/>
      <c r="J1862" t="n">
        <v>0.5266999999999999</v>
      </c>
      <c r="K1862" t="n">
        <v>0</v>
      </c>
      <c r="L1862" t="n">
        <v>0.541</v>
      </c>
      <c r="M1862" t="n">
        <v>0.459</v>
      </c>
    </row>
    <row r="1863" spans="1:13">
      <c r="A1863" s="1">
        <f>HYPERLINK("http://www.twitter.com/NathanBLawrence/status/983541368994910208", "983541368994910208")</f>
        <v/>
      </c>
      <c r="B1863" s="2" t="n">
        <v>43200.12858796296</v>
      </c>
      <c r="C1863" t="n">
        <v>0</v>
      </c>
      <c r="D1863" t="n">
        <v>1761</v>
      </c>
      <c r="E1863" t="s">
        <v>1874</v>
      </c>
      <c r="F1863" t="s"/>
      <c r="G1863" t="s"/>
      <c r="H1863" t="s"/>
      <c r="I1863" t="s"/>
      <c r="J1863" t="n">
        <v>0.0516</v>
      </c>
      <c r="K1863" t="n">
        <v>0.11</v>
      </c>
      <c r="L1863" t="n">
        <v>0.772</v>
      </c>
      <c r="M1863" t="n">
        <v>0.118</v>
      </c>
    </row>
    <row r="1864" spans="1:13">
      <c r="A1864" s="1">
        <f>HYPERLINK("http://www.twitter.com/NathanBLawrence/status/983539444232966144", "983539444232966144")</f>
        <v/>
      </c>
      <c r="B1864" s="2" t="n">
        <v>43200.12327546296</v>
      </c>
      <c r="C1864" t="n">
        <v>0</v>
      </c>
      <c r="D1864" t="n">
        <v>110</v>
      </c>
      <c r="E1864" t="s">
        <v>1875</v>
      </c>
      <c r="F1864">
        <f>HYPERLINK("http://pbs.twimg.com/media/DaWykIdW4AIj1pH.jpg", "http://pbs.twimg.com/media/DaWykIdW4AIj1pH.jpg")</f>
        <v/>
      </c>
      <c r="G1864" t="s"/>
      <c r="H1864" t="s"/>
      <c r="I1864" t="s"/>
      <c r="J1864" t="n">
        <v>0</v>
      </c>
      <c r="K1864" t="n">
        <v>0</v>
      </c>
      <c r="L1864" t="n">
        <v>1</v>
      </c>
      <c r="M1864" t="n">
        <v>0</v>
      </c>
    </row>
    <row r="1865" spans="1:13">
      <c r="A1865" s="1">
        <f>HYPERLINK("http://www.twitter.com/NathanBLawrence/status/983536167307169792", "983536167307169792")</f>
        <v/>
      </c>
      <c r="B1865" s="2" t="n">
        <v>43200.11423611111</v>
      </c>
      <c r="C1865" t="n">
        <v>0</v>
      </c>
      <c r="D1865" t="n">
        <v>42</v>
      </c>
      <c r="E1865" t="s">
        <v>1876</v>
      </c>
      <c r="F1865">
        <f>HYPERLINK("https://video.twimg.com/ext_tw_video/983510949578473472/pu/vid/640x360/IUl6GkzKMgyeIsIz.mp4?tag=2", "https://video.twimg.com/ext_tw_video/983510949578473472/pu/vid/640x360/IUl6GkzKMgyeIsIz.mp4?tag=2")</f>
        <v/>
      </c>
      <c r="G1865" t="s"/>
      <c r="H1865" t="s"/>
      <c r="I1865" t="s"/>
      <c r="J1865" t="n">
        <v>-0.5994</v>
      </c>
      <c r="K1865" t="n">
        <v>0.163</v>
      </c>
      <c r="L1865" t="n">
        <v>0.837</v>
      </c>
      <c r="M1865" t="n">
        <v>0</v>
      </c>
    </row>
    <row r="1866" spans="1:13">
      <c r="A1866" s="1">
        <f>HYPERLINK("http://www.twitter.com/NathanBLawrence/status/983535033729331200", "983535033729331200")</f>
        <v/>
      </c>
      <c r="B1866" s="2" t="n">
        <v>43200.11109953704</v>
      </c>
      <c r="C1866" t="n">
        <v>0</v>
      </c>
      <c r="D1866" t="n">
        <v>32</v>
      </c>
      <c r="E1866" t="s">
        <v>1877</v>
      </c>
      <c r="F1866">
        <f>HYPERLINK("http://pbs.twimg.com/media/DaDZnsHUMAApZpl.jpg", "http://pbs.twimg.com/media/DaDZnsHUMAApZpl.jpg")</f>
        <v/>
      </c>
      <c r="G1866" t="s"/>
      <c r="H1866" t="s"/>
      <c r="I1866" t="s"/>
      <c r="J1866" t="n">
        <v>0.9164</v>
      </c>
      <c r="K1866" t="n">
        <v>0.089</v>
      </c>
      <c r="L1866" t="n">
        <v>0.48</v>
      </c>
      <c r="M1866" t="n">
        <v>0.432</v>
      </c>
    </row>
    <row r="1867" spans="1:13">
      <c r="A1867" s="1">
        <f>HYPERLINK("http://www.twitter.com/NathanBLawrence/status/983534836785836032", "983534836785836032")</f>
        <v/>
      </c>
      <c r="B1867" s="2" t="n">
        <v>43200.11055555556</v>
      </c>
      <c r="C1867" t="n">
        <v>0</v>
      </c>
      <c r="D1867" t="n">
        <v>1453</v>
      </c>
      <c r="E1867" t="s">
        <v>1878</v>
      </c>
      <c r="F1867" t="s"/>
      <c r="G1867" t="s"/>
      <c r="H1867" t="s"/>
      <c r="I1867" t="s"/>
      <c r="J1867" t="n">
        <v>0</v>
      </c>
      <c r="K1867" t="n">
        <v>0</v>
      </c>
      <c r="L1867" t="n">
        <v>1</v>
      </c>
      <c r="M1867" t="n">
        <v>0</v>
      </c>
    </row>
    <row r="1868" spans="1:13">
      <c r="A1868" s="1">
        <f>HYPERLINK("http://www.twitter.com/NathanBLawrence/status/983533904920498176", "983533904920498176")</f>
        <v/>
      </c>
      <c r="B1868" s="2" t="n">
        <v>43200.10798611111</v>
      </c>
      <c r="C1868" t="n">
        <v>0</v>
      </c>
      <c r="D1868" t="n">
        <v>2317</v>
      </c>
      <c r="E1868" t="s">
        <v>1879</v>
      </c>
      <c r="F1868" t="s"/>
      <c r="G1868" t="s"/>
      <c r="H1868" t="s"/>
      <c r="I1868" t="s"/>
      <c r="J1868" t="n">
        <v>0.0258</v>
      </c>
      <c r="K1868" t="n">
        <v>0.096</v>
      </c>
      <c r="L1868" t="n">
        <v>0.803</v>
      </c>
      <c r="M1868" t="n">
        <v>0.1</v>
      </c>
    </row>
    <row r="1869" spans="1:13">
      <c r="A1869" s="1">
        <f>HYPERLINK("http://www.twitter.com/NathanBLawrence/status/983530963878768640", "983530963878768640")</f>
        <v/>
      </c>
      <c r="B1869" s="2" t="n">
        <v>43200.09987268518</v>
      </c>
      <c r="C1869" t="n">
        <v>0</v>
      </c>
      <c r="D1869" t="n">
        <v>5539</v>
      </c>
      <c r="E1869" t="s">
        <v>1880</v>
      </c>
      <c r="F1869">
        <f>HYPERLINK("http://pbs.twimg.com/media/DaXl4AJV4AA_un5.jpg", "http://pbs.twimg.com/media/DaXl4AJV4AA_un5.jpg")</f>
        <v/>
      </c>
      <c r="G1869">
        <f>HYPERLINK("http://pbs.twimg.com/media/DaXl5rtV4AEff6V.jpg", "http://pbs.twimg.com/media/DaXl5rtV4AEff6V.jpg")</f>
        <v/>
      </c>
      <c r="H1869" t="s"/>
      <c r="I1869" t="s"/>
      <c r="J1869" t="n">
        <v>0</v>
      </c>
      <c r="K1869" t="n">
        <v>0</v>
      </c>
      <c r="L1869" t="n">
        <v>1</v>
      </c>
      <c r="M1869" t="n">
        <v>0</v>
      </c>
    </row>
    <row r="1870" spans="1:13">
      <c r="A1870" s="1">
        <f>HYPERLINK("http://www.twitter.com/NathanBLawrence/status/983530792432398337", "983530792432398337")</f>
        <v/>
      </c>
      <c r="B1870" s="2" t="n">
        <v>43200.09939814815</v>
      </c>
      <c r="C1870" t="n">
        <v>0</v>
      </c>
      <c r="D1870" t="n">
        <v>643</v>
      </c>
      <c r="E1870" t="s">
        <v>1881</v>
      </c>
      <c r="F1870" t="s"/>
      <c r="G1870" t="s"/>
      <c r="H1870" t="s"/>
      <c r="I1870" t="s"/>
      <c r="J1870" t="n">
        <v>0.4404</v>
      </c>
      <c r="K1870" t="n">
        <v>0</v>
      </c>
      <c r="L1870" t="n">
        <v>0.868</v>
      </c>
      <c r="M1870" t="n">
        <v>0.132</v>
      </c>
    </row>
    <row r="1871" spans="1:13">
      <c r="A1871" s="1">
        <f>HYPERLINK("http://www.twitter.com/NathanBLawrence/status/983530636660142080", "983530636660142080")</f>
        <v/>
      </c>
      <c r="B1871" s="2" t="n">
        <v>43200.09896990741</v>
      </c>
      <c r="C1871" t="n">
        <v>0</v>
      </c>
      <c r="D1871" t="n">
        <v>339</v>
      </c>
      <c r="E1871" t="s">
        <v>1882</v>
      </c>
      <c r="F1871" t="s"/>
      <c r="G1871" t="s"/>
      <c r="H1871" t="s"/>
      <c r="I1871" t="s"/>
      <c r="J1871" t="n">
        <v>0.1531</v>
      </c>
      <c r="K1871" t="n">
        <v>0.078</v>
      </c>
      <c r="L1871" t="n">
        <v>0.821</v>
      </c>
      <c r="M1871" t="n">
        <v>0.101</v>
      </c>
    </row>
    <row r="1872" spans="1:13">
      <c r="A1872" s="1">
        <f>HYPERLINK("http://www.twitter.com/NathanBLawrence/status/983529746960142336", "983529746960142336")</f>
        <v/>
      </c>
      <c r="B1872" s="2" t="n">
        <v>43200.0965162037</v>
      </c>
      <c r="C1872" t="n">
        <v>0</v>
      </c>
      <c r="D1872" t="n">
        <v>11064</v>
      </c>
      <c r="E1872" t="s">
        <v>1883</v>
      </c>
      <c r="F1872" t="s"/>
      <c r="G1872" t="s"/>
      <c r="H1872" t="s"/>
      <c r="I1872" t="s"/>
      <c r="J1872" t="n">
        <v>-0.0516</v>
      </c>
      <c r="K1872" t="n">
        <v>0.165</v>
      </c>
      <c r="L1872" t="n">
        <v>0.677</v>
      </c>
      <c r="M1872" t="n">
        <v>0.158</v>
      </c>
    </row>
    <row r="1873" spans="1:13">
      <c r="A1873" s="1">
        <f>HYPERLINK("http://www.twitter.com/NathanBLawrence/status/983529286891171840", "983529286891171840")</f>
        <v/>
      </c>
      <c r="B1873" s="2" t="n">
        <v>43200.09524305556</v>
      </c>
      <c r="C1873" t="n">
        <v>0</v>
      </c>
      <c r="D1873" t="n">
        <v>1333</v>
      </c>
      <c r="E1873" t="s">
        <v>1884</v>
      </c>
      <c r="F1873">
        <f>HYPERLINK("https://video.twimg.com/ext_tw_video/949192210242826240/pu/vid/1280x720/w_5_2A-NI04qOC4a.mp4", "https://video.twimg.com/ext_tw_video/949192210242826240/pu/vid/1280x720/w_5_2A-NI04qOC4a.mp4")</f>
        <v/>
      </c>
      <c r="G1873" t="s"/>
      <c r="H1873" t="s"/>
      <c r="I1873" t="s"/>
      <c r="J1873" t="n">
        <v>0.7783</v>
      </c>
      <c r="K1873" t="n">
        <v>0</v>
      </c>
      <c r="L1873" t="n">
        <v>0.779</v>
      </c>
      <c r="M1873" t="n">
        <v>0.221</v>
      </c>
    </row>
    <row r="1874" spans="1:13">
      <c r="A1874" s="1">
        <f>HYPERLINK("http://www.twitter.com/NathanBLawrence/status/983528863245496320", "983528863245496320")</f>
        <v/>
      </c>
      <c r="B1874" s="2" t="n">
        <v>43200.09407407408</v>
      </c>
      <c r="C1874" t="n">
        <v>0</v>
      </c>
      <c r="D1874" t="n">
        <v>609</v>
      </c>
      <c r="E1874" t="s">
        <v>1885</v>
      </c>
      <c r="F1874">
        <f>HYPERLINK("http://pbs.twimg.com/media/DaYj75-VAAED5kt.jpg", "http://pbs.twimg.com/media/DaYj75-VAAED5kt.jpg")</f>
        <v/>
      </c>
      <c r="G1874" t="s"/>
      <c r="H1874" t="s"/>
      <c r="I1874" t="s"/>
      <c r="J1874" t="n">
        <v>0.4767</v>
      </c>
      <c r="K1874" t="n">
        <v>0</v>
      </c>
      <c r="L1874" t="n">
        <v>0.823</v>
      </c>
      <c r="M1874" t="n">
        <v>0.177</v>
      </c>
    </row>
    <row r="1875" spans="1:13">
      <c r="A1875" s="1">
        <f>HYPERLINK("http://www.twitter.com/NathanBLawrence/status/983528760854106114", "983528760854106114")</f>
        <v/>
      </c>
      <c r="B1875" s="2" t="n">
        <v>43200.0937962963</v>
      </c>
      <c r="C1875" t="n">
        <v>0</v>
      </c>
      <c r="D1875" t="n">
        <v>1629</v>
      </c>
      <c r="E1875" t="s">
        <v>1886</v>
      </c>
      <c r="F1875">
        <f>HYPERLINK("http://pbs.twimg.com/media/DaYuzgwXcAAECQY.jpg", "http://pbs.twimg.com/media/DaYuzgwXcAAECQY.jpg")</f>
        <v/>
      </c>
      <c r="G1875" t="s"/>
      <c r="H1875" t="s"/>
      <c r="I1875" t="s"/>
      <c r="J1875" t="n">
        <v>0</v>
      </c>
      <c r="K1875" t="n">
        <v>0</v>
      </c>
      <c r="L1875" t="n">
        <v>1</v>
      </c>
      <c r="M1875" t="n">
        <v>0</v>
      </c>
    </row>
    <row r="1876" spans="1:13">
      <c r="A1876" s="1">
        <f>HYPERLINK("http://www.twitter.com/NathanBLawrence/status/983528465147232259", "983528465147232259")</f>
        <v/>
      </c>
      <c r="B1876" s="2" t="n">
        <v>43200.09297453704</v>
      </c>
      <c r="C1876" t="n">
        <v>0</v>
      </c>
      <c r="D1876" t="n">
        <v>51</v>
      </c>
      <c r="E1876" t="s">
        <v>1887</v>
      </c>
      <c r="F1876" t="s"/>
      <c r="G1876" t="s"/>
      <c r="H1876" t="s"/>
      <c r="I1876" t="s"/>
      <c r="J1876" t="n">
        <v>0.4199</v>
      </c>
      <c r="K1876" t="n">
        <v>0</v>
      </c>
      <c r="L1876" t="n">
        <v>0.872</v>
      </c>
      <c r="M1876" t="n">
        <v>0.128</v>
      </c>
    </row>
    <row r="1877" spans="1:13">
      <c r="A1877" s="1">
        <f>HYPERLINK("http://www.twitter.com/NathanBLawrence/status/983527941966565376", "983527941966565376")</f>
        <v/>
      </c>
      <c r="B1877" s="2" t="n">
        <v>43200.09153935185</v>
      </c>
      <c r="C1877" t="n">
        <v>0</v>
      </c>
      <c r="D1877" t="n">
        <v>8863</v>
      </c>
      <c r="E1877" t="s">
        <v>1888</v>
      </c>
      <c r="F1877" t="s"/>
      <c r="G1877" t="s"/>
      <c r="H1877" t="s"/>
      <c r="I1877" t="s"/>
      <c r="J1877" t="n">
        <v>-0.6444</v>
      </c>
      <c r="K1877" t="n">
        <v>0.23</v>
      </c>
      <c r="L1877" t="n">
        <v>0.695</v>
      </c>
      <c r="M1877" t="n">
        <v>0.074</v>
      </c>
    </row>
    <row r="1878" spans="1:13">
      <c r="A1878" s="1">
        <f>HYPERLINK("http://www.twitter.com/NathanBLawrence/status/983527712835989504", "983527712835989504")</f>
        <v/>
      </c>
      <c r="B1878" s="2" t="n">
        <v>43200.09090277777</v>
      </c>
      <c r="C1878" t="n">
        <v>0</v>
      </c>
      <c r="D1878" t="n">
        <v>4828</v>
      </c>
      <c r="E1878" t="s">
        <v>1889</v>
      </c>
      <c r="F1878" t="s"/>
      <c r="G1878" t="s"/>
      <c r="H1878" t="s"/>
      <c r="I1878" t="s"/>
      <c r="J1878" t="n">
        <v>-0.3818</v>
      </c>
      <c r="K1878" t="n">
        <v>0.126</v>
      </c>
      <c r="L1878" t="n">
        <v>0.874</v>
      </c>
      <c r="M1878" t="n">
        <v>0</v>
      </c>
    </row>
    <row r="1879" spans="1:13">
      <c r="A1879" s="1">
        <f>HYPERLINK("http://www.twitter.com/NathanBLawrence/status/983526784225415168", "983526784225415168")</f>
        <v/>
      </c>
      <c r="B1879" s="2" t="n">
        <v>43200.08834490741</v>
      </c>
      <c r="C1879" t="n">
        <v>0</v>
      </c>
      <c r="D1879" t="n">
        <v>2162</v>
      </c>
      <c r="E1879" t="s">
        <v>1890</v>
      </c>
      <c r="F1879" t="s"/>
      <c r="G1879" t="s"/>
      <c r="H1879" t="s"/>
      <c r="I1879" t="s"/>
      <c r="J1879" t="n">
        <v>-0.5574</v>
      </c>
      <c r="K1879" t="n">
        <v>0.159</v>
      </c>
      <c r="L1879" t="n">
        <v>0.841</v>
      </c>
      <c r="M1879" t="n">
        <v>0</v>
      </c>
    </row>
    <row r="1880" spans="1:13">
      <c r="A1880" s="1">
        <f>HYPERLINK("http://www.twitter.com/NathanBLawrence/status/983526298130812928", "983526298130812928")</f>
        <v/>
      </c>
      <c r="B1880" s="2" t="n">
        <v>43200.08700231482</v>
      </c>
      <c r="C1880" t="n">
        <v>0</v>
      </c>
      <c r="D1880" t="n">
        <v>238</v>
      </c>
      <c r="E1880" t="s">
        <v>1891</v>
      </c>
      <c r="F1880" t="s"/>
      <c r="G1880" t="s"/>
      <c r="H1880" t="s"/>
      <c r="I1880" t="s"/>
      <c r="J1880" t="n">
        <v>0.7939000000000001</v>
      </c>
      <c r="K1880" t="n">
        <v>0.076</v>
      </c>
      <c r="L1880" t="n">
        <v>0.635</v>
      </c>
      <c r="M1880" t="n">
        <v>0.289</v>
      </c>
    </row>
    <row r="1881" spans="1:13">
      <c r="A1881" s="1">
        <f>HYPERLINK("http://www.twitter.com/NathanBLawrence/status/983524719193481216", "983524719193481216")</f>
        <v/>
      </c>
      <c r="B1881" s="2" t="n">
        <v>43200.08263888889</v>
      </c>
      <c r="C1881" t="n">
        <v>0</v>
      </c>
      <c r="D1881" t="n">
        <v>139</v>
      </c>
      <c r="E1881" t="s">
        <v>1892</v>
      </c>
      <c r="F1881">
        <f>HYPERLINK("http://pbs.twimg.com/media/DZktnLxWAAECm5-.jpg", "http://pbs.twimg.com/media/DZktnLxWAAECm5-.jpg")</f>
        <v/>
      </c>
      <c r="G1881" t="s"/>
      <c r="H1881" t="s"/>
      <c r="I1881" t="s"/>
      <c r="J1881" t="n">
        <v>0</v>
      </c>
      <c r="K1881" t="n">
        <v>0</v>
      </c>
      <c r="L1881" t="n">
        <v>1</v>
      </c>
      <c r="M1881" t="n">
        <v>0</v>
      </c>
    </row>
    <row r="1882" spans="1:13">
      <c r="A1882" s="1">
        <f>HYPERLINK("http://www.twitter.com/NathanBLawrence/status/983524401315569666", "983524401315569666")</f>
        <v/>
      </c>
      <c r="B1882" s="2" t="n">
        <v>43200.08175925926</v>
      </c>
      <c r="C1882" t="n">
        <v>0</v>
      </c>
      <c r="D1882" t="n">
        <v>2408</v>
      </c>
      <c r="E1882" t="s">
        <v>1893</v>
      </c>
      <c r="F1882">
        <f>HYPERLINK("http://pbs.twimg.com/media/DaYomKfW0AATFRR.jpg", "http://pbs.twimg.com/media/DaYomKfW0AATFRR.jpg")</f>
        <v/>
      </c>
      <c r="G1882" t="s"/>
      <c r="H1882" t="s"/>
      <c r="I1882" t="s"/>
      <c r="J1882" t="n">
        <v>0.0516</v>
      </c>
      <c r="K1882" t="n">
        <v>0.107</v>
      </c>
      <c r="L1882" t="n">
        <v>0.779</v>
      </c>
      <c r="M1882" t="n">
        <v>0.115</v>
      </c>
    </row>
    <row r="1883" spans="1:13">
      <c r="A1883" s="1">
        <f>HYPERLINK("http://www.twitter.com/NathanBLawrence/status/983523931213783040", "983523931213783040")</f>
        <v/>
      </c>
      <c r="B1883" s="2" t="n">
        <v>43200.08046296296</v>
      </c>
      <c r="C1883" t="n">
        <v>0</v>
      </c>
      <c r="D1883" t="n">
        <v>4</v>
      </c>
      <c r="E1883" t="s">
        <v>1894</v>
      </c>
      <c r="F1883">
        <f>HYPERLINK("http://pbs.twimg.com/media/DaYWKzUVwAEFTSZ.jpg", "http://pbs.twimg.com/media/DaYWKzUVwAEFTSZ.jpg")</f>
        <v/>
      </c>
      <c r="G1883" t="s"/>
      <c r="H1883" t="s"/>
      <c r="I1883" t="s"/>
      <c r="J1883" t="n">
        <v>-0.6209</v>
      </c>
      <c r="K1883" t="n">
        <v>0.169</v>
      </c>
      <c r="L1883" t="n">
        <v>0.831</v>
      </c>
      <c r="M1883" t="n">
        <v>0</v>
      </c>
    </row>
    <row r="1884" spans="1:13">
      <c r="A1884" s="1">
        <f>HYPERLINK("http://www.twitter.com/NathanBLawrence/status/983523435342172160", "983523435342172160")</f>
        <v/>
      </c>
      <c r="B1884" s="2" t="n">
        <v>43200.07909722222</v>
      </c>
      <c r="C1884" t="n">
        <v>0</v>
      </c>
      <c r="D1884" t="n">
        <v>595</v>
      </c>
      <c r="E1884" t="s">
        <v>1895</v>
      </c>
      <c r="F1884" t="s"/>
      <c r="G1884" t="s"/>
      <c r="H1884" t="s"/>
      <c r="I1884" t="s"/>
      <c r="J1884" t="n">
        <v>-0.3818</v>
      </c>
      <c r="K1884" t="n">
        <v>0.102</v>
      </c>
      <c r="L1884" t="n">
        <v>0.898</v>
      </c>
      <c r="M1884" t="n">
        <v>0</v>
      </c>
    </row>
    <row r="1885" spans="1:13">
      <c r="A1885" s="1">
        <f>HYPERLINK("http://www.twitter.com/NathanBLawrence/status/983523165380009984", "983523165380009984")</f>
        <v/>
      </c>
      <c r="B1885" s="2" t="n">
        <v>43200.07835648148</v>
      </c>
      <c r="C1885" t="n">
        <v>0</v>
      </c>
      <c r="D1885" t="n">
        <v>366</v>
      </c>
      <c r="E1885" t="s">
        <v>1896</v>
      </c>
      <c r="F1885">
        <f>HYPERLINK("http://pbs.twimg.com/media/DaYftXPWkAAftBm.jpg", "http://pbs.twimg.com/media/DaYftXPWkAAftBm.jpg")</f>
        <v/>
      </c>
      <c r="G1885" t="s"/>
      <c r="H1885" t="s"/>
      <c r="I1885" t="s"/>
      <c r="J1885" t="n">
        <v>0.3612</v>
      </c>
      <c r="K1885" t="n">
        <v>0</v>
      </c>
      <c r="L1885" t="n">
        <v>0.737</v>
      </c>
      <c r="M1885" t="n">
        <v>0.263</v>
      </c>
    </row>
    <row r="1886" spans="1:13">
      <c r="A1886" s="1">
        <f>HYPERLINK("http://www.twitter.com/NathanBLawrence/status/983522845006487552", "983522845006487552")</f>
        <v/>
      </c>
      <c r="B1886" s="2" t="n">
        <v>43200.07746527778</v>
      </c>
      <c r="C1886" t="n">
        <v>0</v>
      </c>
      <c r="D1886" t="n">
        <v>20</v>
      </c>
      <c r="E1886" t="s">
        <v>1897</v>
      </c>
      <c r="F1886" t="s"/>
      <c r="G1886" t="s"/>
      <c r="H1886" t="s"/>
      <c r="I1886" t="s"/>
      <c r="J1886" t="n">
        <v>0</v>
      </c>
      <c r="K1886" t="n">
        <v>0</v>
      </c>
      <c r="L1886" t="n">
        <v>1</v>
      </c>
      <c r="M1886" t="n">
        <v>0</v>
      </c>
    </row>
    <row r="1887" spans="1:13">
      <c r="A1887" s="1">
        <f>HYPERLINK("http://www.twitter.com/NathanBLawrence/status/983522795735969792", "983522795735969792")</f>
        <v/>
      </c>
      <c r="B1887" s="2" t="n">
        <v>43200.07733796296</v>
      </c>
      <c r="C1887" t="n">
        <v>0</v>
      </c>
      <c r="D1887" t="n">
        <v>3421</v>
      </c>
      <c r="E1887" t="s">
        <v>1898</v>
      </c>
      <c r="F1887">
        <f>HYPERLINK("http://pbs.twimg.com/media/DaX9SdYU0AA3A_E.jpg", "http://pbs.twimg.com/media/DaX9SdYU0AA3A_E.jpg")</f>
        <v/>
      </c>
      <c r="G1887" t="s"/>
      <c r="H1887" t="s"/>
      <c r="I1887" t="s"/>
      <c r="J1887" t="n">
        <v>0</v>
      </c>
      <c r="K1887" t="n">
        <v>0</v>
      </c>
      <c r="L1887" t="n">
        <v>1</v>
      </c>
      <c r="M1887" t="n">
        <v>0</v>
      </c>
    </row>
    <row r="1888" spans="1:13">
      <c r="A1888" s="1">
        <f>HYPERLINK("http://www.twitter.com/NathanBLawrence/status/983522048076144640", "983522048076144640")</f>
        <v/>
      </c>
      <c r="B1888" s="2" t="n">
        <v>43200.0752662037</v>
      </c>
      <c r="C1888" t="n">
        <v>0</v>
      </c>
      <c r="D1888" t="n">
        <v>745</v>
      </c>
      <c r="E1888" t="s">
        <v>1899</v>
      </c>
      <c r="F1888">
        <f>HYPERLINK("https://video.twimg.com/amplify_video/983515072529158146/vid/1280x720/jO4q4wqnK_YdA0DK.mp4?tag=6", "https://video.twimg.com/amplify_video/983515072529158146/vid/1280x720/jO4q4wqnK_YdA0DK.mp4?tag=6")</f>
        <v/>
      </c>
      <c r="G1888" t="s"/>
      <c r="H1888" t="s"/>
      <c r="I1888" t="s"/>
      <c r="J1888" t="n">
        <v>0</v>
      </c>
      <c r="K1888" t="n">
        <v>0</v>
      </c>
      <c r="L1888" t="n">
        <v>1</v>
      </c>
      <c r="M1888" t="n">
        <v>0</v>
      </c>
    </row>
    <row r="1889" spans="1:13">
      <c r="A1889" s="1">
        <f>HYPERLINK("http://www.twitter.com/NathanBLawrence/status/983521017766318080", "983521017766318080")</f>
        <v/>
      </c>
      <c r="B1889" s="2" t="n">
        <v>43200.07243055556</v>
      </c>
      <c r="C1889" t="n">
        <v>0</v>
      </c>
      <c r="D1889" t="n">
        <v>3848</v>
      </c>
      <c r="E1889" t="s">
        <v>1900</v>
      </c>
      <c r="F1889" t="s"/>
      <c r="G1889" t="s"/>
      <c r="H1889" t="s"/>
      <c r="I1889" t="s"/>
      <c r="J1889" t="n">
        <v>-0.3182</v>
      </c>
      <c r="K1889" t="n">
        <v>0.181</v>
      </c>
      <c r="L1889" t="n">
        <v>0.722</v>
      </c>
      <c r="M1889" t="n">
        <v>0.097</v>
      </c>
    </row>
    <row r="1890" spans="1:13">
      <c r="A1890" s="1">
        <f>HYPERLINK("http://www.twitter.com/NathanBLawrence/status/983496875503509504", "983496875503509504")</f>
        <v/>
      </c>
      <c r="B1890" s="2" t="n">
        <v>43200.00581018518</v>
      </c>
      <c r="C1890" t="n">
        <v>0</v>
      </c>
      <c r="D1890" t="n">
        <v>1399</v>
      </c>
      <c r="E1890" t="s">
        <v>1901</v>
      </c>
      <c r="F1890" t="s"/>
      <c r="G1890" t="s"/>
      <c r="H1890" t="s"/>
      <c r="I1890" t="s"/>
      <c r="J1890" t="n">
        <v>0.7319</v>
      </c>
      <c r="K1890" t="n">
        <v>0</v>
      </c>
      <c r="L1890" t="n">
        <v>0.765</v>
      </c>
      <c r="M1890" t="n">
        <v>0.235</v>
      </c>
    </row>
    <row r="1891" spans="1:13">
      <c r="A1891" s="1">
        <f>HYPERLINK("http://www.twitter.com/NathanBLawrence/status/983435301283561472", "983435301283561472")</f>
        <v/>
      </c>
      <c r="B1891" s="2" t="n">
        <v>43199.8358912037</v>
      </c>
      <c r="C1891" t="n">
        <v>0</v>
      </c>
      <c r="D1891" t="n">
        <v>294</v>
      </c>
      <c r="E1891" t="s">
        <v>1902</v>
      </c>
      <c r="F1891">
        <f>HYPERLINK("https://video.twimg.com/amplify_video/983383063609708544/vid/1280x720/u-PpRSEyRdnJjCps.mp4?tag=2", "https://video.twimg.com/amplify_video/983383063609708544/vid/1280x720/u-PpRSEyRdnJjCps.mp4?tag=2")</f>
        <v/>
      </c>
      <c r="G1891" t="s"/>
      <c r="H1891" t="s"/>
      <c r="I1891" t="s"/>
      <c r="J1891" t="n">
        <v>-0.6454</v>
      </c>
      <c r="K1891" t="n">
        <v>0.217</v>
      </c>
      <c r="L1891" t="n">
        <v>0.783</v>
      </c>
      <c r="M1891" t="n">
        <v>0</v>
      </c>
    </row>
    <row r="1892" spans="1:13">
      <c r="A1892" s="1">
        <f>HYPERLINK("http://www.twitter.com/NathanBLawrence/status/983434117739098112", "983434117739098112")</f>
        <v/>
      </c>
      <c r="B1892" s="2" t="n">
        <v>43199.83262731481</v>
      </c>
      <c r="C1892" t="n">
        <v>0</v>
      </c>
      <c r="D1892" t="n">
        <v>57</v>
      </c>
      <c r="E1892" t="s">
        <v>1903</v>
      </c>
      <c r="F1892">
        <f>HYPERLINK("http://pbs.twimg.com/media/DaR0vhNUwAAU_5U.jpg", "http://pbs.twimg.com/media/DaR0vhNUwAAU_5U.jpg")</f>
        <v/>
      </c>
      <c r="G1892" t="s"/>
      <c r="H1892" t="s"/>
      <c r="I1892" t="s"/>
      <c r="J1892" t="n">
        <v>0.636</v>
      </c>
      <c r="K1892" t="n">
        <v>0</v>
      </c>
      <c r="L1892" t="n">
        <v>0.536</v>
      </c>
      <c r="M1892" t="n">
        <v>0.464</v>
      </c>
    </row>
    <row r="1893" spans="1:13">
      <c r="A1893" s="1">
        <f>HYPERLINK("http://www.twitter.com/NathanBLawrence/status/983433327645483008", "983433327645483008")</f>
        <v/>
      </c>
      <c r="B1893" s="2" t="n">
        <v>43199.83045138889</v>
      </c>
      <c r="C1893" t="n">
        <v>0</v>
      </c>
      <c r="D1893" t="n">
        <v>91</v>
      </c>
      <c r="E1893" t="s">
        <v>1904</v>
      </c>
      <c r="F1893" t="s"/>
      <c r="G1893" t="s"/>
      <c r="H1893" t="s"/>
      <c r="I1893" t="s"/>
      <c r="J1893" t="n">
        <v>-0.8922</v>
      </c>
      <c r="K1893" t="n">
        <v>0.323</v>
      </c>
      <c r="L1893" t="n">
        <v>0.631</v>
      </c>
      <c r="M1893" t="n">
        <v>0.046</v>
      </c>
    </row>
    <row r="1894" spans="1:13">
      <c r="A1894" s="1">
        <f>HYPERLINK("http://www.twitter.com/NathanBLawrence/status/983432988326232065", "983432988326232065")</f>
        <v/>
      </c>
      <c r="B1894" s="2" t="n">
        <v>43199.82951388889</v>
      </c>
      <c r="C1894" t="n">
        <v>0</v>
      </c>
      <c r="D1894" t="n">
        <v>164</v>
      </c>
      <c r="E1894" t="s">
        <v>1905</v>
      </c>
      <c r="F1894" t="s"/>
      <c r="G1894" t="s"/>
      <c r="H1894" t="s"/>
      <c r="I1894" t="s"/>
      <c r="J1894" t="n">
        <v>-0.0258</v>
      </c>
      <c r="K1894" t="n">
        <v>0.172</v>
      </c>
      <c r="L1894" t="n">
        <v>0.661</v>
      </c>
      <c r="M1894" t="n">
        <v>0.167</v>
      </c>
    </row>
    <row r="1895" spans="1:13">
      <c r="A1895" s="1">
        <f>HYPERLINK("http://www.twitter.com/NathanBLawrence/status/983327393992642561", "983327393992642561")</f>
        <v/>
      </c>
      <c r="B1895" s="2" t="n">
        <v>43199.538125</v>
      </c>
      <c r="C1895" t="n">
        <v>0</v>
      </c>
      <c r="D1895" t="n">
        <v>201</v>
      </c>
      <c r="E1895" t="s">
        <v>1906</v>
      </c>
      <c r="F1895" t="s"/>
      <c r="G1895" t="s"/>
      <c r="H1895" t="s"/>
      <c r="I1895" t="s"/>
      <c r="J1895" t="n">
        <v>-0.128</v>
      </c>
      <c r="K1895" t="n">
        <v>0.108</v>
      </c>
      <c r="L1895" t="n">
        <v>0.8070000000000001</v>
      </c>
      <c r="M1895" t="n">
        <v>0.08500000000000001</v>
      </c>
    </row>
    <row r="1896" spans="1:13">
      <c r="A1896" s="1">
        <f>HYPERLINK("http://www.twitter.com/NathanBLawrence/status/983327325738754048", "983327325738754048")</f>
        <v/>
      </c>
      <c r="B1896" s="2" t="n">
        <v>43199.53793981481</v>
      </c>
      <c r="C1896" t="n">
        <v>0</v>
      </c>
      <c r="D1896" t="n">
        <v>1252</v>
      </c>
      <c r="E1896" t="s">
        <v>1907</v>
      </c>
      <c r="F1896">
        <f>HYPERLINK("http://pbs.twimg.com/media/DaOa66PUwAA-KDa.jpg", "http://pbs.twimg.com/media/DaOa66PUwAA-KDa.jpg")</f>
        <v/>
      </c>
      <c r="G1896" t="s"/>
      <c r="H1896" t="s"/>
      <c r="I1896" t="s"/>
      <c r="J1896" t="n">
        <v>0</v>
      </c>
      <c r="K1896" t="n">
        <v>0</v>
      </c>
      <c r="L1896" t="n">
        <v>1</v>
      </c>
      <c r="M1896" t="n">
        <v>0</v>
      </c>
    </row>
    <row r="1897" spans="1:13">
      <c r="A1897" s="1">
        <f>HYPERLINK("http://www.twitter.com/NathanBLawrence/status/983326183801663488", "983326183801663488")</f>
        <v/>
      </c>
      <c r="B1897" s="2" t="n">
        <v>43199.53479166667</v>
      </c>
      <c r="C1897" t="n">
        <v>0</v>
      </c>
      <c r="D1897" t="n">
        <v>331</v>
      </c>
      <c r="E1897" t="s">
        <v>1908</v>
      </c>
      <c r="F1897" t="s"/>
      <c r="G1897" t="s"/>
      <c r="H1897" t="s"/>
      <c r="I1897" t="s"/>
      <c r="J1897" t="n">
        <v>0</v>
      </c>
      <c r="K1897" t="n">
        <v>0</v>
      </c>
      <c r="L1897" t="n">
        <v>1</v>
      </c>
      <c r="M1897" t="n">
        <v>0</v>
      </c>
    </row>
    <row r="1898" spans="1:13">
      <c r="A1898" s="1">
        <f>HYPERLINK("http://www.twitter.com/NathanBLawrence/status/983323692859101184", "983323692859101184")</f>
        <v/>
      </c>
      <c r="B1898" s="2" t="n">
        <v>43199.52791666667</v>
      </c>
      <c r="C1898" t="n">
        <v>0</v>
      </c>
      <c r="D1898" t="n">
        <v>10</v>
      </c>
      <c r="E1898" t="s">
        <v>1909</v>
      </c>
      <c r="F1898" t="s"/>
      <c r="G1898" t="s"/>
      <c r="H1898" t="s"/>
      <c r="I1898" t="s"/>
      <c r="J1898" t="n">
        <v>-0.4404</v>
      </c>
      <c r="K1898" t="n">
        <v>0.172</v>
      </c>
      <c r="L1898" t="n">
        <v>0.828</v>
      </c>
      <c r="M1898" t="n">
        <v>0</v>
      </c>
    </row>
    <row r="1899" spans="1:13">
      <c r="A1899" s="1">
        <f>HYPERLINK("http://www.twitter.com/NathanBLawrence/status/983322933547454464", "983322933547454464")</f>
        <v/>
      </c>
      <c r="B1899" s="2" t="n">
        <v>43199.52582175926</v>
      </c>
      <c r="C1899" t="n">
        <v>0</v>
      </c>
      <c r="D1899" t="n">
        <v>5</v>
      </c>
      <c r="E1899" t="s">
        <v>1910</v>
      </c>
      <c r="F1899" t="s"/>
      <c r="G1899" t="s"/>
      <c r="H1899" t="s"/>
      <c r="I1899" t="s"/>
      <c r="J1899" t="n">
        <v>-0.5849</v>
      </c>
      <c r="K1899" t="n">
        <v>0.213</v>
      </c>
      <c r="L1899" t="n">
        <v>0.787</v>
      </c>
      <c r="M1899" t="n">
        <v>0</v>
      </c>
    </row>
    <row r="1900" spans="1:13">
      <c r="A1900" s="1">
        <f>HYPERLINK("http://www.twitter.com/NathanBLawrence/status/983322466725621761", "983322466725621761")</f>
        <v/>
      </c>
      <c r="B1900" s="2" t="n">
        <v>43199.52452546296</v>
      </c>
      <c r="C1900" t="n">
        <v>0</v>
      </c>
      <c r="D1900" t="n">
        <v>181</v>
      </c>
      <c r="E1900" t="s">
        <v>1911</v>
      </c>
      <c r="F1900" t="s"/>
      <c r="G1900" t="s"/>
      <c r="H1900" t="s"/>
      <c r="I1900" t="s"/>
      <c r="J1900" t="n">
        <v>0.0772</v>
      </c>
      <c r="K1900" t="n">
        <v>0</v>
      </c>
      <c r="L1900" t="n">
        <v>0.944</v>
      </c>
      <c r="M1900" t="n">
        <v>0.056</v>
      </c>
    </row>
    <row r="1901" spans="1:13">
      <c r="A1901" s="1">
        <f>HYPERLINK("http://www.twitter.com/NathanBLawrence/status/983321441721516033", "983321441721516033")</f>
        <v/>
      </c>
      <c r="B1901" s="2" t="n">
        <v>43199.52170138889</v>
      </c>
      <c r="C1901" t="n">
        <v>0</v>
      </c>
      <c r="D1901" t="n">
        <v>6</v>
      </c>
      <c r="E1901" t="s">
        <v>1912</v>
      </c>
      <c r="F1901" t="s"/>
      <c r="G1901" t="s"/>
      <c r="H1901" t="s"/>
      <c r="I1901" t="s"/>
      <c r="J1901" t="n">
        <v>-0.3818</v>
      </c>
      <c r="K1901" t="n">
        <v>0.126</v>
      </c>
      <c r="L1901" t="n">
        <v>0.8129999999999999</v>
      </c>
      <c r="M1901" t="n">
        <v>0.061</v>
      </c>
    </row>
    <row r="1902" spans="1:13">
      <c r="A1902" s="1">
        <f>HYPERLINK("http://www.twitter.com/NathanBLawrence/status/983320657810345985", "983320657810345985")</f>
        <v/>
      </c>
      <c r="B1902" s="2" t="n">
        <v>43199.51953703703</v>
      </c>
      <c r="C1902" t="n">
        <v>0</v>
      </c>
      <c r="D1902" t="n">
        <v>221</v>
      </c>
      <c r="E1902" t="s">
        <v>1913</v>
      </c>
      <c r="F1902" t="s"/>
      <c r="G1902" t="s"/>
      <c r="H1902" t="s"/>
      <c r="I1902" t="s"/>
      <c r="J1902" t="n">
        <v>0</v>
      </c>
      <c r="K1902" t="n">
        <v>0</v>
      </c>
      <c r="L1902" t="n">
        <v>1</v>
      </c>
      <c r="M1902" t="n">
        <v>0</v>
      </c>
    </row>
    <row r="1903" spans="1:13">
      <c r="A1903" s="1">
        <f>HYPERLINK("http://www.twitter.com/NathanBLawrence/status/983320409708945409", "983320409708945409")</f>
        <v/>
      </c>
      <c r="B1903" s="2" t="n">
        <v>43199.51885416666</v>
      </c>
      <c r="C1903" t="n">
        <v>0</v>
      </c>
      <c r="D1903" t="n">
        <v>117</v>
      </c>
      <c r="E1903" t="s">
        <v>1914</v>
      </c>
      <c r="F1903" t="s"/>
      <c r="G1903" t="s"/>
      <c r="H1903" t="s"/>
      <c r="I1903" t="s"/>
      <c r="J1903" t="n">
        <v>0</v>
      </c>
      <c r="K1903" t="n">
        <v>0</v>
      </c>
      <c r="L1903" t="n">
        <v>1</v>
      </c>
      <c r="M1903" t="n">
        <v>0</v>
      </c>
    </row>
    <row r="1904" spans="1:13">
      <c r="A1904" s="1">
        <f>HYPERLINK("http://www.twitter.com/NathanBLawrence/status/983319596433330176", "983319596433330176")</f>
        <v/>
      </c>
      <c r="B1904" s="2" t="n">
        <v>43199.51660879629</v>
      </c>
      <c r="C1904" t="n">
        <v>0</v>
      </c>
      <c r="D1904" t="n">
        <v>61</v>
      </c>
      <c r="E1904" t="s">
        <v>1915</v>
      </c>
      <c r="F1904" t="s"/>
      <c r="G1904" t="s"/>
      <c r="H1904" t="s"/>
      <c r="I1904" t="s"/>
      <c r="J1904" t="n">
        <v>0.4404</v>
      </c>
      <c r="K1904" t="n">
        <v>0</v>
      </c>
      <c r="L1904" t="n">
        <v>0.879</v>
      </c>
      <c r="M1904" t="n">
        <v>0.121</v>
      </c>
    </row>
    <row r="1905" spans="1:13">
      <c r="A1905" s="1">
        <f>HYPERLINK("http://www.twitter.com/NathanBLawrence/status/983319389499019265", "983319389499019265")</f>
        <v/>
      </c>
      <c r="B1905" s="2" t="n">
        <v>43199.51604166667</v>
      </c>
      <c r="C1905" t="n">
        <v>0</v>
      </c>
      <c r="D1905" t="n">
        <v>46315</v>
      </c>
      <c r="E1905" t="s">
        <v>1916</v>
      </c>
      <c r="F1905" t="s"/>
      <c r="G1905" t="s"/>
      <c r="H1905" t="s"/>
      <c r="I1905" t="s"/>
      <c r="J1905" t="n">
        <v>0.4215</v>
      </c>
      <c r="K1905" t="n">
        <v>0</v>
      </c>
      <c r="L1905" t="n">
        <v>0.899</v>
      </c>
      <c r="M1905" t="n">
        <v>0.101</v>
      </c>
    </row>
    <row r="1906" spans="1:13">
      <c r="A1906" s="1">
        <f>HYPERLINK("http://www.twitter.com/NathanBLawrence/status/983319168165515265", "983319168165515265")</f>
        <v/>
      </c>
      <c r="B1906" s="2" t="n">
        <v>43199.51542824074</v>
      </c>
      <c r="C1906" t="n">
        <v>0</v>
      </c>
      <c r="D1906" t="n">
        <v>501</v>
      </c>
      <c r="E1906" t="s">
        <v>1917</v>
      </c>
      <c r="F1906" t="s"/>
      <c r="G1906" t="s"/>
      <c r="H1906" t="s"/>
      <c r="I1906" t="s"/>
      <c r="J1906" t="n">
        <v>0.128</v>
      </c>
      <c r="K1906" t="n">
        <v>0.184</v>
      </c>
      <c r="L1906" t="n">
        <v>0.575</v>
      </c>
      <c r="M1906" t="n">
        <v>0.241</v>
      </c>
    </row>
    <row r="1907" spans="1:13">
      <c r="A1907" s="1">
        <f>HYPERLINK("http://www.twitter.com/NathanBLawrence/status/983316906215182336", "983316906215182336")</f>
        <v/>
      </c>
      <c r="B1907" s="2" t="n">
        <v>43199.50918981482</v>
      </c>
      <c r="C1907" t="n">
        <v>0</v>
      </c>
      <c r="D1907" t="n">
        <v>10</v>
      </c>
      <c r="E1907" t="s">
        <v>1918</v>
      </c>
      <c r="F1907">
        <f>HYPERLINK("http://pbs.twimg.com/media/DaN8Y1gU8AA74Zd.jpg", "http://pbs.twimg.com/media/DaN8Y1gU8AA74Zd.jpg")</f>
        <v/>
      </c>
      <c r="G1907" t="s"/>
      <c r="H1907" t="s"/>
      <c r="I1907" t="s"/>
      <c r="J1907" t="n">
        <v>0</v>
      </c>
      <c r="K1907" t="n">
        <v>0</v>
      </c>
      <c r="L1907" t="n">
        <v>1</v>
      </c>
      <c r="M1907" t="n">
        <v>0</v>
      </c>
    </row>
    <row r="1908" spans="1:13">
      <c r="A1908" s="1">
        <f>HYPERLINK("http://www.twitter.com/NathanBLawrence/status/983316277119848449", "983316277119848449")</f>
        <v/>
      </c>
      <c r="B1908" s="2" t="n">
        <v>43199.50745370371</v>
      </c>
      <c r="C1908" t="n">
        <v>0</v>
      </c>
      <c r="D1908" t="n">
        <v>81</v>
      </c>
      <c r="E1908" t="s">
        <v>1919</v>
      </c>
      <c r="F1908">
        <f>HYPERLINK("http://pbs.twimg.com/media/DaVsmmyW4AIaMZQ.jpg", "http://pbs.twimg.com/media/DaVsmmyW4AIaMZQ.jpg")</f>
        <v/>
      </c>
      <c r="G1908" t="s"/>
      <c r="H1908" t="s"/>
      <c r="I1908" t="s"/>
      <c r="J1908" t="n">
        <v>0</v>
      </c>
      <c r="K1908" t="n">
        <v>0</v>
      </c>
      <c r="L1908" t="n">
        <v>1</v>
      </c>
      <c r="M1908" t="n">
        <v>0</v>
      </c>
    </row>
    <row r="1909" spans="1:13">
      <c r="A1909" s="1">
        <f>HYPERLINK("http://www.twitter.com/NathanBLawrence/status/983315698893156352", "983315698893156352")</f>
        <v/>
      </c>
      <c r="B1909" s="2" t="n">
        <v>43199.50585648148</v>
      </c>
      <c r="C1909" t="n">
        <v>0</v>
      </c>
      <c r="D1909" t="n">
        <v>827</v>
      </c>
      <c r="E1909" t="s">
        <v>1920</v>
      </c>
      <c r="F1909" t="s"/>
      <c r="G1909" t="s"/>
      <c r="H1909" t="s"/>
      <c r="I1909" t="s"/>
      <c r="J1909" t="n">
        <v>0</v>
      </c>
      <c r="K1909" t="n">
        <v>0</v>
      </c>
      <c r="L1909" t="n">
        <v>1</v>
      </c>
      <c r="M1909" t="n">
        <v>0</v>
      </c>
    </row>
    <row r="1910" spans="1:13">
      <c r="A1910" s="1">
        <f>HYPERLINK("http://www.twitter.com/NathanBLawrence/status/983166237760000000", "983166237760000000")</f>
        <v/>
      </c>
      <c r="B1910" s="2" t="n">
        <v>43199.09342592592</v>
      </c>
      <c r="C1910" t="n">
        <v>0</v>
      </c>
      <c r="D1910" t="n">
        <v>8036</v>
      </c>
      <c r="E1910" t="s">
        <v>1921</v>
      </c>
      <c r="F1910">
        <f>HYPERLINK("https://video.twimg.com/amplify_video/983004935917834240/vid/1280x720/PEGtsCdXUNER_AFD.mp4?tag=2", "https://video.twimg.com/amplify_video/983004935917834240/vid/1280x720/PEGtsCdXUNER_AFD.mp4?tag=2")</f>
        <v/>
      </c>
      <c r="G1910" t="s"/>
      <c r="H1910" t="s"/>
      <c r="I1910" t="s"/>
      <c r="J1910" t="n">
        <v>-0.3818</v>
      </c>
      <c r="K1910" t="n">
        <v>0.115</v>
      </c>
      <c r="L1910" t="n">
        <v>0.885</v>
      </c>
      <c r="M1910" t="n">
        <v>0</v>
      </c>
    </row>
    <row r="1911" spans="1:13">
      <c r="A1911" s="1">
        <f>HYPERLINK("http://www.twitter.com/NathanBLawrence/status/983165633943822336", "983165633943822336")</f>
        <v/>
      </c>
      <c r="B1911" s="2" t="n">
        <v>43199.09175925926</v>
      </c>
      <c r="C1911" t="n">
        <v>0</v>
      </c>
      <c r="D1911" t="n">
        <v>1</v>
      </c>
      <c r="E1911" t="s">
        <v>1922</v>
      </c>
      <c r="F1911" t="s"/>
      <c r="G1911" t="s"/>
      <c r="H1911" t="s"/>
      <c r="I1911" t="s"/>
      <c r="J1911" t="n">
        <v>0</v>
      </c>
      <c r="K1911" t="n">
        <v>0</v>
      </c>
      <c r="L1911" t="n">
        <v>1</v>
      </c>
      <c r="M1911" t="n">
        <v>0</v>
      </c>
    </row>
    <row r="1912" spans="1:13">
      <c r="A1912" s="1">
        <f>HYPERLINK("http://www.twitter.com/NathanBLawrence/status/983165244817203200", "983165244817203200")</f>
        <v/>
      </c>
      <c r="B1912" s="2" t="n">
        <v>43199.09068287037</v>
      </c>
      <c r="C1912" t="n">
        <v>0</v>
      </c>
      <c r="D1912" t="n">
        <v>4524</v>
      </c>
      <c r="E1912" t="s">
        <v>1923</v>
      </c>
      <c r="F1912">
        <f>HYPERLINK("http://pbs.twimg.com/media/DaR8pszVMAA1HDp.jpg", "http://pbs.twimg.com/media/DaR8pszVMAA1HDp.jpg")</f>
        <v/>
      </c>
      <c r="G1912" t="s"/>
      <c r="H1912" t="s"/>
      <c r="I1912" t="s"/>
      <c r="J1912" t="n">
        <v>0.25</v>
      </c>
      <c r="K1912" t="n">
        <v>0</v>
      </c>
      <c r="L1912" t="n">
        <v>0.913</v>
      </c>
      <c r="M1912" t="n">
        <v>0.08699999999999999</v>
      </c>
    </row>
    <row r="1913" spans="1:13">
      <c r="A1913" s="1">
        <f>HYPERLINK("http://www.twitter.com/NathanBLawrence/status/983165045709426688", "983165045709426688")</f>
        <v/>
      </c>
      <c r="B1913" s="2" t="n">
        <v>43199.09012731481</v>
      </c>
      <c r="C1913" t="n">
        <v>0</v>
      </c>
      <c r="D1913" t="n">
        <v>6</v>
      </c>
      <c r="E1913" t="s">
        <v>1924</v>
      </c>
      <c r="F1913" t="s"/>
      <c r="G1913" t="s"/>
      <c r="H1913" t="s"/>
      <c r="I1913" t="s"/>
      <c r="J1913" t="n">
        <v>0</v>
      </c>
      <c r="K1913" t="n">
        <v>0</v>
      </c>
      <c r="L1913" t="n">
        <v>1</v>
      </c>
      <c r="M1913" t="n">
        <v>0</v>
      </c>
    </row>
    <row r="1914" spans="1:13">
      <c r="A1914" s="1">
        <f>HYPERLINK("http://www.twitter.com/NathanBLawrence/status/983164901060472834", "983164901060472834")</f>
        <v/>
      </c>
      <c r="B1914" s="2" t="n">
        <v>43199.0897337963</v>
      </c>
      <c r="C1914" t="n">
        <v>0</v>
      </c>
      <c r="D1914" t="n">
        <v>63</v>
      </c>
      <c r="E1914" t="s">
        <v>1925</v>
      </c>
      <c r="F1914">
        <f>HYPERLINK("http://pbs.twimg.com/media/DaTcogvVMAAD8iI.jpg", "http://pbs.twimg.com/media/DaTcogvVMAAD8iI.jpg")</f>
        <v/>
      </c>
      <c r="G1914" t="s"/>
      <c r="H1914" t="s"/>
      <c r="I1914" t="s"/>
      <c r="J1914" t="n">
        <v>0.9659</v>
      </c>
      <c r="K1914" t="n">
        <v>0</v>
      </c>
      <c r="L1914" t="n">
        <v>0.401</v>
      </c>
      <c r="M1914" t="n">
        <v>0.599</v>
      </c>
    </row>
    <row r="1915" spans="1:13">
      <c r="A1915" s="1">
        <f>HYPERLINK("http://www.twitter.com/NathanBLawrence/status/983164479377682434", "983164479377682434")</f>
        <v/>
      </c>
      <c r="B1915" s="2" t="n">
        <v>43199.08856481482</v>
      </c>
      <c r="C1915" t="n">
        <v>0</v>
      </c>
      <c r="D1915" t="n">
        <v>327</v>
      </c>
      <c r="E1915" t="s">
        <v>1926</v>
      </c>
      <c r="F1915">
        <f>HYPERLINK("https://video.twimg.com/ext_tw_video/981908335535390721/pu/vid/1014x720/SdgLvxfjrKzcSdJR.mp4?tag=2", "https://video.twimg.com/ext_tw_video/981908335535390721/pu/vid/1014x720/SdgLvxfjrKzcSdJR.mp4?tag=2")</f>
        <v/>
      </c>
      <c r="G1915" t="s"/>
      <c r="H1915" t="s"/>
      <c r="I1915" t="s"/>
      <c r="J1915" t="n">
        <v>0</v>
      </c>
      <c r="K1915" t="n">
        <v>0</v>
      </c>
      <c r="L1915" t="n">
        <v>1</v>
      </c>
      <c r="M1915" t="n">
        <v>0</v>
      </c>
    </row>
    <row r="1916" spans="1:13">
      <c r="A1916" s="1">
        <f>HYPERLINK("http://www.twitter.com/NathanBLawrence/status/983164418090561536", "983164418090561536")</f>
        <v/>
      </c>
      <c r="B1916" s="2" t="n">
        <v>43199.08840277778</v>
      </c>
      <c r="C1916" t="n">
        <v>0</v>
      </c>
      <c r="D1916" t="n">
        <v>921</v>
      </c>
      <c r="E1916" t="s">
        <v>1927</v>
      </c>
      <c r="F1916" t="s"/>
      <c r="G1916" t="s"/>
      <c r="H1916" t="s"/>
      <c r="I1916" t="s"/>
      <c r="J1916" t="n">
        <v>0.296</v>
      </c>
      <c r="K1916" t="n">
        <v>0</v>
      </c>
      <c r="L1916" t="n">
        <v>0.901</v>
      </c>
      <c r="M1916" t="n">
        <v>0.099</v>
      </c>
    </row>
    <row r="1917" spans="1:13">
      <c r="A1917" s="1">
        <f>HYPERLINK("http://www.twitter.com/NathanBLawrence/status/983161734822277121", "983161734822277121")</f>
        <v/>
      </c>
      <c r="B1917" s="2" t="n">
        <v>43199.08099537037</v>
      </c>
      <c r="C1917" t="n">
        <v>0</v>
      </c>
      <c r="D1917" t="n">
        <v>99</v>
      </c>
      <c r="E1917" t="s">
        <v>1928</v>
      </c>
      <c r="F1917">
        <f>HYPERLINK("http://pbs.twimg.com/media/DaS7czTXUAARZij.jpg", "http://pbs.twimg.com/media/DaS7czTXUAARZij.jpg")</f>
        <v/>
      </c>
      <c r="G1917" t="s"/>
      <c r="H1917" t="s"/>
      <c r="I1917" t="s"/>
      <c r="J1917" t="n">
        <v>0</v>
      </c>
      <c r="K1917" t="n">
        <v>0</v>
      </c>
      <c r="L1917" t="n">
        <v>1</v>
      </c>
      <c r="M1917" t="n">
        <v>0</v>
      </c>
    </row>
    <row r="1918" spans="1:13">
      <c r="A1918" s="1">
        <f>HYPERLINK("http://www.twitter.com/NathanBLawrence/status/983158370654973952", "983158370654973952")</f>
        <v/>
      </c>
      <c r="B1918" s="2" t="n">
        <v>43199.07171296296</v>
      </c>
      <c r="C1918" t="n">
        <v>0</v>
      </c>
      <c r="D1918" t="n">
        <v>468</v>
      </c>
      <c r="E1918" t="s">
        <v>1929</v>
      </c>
      <c r="F1918">
        <f>HYPERLINK("http://pbs.twimg.com/media/DaQAU5EU8AAExhj.jpg", "http://pbs.twimg.com/media/DaQAU5EU8AAExhj.jpg")</f>
        <v/>
      </c>
      <c r="G1918" t="s"/>
      <c r="H1918" t="s"/>
      <c r="I1918" t="s"/>
      <c r="J1918" t="n">
        <v>0</v>
      </c>
      <c r="K1918" t="n">
        <v>0</v>
      </c>
      <c r="L1918" t="n">
        <v>1</v>
      </c>
      <c r="M1918" t="n">
        <v>0</v>
      </c>
    </row>
    <row r="1919" spans="1:13">
      <c r="A1919" s="1">
        <f>HYPERLINK("http://www.twitter.com/NathanBLawrence/status/983156729893531648", "983156729893531648")</f>
        <v/>
      </c>
      <c r="B1919" s="2" t="n">
        <v>43199.0671875</v>
      </c>
      <c r="C1919" t="n">
        <v>0</v>
      </c>
      <c r="D1919" t="n">
        <v>260</v>
      </c>
      <c r="E1919" t="s">
        <v>1930</v>
      </c>
      <c r="F1919">
        <f>HYPERLINK("http://pbs.twimg.com/media/DaTcmd1XcAAYmqy.jpg", "http://pbs.twimg.com/media/DaTcmd1XcAAYmqy.jpg")</f>
        <v/>
      </c>
      <c r="G1919" t="s"/>
      <c r="H1919" t="s"/>
      <c r="I1919" t="s"/>
      <c r="J1919" t="n">
        <v>0</v>
      </c>
      <c r="K1919" t="n">
        <v>0</v>
      </c>
      <c r="L1919" t="n">
        <v>1</v>
      </c>
      <c r="M1919" t="n">
        <v>0</v>
      </c>
    </row>
    <row r="1920" spans="1:13">
      <c r="A1920" s="1">
        <f>HYPERLINK("http://www.twitter.com/NathanBLawrence/status/983155702515552256", "983155702515552256")</f>
        <v/>
      </c>
      <c r="B1920" s="2" t="n">
        <v>43199.06435185186</v>
      </c>
      <c r="C1920" t="n">
        <v>0</v>
      </c>
      <c r="D1920" t="n">
        <v>34</v>
      </c>
      <c r="E1920" t="s">
        <v>1931</v>
      </c>
      <c r="F1920">
        <f>HYPERLINK("http://pbs.twimg.com/media/DaSobhnV4AAMzj2.jpg", "http://pbs.twimg.com/media/DaSobhnV4AAMzj2.jpg")</f>
        <v/>
      </c>
      <c r="G1920" t="s"/>
      <c r="H1920" t="s"/>
      <c r="I1920" t="s"/>
      <c r="J1920" t="n">
        <v>0.7281</v>
      </c>
      <c r="K1920" t="n">
        <v>0</v>
      </c>
      <c r="L1920" t="n">
        <v>0.775</v>
      </c>
      <c r="M1920" t="n">
        <v>0.225</v>
      </c>
    </row>
    <row r="1921" spans="1:13">
      <c r="A1921" s="1">
        <f>HYPERLINK("http://www.twitter.com/NathanBLawrence/status/983155078474485761", "983155078474485761")</f>
        <v/>
      </c>
      <c r="B1921" s="2" t="n">
        <v>43199.06262731482</v>
      </c>
      <c r="C1921" t="n">
        <v>0</v>
      </c>
      <c r="D1921" t="n">
        <v>77</v>
      </c>
      <c r="E1921" t="s">
        <v>1932</v>
      </c>
      <c r="F1921">
        <f>HYPERLINK("http://pbs.twimg.com/media/DaTatTcUwAAEsuD.jpg", "http://pbs.twimg.com/media/DaTatTcUwAAEsuD.jpg")</f>
        <v/>
      </c>
      <c r="G1921" t="s"/>
      <c r="H1921" t="s"/>
      <c r="I1921" t="s"/>
      <c r="J1921" t="n">
        <v>0</v>
      </c>
      <c r="K1921" t="n">
        <v>0</v>
      </c>
      <c r="L1921" t="n">
        <v>1</v>
      </c>
      <c r="M1921" t="n">
        <v>0</v>
      </c>
    </row>
    <row r="1922" spans="1:13">
      <c r="A1922" s="1">
        <f>HYPERLINK("http://www.twitter.com/NathanBLawrence/status/983154876967514113", "983154876967514113")</f>
        <v/>
      </c>
      <c r="B1922" s="2" t="n">
        <v>43199.06207175926</v>
      </c>
      <c r="C1922" t="n">
        <v>0</v>
      </c>
      <c r="D1922" t="n">
        <v>3708</v>
      </c>
      <c r="E1922" t="s">
        <v>1933</v>
      </c>
      <c r="F1922" t="s"/>
      <c r="G1922" t="s"/>
      <c r="H1922" t="s"/>
      <c r="I1922" t="s"/>
      <c r="J1922" t="n">
        <v>-0.765</v>
      </c>
      <c r="K1922" t="n">
        <v>0.312</v>
      </c>
      <c r="L1922" t="n">
        <v>0.592</v>
      </c>
      <c r="M1922" t="n">
        <v>0.095</v>
      </c>
    </row>
    <row r="1923" spans="1:13">
      <c r="A1923" s="1">
        <f>HYPERLINK("http://www.twitter.com/NathanBLawrence/status/983154807744712705", "983154807744712705")</f>
        <v/>
      </c>
      <c r="B1923" s="2" t="n">
        <v>43199.061875</v>
      </c>
      <c r="C1923" t="n">
        <v>0</v>
      </c>
      <c r="D1923" t="n">
        <v>44</v>
      </c>
      <c r="E1923" t="s">
        <v>1934</v>
      </c>
      <c r="F1923" t="s"/>
      <c r="G1923" t="s"/>
      <c r="H1923" t="s"/>
      <c r="I1923" t="s"/>
      <c r="J1923" t="n">
        <v>-0.5106000000000001</v>
      </c>
      <c r="K1923" t="n">
        <v>0.18</v>
      </c>
      <c r="L1923" t="n">
        <v>0.82</v>
      </c>
      <c r="M1923" t="n">
        <v>0</v>
      </c>
    </row>
    <row r="1924" spans="1:13">
      <c r="A1924" s="1">
        <f>HYPERLINK("http://www.twitter.com/NathanBLawrence/status/983154325101957122", "983154325101957122")</f>
        <v/>
      </c>
      <c r="B1924" s="2" t="n">
        <v>43199.06054398148</v>
      </c>
      <c r="C1924" t="n">
        <v>0</v>
      </c>
      <c r="D1924" t="n">
        <v>564</v>
      </c>
      <c r="E1924" t="s">
        <v>1935</v>
      </c>
      <c r="F1924">
        <f>HYPERLINK("http://pbs.twimg.com/media/DaTbo6bVAAAMCj8.jpg", "http://pbs.twimg.com/media/DaTbo6bVAAAMCj8.jpg")</f>
        <v/>
      </c>
      <c r="G1924">
        <f>HYPERLINK("http://pbs.twimg.com/media/DaTbqGDVQAABhAy.png", "http://pbs.twimg.com/media/DaTbqGDVQAABhAy.png")</f>
        <v/>
      </c>
      <c r="H1924" t="s"/>
      <c r="I1924" t="s"/>
      <c r="J1924" t="n">
        <v>0</v>
      </c>
      <c r="K1924" t="n">
        <v>0</v>
      </c>
      <c r="L1924" t="n">
        <v>1</v>
      </c>
      <c r="M1924" t="n">
        <v>0</v>
      </c>
    </row>
    <row r="1925" spans="1:13">
      <c r="A1925" s="1">
        <f>HYPERLINK("http://www.twitter.com/NathanBLawrence/status/983152726271057920", "983152726271057920")</f>
        <v/>
      </c>
      <c r="B1925" s="2" t="n">
        <v>43199.05613425926</v>
      </c>
      <c r="C1925" t="n">
        <v>0</v>
      </c>
      <c r="D1925" t="n">
        <v>399</v>
      </c>
      <c r="E1925" t="s">
        <v>1936</v>
      </c>
      <c r="F1925" t="s"/>
      <c r="G1925" t="s"/>
      <c r="H1925" t="s"/>
      <c r="I1925" t="s"/>
      <c r="J1925" t="n">
        <v>0</v>
      </c>
      <c r="K1925" t="n">
        <v>0</v>
      </c>
      <c r="L1925" t="n">
        <v>1</v>
      </c>
      <c r="M1925" t="n">
        <v>0</v>
      </c>
    </row>
    <row r="1926" spans="1:13">
      <c r="A1926" s="1">
        <f>HYPERLINK("http://www.twitter.com/NathanBLawrence/status/983151121903603712", "983151121903603712")</f>
        <v/>
      </c>
      <c r="B1926" s="2" t="n">
        <v>43199.05171296297</v>
      </c>
      <c r="C1926" t="n">
        <v>0</v>
      </c>
      <c r="D1926" t="n">
        <v>198</v>
      </c>
      <c r="E1926" t="s">
        <v>1937</v>
      </c>
      <c r="F1926" t="s"/>
      <c r="G1926" t="s"/>
      <c r="H1926" t="s"/>
      <c r="I1926" t="s"/>
      <c r="J1926" t="n">
        <v>0</v>
      </c>
      <c r="K1926" t="n">
        <v>0</v>
      </c>
      <c r="L1926" t="n">
        <v>1</v>
      </c>
      <c r="M1926" t="n">
        <v>0</v>
      </c>
    </row>
    <row r="1927" spans="1:13">
      <c r="A1927" s="1">
        <f>HYPERLINK("http://www.twitter.com/NathanBLawrence/status/983150224561582082", "983150224561582082")</f>
        <v/>
      </c>
      <c r="B1927" s="2" t="n">
        <v>43199.04923611111</v>
      </c>
      <c r="C1927" t="n">
        <v>0</v>
      </c>
      <c r="D1927" t="n">
        <v>74</v>
      </c>
      <c r="E1927" t="s">
        <v>1938</v>
      </c>
      <c r="F1927" t="s"/>
      <c r="G1927" t="s"/>
      <c r="H1927" t="s"/>
      <c r="I1927" t="s"/>
      <c r="J1927" t="n">
        <v>0.6486</v>
      </c>
      <c r="K1927" t="n">
        <v>0</v>
      </c>
      <c r="L1927" t="n">
        <v>0.751</v>
      </c>
      <c r="M1927" t="n">
        <v>0.249</v>
      </c>
    </row>
    <row r="1928" spans="1:13">
      <c r="A1928" s="1">
        <f>HYPERLINK("http://www.twitter.com/NathanBLawrence/status/983149136206811136", "983149136206811136")</f>
        <v/>
      </c>
      <c r="B1928" s="2" t="n">
        <v>43199.04622685185</v>
      </c>
      <c r="C1928" t="n">
        <v>0</v>
      </c>
      <c r="D1928" t="n">
        <v>5768</v>
      </c>
      <c r="E1928" t="s">
        <v>1939</v>
      </c>
      <c r="F1928" t="s"/>
      <c r="G1928" t="s"/>
      <c r="H1928" t="s"/>
      <c r="I1928" t="s"/>
      <c r="J1928" t="n">
        <v>-0.6705</v>
      </c>
      <c r="K1928" t="n">
        <v>0.297</v>
      </c>
      <c r="L1928" t="n">
        <v>0.703</v>
      </c>
      <c r="M1928" t="n">
        <v>0</v>
      </c>
    </row>
    <row r="1929" spans="1:13">
      <c r="A1929" s="1">
        <f>HYPERLINK("http://www.twitter.com/NathanBLawrence/status/983104764690026497", "983104764690026497")</f>
        <v/>
      </c>
      <c r="B1929" s="2" t="n">
        <v>43198.92378472222</v>
      </c>
      <c r="C1929" t="n">
        <v>0</v>
      </c>
      <c r="D1929" t="n">
        <v>70</v>
      </c>
      <c r="E1929" t="s">
        <v>1940</v>
      </c>
      <c r="F1929">
        <f>HYPERLINK("http://pbs.twimg.com/media/DaSt7oDU0AATzwv.jpg", "http://pbs.twimg.com/media/DaSt7oDU0AATzwv.jpg")</f>
        <v/>
      </c>
      <c r="G1929" t="s"/>
      <c r="H1929" t="s"/>
      <c r="I1929" t="s"/>
      <c r="J1929" t="n">
        <v>0.9175</v>
      </c>
      <c r="K1929" t="n">
        <v>0</v>
      </c>
      <c r="L1929" t="n">
        <v>0.573</v>
      </c>
      <c r="M1929" t="n">
        <v>0.427</v>
      </c>
    </row>
    <row r="1930" spans="1:13">
      <c r="A1930" s="1">
        <f>HYPERLINK("http://www.twitter.com/NathanBLawrence/status/983104625279725569", "983104625279725569")</f>
        <v/>
      </c>
      <c r="B1930" s="2" t="n">
        <v>43198.92340277778</v>
      </c>
      <c r="C1930" t="n">
        <v>0</v>
      </c>
      <c r="D1930" t="n">
        <v>521</v>
      </c>
      <c r="E1930" t="s">
        <v>1941</v>
      </c>
      <c r="F1930" t="s"/>
      <c r="G1930" t="s"/>
      <c r="H1930" t="s"/>
      <c r="I1930" t="s"/>
      <c r="J1930" t="n">
        <v>-0.6369</v>
      </c>
      <c r="K1930" t="n">
        <v>0.321</v>
      </c>
      <c r="L1930" t="n">
        <v>0.679</v>
      </c>
      <c r="M1930" t="n">
        <v>0</v>
      </c>
    </row>
    <row r="1931" spans="1:13">
      <c r="A1931" s="1">
        <f>HYPERLINK("http://www.twitter.com/NathanBLawrence/status/982996967855939584", "982996967855939584")</f>
        <v/>
      </c>
      <c r="B1931" s="2" t="n">
        <v>43198.62631944445</v>
      </c>
      <c r="C1931" t="n">
        <v>0</v>
      </c>
      <c r="D1931" t="n">
        <v>168</v>
      </c>
      <c r="E1931" t="s">
        <v>1942</v>
      </c>
      <c r="F1931" t="s"/>
      <c r="G1931" t="s"/>
      <c r="H1931" t="s"/>
      <c r="I1931" t="s"/>
      <c r="J1931" t="n">
        <v>0</v>
      </c>
      <c r="K1931" t="n">
        <v>0</v>
      </c>
      <c r="L1931" t="n">
        <v>1</v>
      </c>
      <c r="M1931" t="n">
        <v>0</v>
      </c>
    </row>
    <row r="1932" spans="1:13">
      <c r="A1932" s="1">
        <f>HYPERLINK("http://www.twitter.com/NathanBLawrence/status/982996642965139456", "982996642965139456")</f>
        <v/>
      </c>
      <c r="B1932" s="2" t="n">
        <v>43198.62542824074</v>
      </c>
      <c r="C1932" t="n">
        <v>0</v>
      </c>
      <c r="D1932" t="n">
        <v>44</v>
      </c>
      <c r="E1932" t="s">
        <v>1943</v>
      </c>
      <c r="F1932">
        <f>HYPERLINK("http://pbs.twimg.com/media/DaQuachUMAE7Kd5.jpg", "http://pbs.twimg.com/media/DaQuachUMAE7Kd5.jpg")</f>
        <v/>
      </c>
      <c r="G1932" t="s"/>
      <c r="H1932" t="s"/>
      <c r="I1932" t="s"/>
      <c r="J1932" t="n">
        <v>-0.886</v>
      </c>
      <c r="K1932" t="n">
        <v>0.37</v>
      </c>
      <c r="L1932" t="n">
        <v>0.541</v>
      </c>
      <c r="M1932" t="n">
        <v>0.089</v>
      </c>
    </row>
    <row r="1933" spans="1:13">
      <c r="A1933" s="1">
        <f>HYPERLINK("http://www.twitter.com/NathanBLawrence/status/982995585308512256", "982995585308512256")</f>
        <v/>
      </c>
      <c r="B1933" s="2" t="n">
        <v>43198.62251157407</v>
      </c>
      <c r="C1933" t="n">
        <v>0</v>
      </c>
      <c r="D1933" t="n">
        <v>2059</v>
      </c>
      <c r="E1933" t="s">
        <v>1944</v>
      </c>
      <c r="F1933" t="s"/>
      <c r="G1933" t="s"/>
      <c r="H1933" t="s"/>
      <c r="I1933" t="s"/>
      <c r="J1933" t="n">
        <v>0.636</v>
      </c>
      <c r="K1933" t="n">
        <v>0</v>
      </c>
      <c r="L1933" t="n">
        <v>0.785</v>
      </c>
      <c r="M1933" t="n">
        <v>0.215</v>
      </c>
    </row>
    <row r="1934" spans="1:13">
      <c r="A1934" s="1">
        <f>HYPERLINK("http://www.twitter.com/NathanBLawrence/status/982995330735202305", "982995330735202305")</f>
        <v/>
      </c>
      <c r="B1934" s="2" t="n">
        <v>43198.62180555556</v>
      </c>
      <c r="C1934" t="n">
        <v>0</v>
      </c>
      <c r="D1934" t="n">
        <v>8870</v>
      </c>
      <c r="E1934" t="s">
        <v>1945</v>
      </c>
      <c r="F1934">
        <f>HYPERLINK("http://pbs.twimg.com/media/DaJGAKwW4AAnIv0.jpg", "http://pbs.twimg.com/media/DaJGAKwW4AAnIv0.jpg")</f>
        <v/>
      </c>
      <c r="G1934" t="s"/>
      <c r="H1934" t="s"/>
      <c r="I1934" t="s"/>
      <c r="J1934" t="n">
        <v>0.1847</v>
      </c>
      <c r="K1934" t="n">
        <v>0.081</v>
      </c>
      <c r="L1934" t="n">
        <v>0.8080000000000001</v>
      </c>
      <c r="M1934" t="n">
        <v>0.112</v>
      </c>
    </row>
    <row r="1935" spans="1:13">
      <c r="A1935" s="1">
        <f>HYPERLINK("http://www.twitter.com/NathanBLawrence/status/982993548458029056", "982993548458029056")</f>
        <v/>
      </c>
      <c r="B1935" s="2" t="n">
        <v>43198.61688657408</v>
      </c>
      <c r="C1935" t="n">
        <v>0</v>
      </c>
      <c r="D1935" t="n">
        <v>65</v>
      </c>
      <c r="E1935" t="s">
        <v>1946</v>
      </c>
      <c r="F1935">
        <f>HYPERLINK("http://pbs.twimg.com/media/DaQttHGVwAAmY51.jpg", "http://pbs.twimg.com/media/DaQttHGVwAAmY51.jpg")</f>
        <v/>
      </c>
      <c r="G1935">
        <f>HYPERLINK("http://pbs.twimg.com/media/DaQttHPUQAAonLd.jpg", "http://pbs.twimg.com/media/DaQttHPUQAAonLd.jpg")</f>
        <v/>
      </c>
      <c r="H1935" t="s"/>
      <c r="I1935" t="s"/>
      <c r="J1935" t="n">
        <v>-0.5423</v>
      </c>
      <c r="K1935" t="n">
        <v>0.149</v>
      </c>
      <c r="L1935" t="n">
        <v>0.851</v>
      </c>
      <c r="M1935" t="n">
        <v>0</v>
      </c>
    </row>
    <row r="1936" spans="1:13">
      <c r="A1936" s="1">
        <f>HYPERLINK("http://www.twitter.com/NathanBLawrence/status/982993021800206338", "982993021800206338")</f>
        <v/>
      </c>
      <c r="B1936" s="2" t="n">
        <v>43198.61543981481</v>
      </c>
      <c r="C1936" t="n">
        <v>0</v>
      </c>
      <c r="D1936" t="n">
        <v>200</v>
      </c>
      <c r="E1936" t="s">
        <v>1947</v>
      </c>
      <c r="F1936">
        <f>HYPERLINK("http://pbs.twimg.com/media/DaRJVtzVMAADTpa.jpg", "http://pbs.twimg.com/media/DaRJVtzVMAADTpa.jpg")</f>
        <v/>
      </c>
      <c r="G1936" t="s"/>
      <c r="H1936" t="s"/>
      <c r="I1936" t="s"/>
      <c r="J1936" t="n">
        <v>0</v>
      </c>
      <c r="K1936" t="n">
        <v>0</v>
      </c>
      <c r="L1936" t="n">
        <v>1</v>
      </c>
      <c r="M1936" t="n">
        <v>0</v>
      </c>
    </row>
    <row r="1937" spans="1:13">
      <c r="A1937" s="1">
        <f>HYPERLINK("http://www.twitter.com/NathanBLawrence/status/982992297645232128", "982992297645232128")</f>
        <v/>
      </c>
      <c r="B1937" s="2" t="n">
        <v>43198.6134375</v>
      </c>
      <c r="C1937" t="n">
        <v>0</v>
      </c>
      <c r="D1937" t="n">
        <v>13</v>
      </c>
      <c r="E1937" t="s">
        <v>1948</v>
      </c>
      <c r="F1937" t="s"/>
      <c r="G1937" t="s"/>
      <c r="H1937" t="s"/>
      <c r="I1937" t="s"/>
      <c r="J1937" t="n">
        <v>-0.3182</v>
      </c>
      <c r="K1937" t="n">
        <v>0.133</v>
      </c>
      <c r="L1937" t="n">
        <v>0.867</v>
      </c>
      <c r="M1937" t="n">
        <v>0</v>
      </c>
    </row>
    <row r="1938" spans="1:13">
      <c r="A1938" s="1">
        <f>HYPERLINK("http://www.twitter.com/NathanBLawrence/status/982991831209259009", "982991831209259009")</f>
        <v/>
      </c>
      <c r="B1938" s="2" t="n">
        <v>43198.61215277778</v>
      </c>
      <c r="C1938" t="n">
        <v>0</v>
      </c>
      <c r="D1938" t="n">
        <v>390</v>
      </c>
      <c r="E1938" t="s">
        <v>1949</v>
      </c>
      <c r="F1938">
        <f>HYPERLINK("https://video.twimg.com/ext_tw_video/982990991698296834/pu/vid/640x360/KYwMs7Nh410J7q2Z.mp4?tag=2", "https://video.twimg.com/ext_tw_video/982990991698296834/pu/vid/640x360/KYwMs7Nh410J7q2Z.mp4?tag=2")</f>
        <v/>
      </c>
      <c r="G1938" t="s"/>
      <c r="H1938" t="s"/>
      <c r="I1938" t="s"/>
      <c r="J1938" t="n">
        <v>0</v>
      </c>
      <c r="K1938" t="n">
        <v>0</v>
      </c>
      <c r="L1938" t="n">
        <v>1</v>
      </c>
      <c r="M1938" t="n">
        <v>0</v>
      </c>
    </row>
    <row r="1939" spans="1:13">
      <c r="A1939" s="1">
        <f>HYPERLINK("http://www.twitter.com/NathanBLawrence/status/982991236628918273", "982991236628918273")</f>
        <v/>
      </c>
      <c r="B1939" s="2" t="n">
        <v>43198.61050925926</v>
      </c>
      <c r="C1939" t="n">
        <v>0</v>
      </c>
      <c r="D1939" t="n">
        <v>7</v>
      </c>
      <c r="E1939" t="s">
        <v>1950</v>
      </c>
      <c r="F1939" t="s"/>
      <c r="G1939" t="s"/>
      <c r="H1939" t="s"/>
      <c r="I1939" t="s"/>
      <c r="J1939" t="n">
        <v>-0.7507</v>
      </c>
      <c r="K1939" t="n">
        <v>0.474</v>
      </c>
      <c r="L1939" t="n">
        <v>0.526</v>
      </c>
      <c r="M1939" t="n">
        <v>0</v>
      </c>
    </row>
    <row r="1940" spans="1:13">
      <c r="A1940" s="1">
        <f>HYPERLINK("http://www.twitter.com/NathanBLawrence/status/982991075492188160", "982991075492188160")</f>
        <v/>
      </c>
      <c r="B1940" s="2" t="n">
        <v>43198.61006944445</v>
      </c>
      <c r="C1940" t="n">
        <v>0</v>
      </c>
      <c r="D1940" t="n">
        <v>1654</v>
      </c>
      <c r="E1940" t="s">
        <v>1951</v>
      </c>
      <c r="F1940">
        <f>HYPERLINK("http://pbs.twimg.com/media/DaOSAfoVMAAzq4k.jpg", "http://pbs.twimg.com/media/DaOSAfoVMAAzq4k.jpg")</f>
        <v/>
      </c>
      <c r="G1940" t="s"/>
      <c r="H1940" t="s"/>
      <c r="I1940" t="s"/>
      <c r="J1940" t="n">
        <v>-0.296</v>
      </c>
      <c r="K1940" t="n">
        <v>0.109</v>
      </c>
      <c r="L1940" t="n">
        <v>0.891</v>
      </c>
      <c r="M1940" t="n">
        <v>0</v>
      </c>
    </row>
    <row r="1941" spans="1:13">
      <c r="A1941" s="1">
        <f>HYPERLINK("http://www.twitter.com/NathanBLawrence/status/982989744840871936", "982989744840871936")</f>
        <v/>
      </c>
      <c r="B1941" s="2" t="n">
        <v>43198.60638888889</v>
      </c>
      <c r="C1941" t="n">
        <v>0</v>
      </c>
      <c r="D1941" t="n">
        <v>1</v>
      </c>
      <c r="E1941" t="s">
        <v>1952</v>
      </c>
      <c r="F1941" t="s"/>
      <c r="G1941" t="s"/>
      <c r="H1941" t="s"/>
      <c r="I1941" t="s"/>
      <c r="J1941" t="n">
        <v>0</v>
      </c>
      <c r="K1941" t="n">
        <v>0</v>
      </c>
      <c r="L1941" t="n">
        <v>1</v>
      </c>
      <c r="M1941" t="n">
        <v>0</v>
      </c>
    </row>
    <row r="1942" spans="1:13">
      <c r="A1942" s="1">
        <f>HYPERLINK("http://www.twitter.com/NathanBLawrence/status/982988231699501058", "982988231699501058")</f>
        <v/>
      </c>
      <c r="B1942" s="2" t="n">
        <v>43198.60222222222</v>
      </c>
      <c r="C1942" t="n">
        <v>0</v>
      </c>
      <c r="D1942" t="n">
        <v>18</v>
      </c>
      <c r="E1942" t="s">
        <v>1953</v>
      </c>
      <c r="F1942">
        <f>HYPERLINK("http://pbs.twimg.com/media/DaQ79BFXcAA3YSz.jpg", "http://pbs.twimg.com/media/DaQ79BFXcAA3YSz.jpg")</f>
        <v/>
      </c>
      <c r="G1942" t="s"/>
      <c r="H1942" t="s"/>
      <c r="I1942" t="s"/>
      <c r="J1942" t="n">
        <v>0</v>
      </c>
      <c r="K1942" t="n">
        <v>0</v>
      </c>
      <c r="L1942" t="n">
        <v>1</v>
      </c>
      <c r="M1942" t="n">
        <v>0</v>
      </c>
    </row>
    <row r="1943" spans="1:13">
      <c r="A1943" s="1">
        <f>HYPERLINK("http://www.twitter.com/NathanBLawrence/status/982987101162692609", "982987101162692609")</f>
        <v/>
      </c>
      <c r="B1943" s="2" t="n">
        <v>43198.59909722222</v>
      </c>
      <c r="C1943" t="n">
        <v>0</v>
      </c>
      <c r="D1943" t="n">
        <v>5</v>
      </c>
      <c r="E1943" t="s">
        <v>1954</v>
      </c>
      <c r="F1943" t="s"/>
      <c r="G1943" t="s"/>
      <c r="H1943" t="s"/>
      <c r="I1943" t="s"/>
      <c r="J1943" t="n">
        <v>-0.4588</v>
      </c>
      <c r="K1943" t="n">
        <v>0.286</v>
      </c>
      <c r="L1943" t="n">
        <v>0.714</v>
      </c>
      <c r="M1943" t="n">
        <v>0</v>
      </c>
    </row>
    <row r="1944" spans="1:13">
      <c r="A1944" s="1">
        <f>HYPERLINK("http://www.twitter.com/NathanBLawrence/status/982986235873562624", "982986235873562624")</f>
        <v/>
      </c>
      <c r="B1944" s="2" t="n">
        <v>43198.59671296296</v>
      </c>
      <c r="C1944" t="n">
        <v>0</v>
      </c>
      <c r="D1944" t="n">
        <v>303</v>
      </c>
      <c r="E1944" t="s">
        <v>1955</v>
      </c>
      <c r="F1944">
        <f>HYPERLINK("http://pbs.twimg.com/media/DaQrphZW4AAX7Sm.jpg", "http://pbs.twimg.com/media/DaQrphZW4AAX7Sm.jpg")</f>
        <v/>
      </c>
      <c r="G1944" t="s"/>
      <c r="H1944" t="s"/>
      <c r="I1944" t="s"/>
      <c r="J1944" t="n">
        <v>0.9349</v>
      </c>
      <c r="K1944" t="n">
        <v>0</v>
      </c>
      <c r="L1944" t="n">
        <v>0.556</v>
      </c>
      <c r="M1944" t="n">
        <v>0.444</v>
      </c>
    </row>
    <row r="1945" spans="1:13">
      <c r="A1945" s="1">
        <f>HYPERLINK("http://www.twitter.com/NathanBLawrence/status/982984935458967552", "982984935458967552")</f>
        <v/>
      </c>
      <c r="B1945" s="2" t="n">
        <v>43198.593125</v>
      </c>
      <c r="C1945" t="n">
        <v>0</v>
      </c>
      <c r="D1945" t="n">
        <v>227</v>
      </c>
      <c r="E1945" t="s">
        <v>1956</v>
      </c>
      <c r="F1945">
        <f>HYPERLINK("http://pbs.twimg.com/media/DY-fk4OVwAANnL3.jpg", "http://pbs.twimg.com/media/DY-fk4OVwAANnL3.jpg")</f>
        <v/>
      </c>
      <c r="G1945" t="s"/>
      <c r="H1945" t="s"/>
      <c r="I1945" t="s"/>
      <c r="J1945" t="n">
        <v>0</v>
      </c>
      <c r="K1945" t="n">
        <v>0</v>
      </c>
      <c r="L1945" t="n">
        <v>1</v>
      </c>
      <c r="M1945" t="n">
        <v>0</v>
      </c>
    </row>
    <row r="1946" spans="1:13">
      <c r="A1946" s="1">
        <f>HYPERLINK("http://www.twitter.com/NathanBLawrence/status/982984754596368384", "982984754596368384")</f>
        <v/>
      </c>
      <c r="B1946" s="2" t="n">
        <v>43198.59262731481</v>
      </c>
      <c r="C1946" t="n">
        <v>0</v>
      </c>
      <c r="D1946" t="n">
        <v>179</v>
      </c>
      <c r="E1946" t="s">
        <v>1957</v>
      </c>
      <c r="F1946" t="s"/>
      <c r="G1946" t="s"/>
      <c r="H1946" t="s"/>
      <c r="I1946" t="s"/>
      <c r="J1946" t="n">
        <v>0.4019</v>
      </c>
      <c r="K1946" t="n">
        <v>0</v>
      </c>
      <c r="L1946" t="n">
        <v>0.803</v>
      </c>
      <c r="M1946" t="n">
        <v>0.197</v>
      </c>
    </row>
    <row r="1947" spans="1:13">
      <c r="A1947" s="1">
        <f>HYPERLINK("http://www.twitter.com/NathanBLawrence/status/982984512014561280", "982984512014561280")</f>
        <v/>
      </c>
      <c r="B1947" s="2" t="n">
        <v>43198.59195601852</v>
      </c>
      <c r="C1947" t="n">
        <v>0</v>
      </c>
      <c r="D1947" t="n">
        <v>1270</v>
      </c>
      <c r="E1947" t="s">
        <v>1958</v>
      </c>
      <c r="F1947" t="s"/>
      <c r="G1947" t="s"/>
      <c r="H1947" t="s"/>
      <c r="I1947" t="s"/>
      <c r="J1947" t="n">
        <v>-0.186</v>
      </c>
      <c r="K1947" t="n">
        <v>0.206</v>
      </c>
      <c r="L1947" t="n">
        <v>0.614</v>
      </c>
      <c r="M1947" t="n">
        <v>0.181</v>
      </c>
    </row>
    <row r="1948" spans="1:13">
      <c r="A1948" s="1">
        <f>HYPERLINK("http://www.twitter.com/NathanBLawrence/status/982984241247145984", "982984241247145984")</f>
        <v/>
      </c>
      <c r="B1948" s="2" t="n">
        <v>43198.59120370371</v>
      </c>
      <c r="C1948" t="n">
        <v>0</v>
      </c>
      <c r="D1948" t="n">
        <v>16</v>
      </c>
      <c r="E1948" t="s">
        <v>1959</v>
      </c>
      <c r="F1948" t="s"/>
      <c r="G1948" t="s"/>
      <c r="H1948" t="s"/>
      <c r="I1948" t="s"/>
      <c r="J1948" t="n">
        <v>0.34</v>
      </c>
      <c r="K1948" t="n">
        <v>0</v>
      </c>
      <c r="L1948" t="n">
        <v>0.893</v>
      </c>
      <c r="M1948" t="n">
        <v>0.107</v>
      </c>
    </row>
    <row r="1949" spans="1:13">
      <c r="A1949" s="1">
        <f>HYPERLINK("http://www.twitter.com/NathanBLawrence/status/982984201665503232", "982984201665503232")</f>
        <v/>
      </c>
      <c r="B1949" s="2" t="n">
        <v>43198.59109953704</v>
      </c>
      <c r="C1949" t="n">
        <v>0</v>
      </c>
      <c r="D1949" t="n">
        <v>658</v>
      </c>
      <c r="E1949" t="s">
        <v>1960</v>
      </c>
      <c r="F1949" t="s"/>
      <c r="G1949" t="s"/>
      <c r="H1949" t="s"/>
      <c r="I1949" t="s"/>
      <c r="J1949" t="n">
        <v>0.5574</v>
      </c>
      <c r="K1949" t="n">
        <v>0</v>
      </c>
      <c r="L1949" t="n">
        <v>0.739</v>
      </c>
      <c r="M1949" t="n">
        <v>0.261</v>
      </c>
    </row>
    <row r="1950" spans="1:13">
      <c r="A1950" s="1">
        <f>HYPERLINK("http://www.twitter.com/NathanBLawrence/status/982983341644361729", "982983341644361729")</f>
        <v/>
      </c>
      <c r="B1950" s="2" t="n">
        <v>43198.58872685185</v>
      </c>
      <c r="C1950" t="n">
        <v>0</v>
      </c>
      <c r="D1950" t="n">
        <v>92</v>
      </c>
      <c r="E1950" t="s">
        <v>1961</v>
      </c>
      <c r="F1950">
        <f>HYPERLINK("http://pbs.twimg.com/media/DaQlsbDXUAAPmj7.jpg", "http://pbs.twimg.com/media/DaQlsbDXUAAPmj7.jpg")</f>
        <v/>
      </c>
      <c r="G1950" t="s"/>
      <c r="H1950" t="s"/>
      <c r="I1950" t="s"/>
      <c r="J1950" t="n">
        <v>0</v>
      </c>
      <c r="K1950" t="n">
        <v>0</v>
      </c>
      <c r="L1950" t="n">
        <v>1</v>
      </c>
      <c r="M1950" t="n">
        <v>0</v>
      </c>
    </row>
    <row r="1951" spans="1:13">
      <c r="A1951" s="1">
        <f>HYPERLINK("http://www.twitter.com/NathanBLawrence/status/982981671929737216", "982981671929737216")</f>
        <v/>
      </c>
      <c r="B1951" s="2" t="n">
        <v>43198.58412037037</v>
      </c>
      <c r="C1951" t="n">
        <v>0</v>
      </c>
      <c r="D1951" t="n">
        <v>4965</v>
      </c>
      <c r="E1951" t="s">
        <v>1962</v>
      </c>
      <c r="F1951" t="s"/>
      <c r="G1951" t="s"/>
      <c r="H1951" t="s"/>
      <c r="I1951" t="s"/>
      <c r="J1951" t="n">
        <v>-0.2263</v>
      </c>
      <c r="K1951" t="n">
        <v>0.134</v>
      </c>
      <c r="L1951" t="n">
        <v>0.728</v>
      </c>
      <c r="M1951" t="n">
        <v>0.138</v>
      </c>
    </row>
    <row r="1952" spans="1:13">
      <c r="A1952" s="1">
        <f>HYPERLINK("http://www.twitter.com/NathanBLawrence/status/982980657088524288", "982980657088524288")</f>
        <v/>
      </c>
      <c r="B1952" s="2" t="n">
        <v>43198.58131944444</v>
      </c>
      <c r="C1952" t="n">
        <v>0</v>
      </c>
      <c r="D1952" t="n">
        <v>67</v>
      </c>
      <c r="E1952" t="s">
        <v>1963</v>
      </c>
      <c r="F1952" t="s"/>
      <c r="G1952" t="s"/>
      <c r="H1952" t="s"/>
      <c r="I1952" t="s"/>
      <c r="J1952" t="n">
        <v>0.4404</v>
      </c>
      <c r="K1952" t="n">
        <v>0</v>
      </c>
      <c r="L1952" t="n">
        <v>0.8129999999999999</v>
      </c>
      <c r="M1952" t="n">
        <v>0.187</v>
      </c>
    </row>
    <row r="1953" spans="1:13">
      <c r="A1953" s="1">
        <f>HYPERLINK("http://www.twitter.com/NathanBLawrence/status/982978716744724480", "982978716744724480")</f>
        <v/>
      </c>
      <c r="B1953" s="2" t="n">
        <v>43198.57596064815</v>
      </c>
      <c r="C1953" t="n">
        <v>0</v>
      </c>
      <c r="D1953" t="n">
        <v>72</v>
      </c>
      <c r="E1953" t="s">
        <v>1964</v>
      </c>
      <c r="F1953" t="s"/>
      <c r="G1953" t="s"/>
      <c r="H1953" t="s"/>
      <c r="I1953" t="s"/>
      <c r="J1953" t="n">
        <v>-0.5266999999999999</v>
      </c>
      <c r="K1953" t="n">
        <v>0.152</v>
      </c>
      <c r="L1953" t="n">
        <v>0.848</v>
      </c>
      <c r="M1953" t="n">
        <v>0</v>
      </c>
    </row>
    <row r="1954" spans="1:13">
      <c r="A1954" s="1">
        <f>HYPERLINK("http://www.twitter.com/NathanBLawrence/status/982978616085577728", "982978616085577728")</f>
        <v/>
      </c>
      <c r="B1954" s="2" t="n">
        <v>43198.57568287037</v>
      </c>
      <c r="C1954" t="n">
        <v>0</v>
      </c>
      <c r="D1954" t="n">
        <v>15</v>
      </c>
      <c r="E1954" t="s">
        <v>1965</v>
      </c>
      <c r="F1954" t="s"/>
      <c r="G1954" t="s"/>
      <c r="H1954" t="s"/>
      <c r="I1954" t="s"/>
      <c r="J1954" t="n">
        <v>-0.5574</v>
      </c>
      <c r="K1954" t="n">
        <v>0.205</v>
      </c>
      <c r="L1954" t="n">
        <v>0.795</v>
      </c>
      <c r="M1954" t="n">
        <v>0</v>
      </c>
    </row>
    <row r="1955" spans="1:13">
      <c r="A1955" s="1">
        <f>HYPERLINK("http://www.twitter.com/NathanBLawrence/status/982974836657065984", "982974836657065984")</f>
        <v/>
      </c>
      <c r="B1955" s="2" t="n">
        <v>43198.56525462963</v>
      </c>
      <c r="C1955" t="n">
        <v>0</v>
      </c>
      <c r="D1955" t="n">
        <v>99</v>
      </c>
      <c r="E1955" t="s">
        <v>1966</v>
      </c>
      <c r="F1955" t="s"/>
      <c r="G1955" t="s"/>
      <c r="H1955" t="s"/>
      <c r="I1955" t="s"/>
      <c r="J1955" t="n">
        <v>0.4767</v>
      </c>
      <c r="K1955" t="n">
        <v>0</v>
      </c>
      <c r="L1955" t="n">
        <v>0.871</v>
      </c>
      <c r="M1955" t="n">
        <v>0.129</v>
      </c>
    </row>
    <row r="1956" spans="1:13">
      <c r="A1956" s="1">
        <f>HYPERLINK("http://www.twitter.com/NathanBLawrence/status/982385881515479041", "982385881515479041")</f>
        <v/>
      </c>
      <c r="B1956" s="2" t="n">
        <v>43196.94004629629</v>
      </c>
      <c r="C1956" t="n">
        <v>0</v>
      </c>
      <c r="D1956" t="n">
        <v>108</v>
      </c>
      <c r="E1956" t="s">
        <v>1967</v>
      </c>
      <c r="F1956">
        <f>HYPERLINK("http://pbs.twimg.com/media/DaIZwGbU0AEW-J2.jpg", "http://pbs.twimg.com/media/DaIZwGbU0AEW-J2.jpg")</f>
        <v/>
      </c>
      <c r="G1956" t="s"/>
      <c r="H1956" t="s"/>
      <c r="I1956" t="s"/>
      <c r="J1956" t="n">
        <v>-0.3802</v>
      </c>
      <c r="K1956" t="n">
        <v>0.11</v>
      </c>
      <c r="L1956" t="n">
        <v>0.89</v>
      </c>
      <c r="M1956" t="n">
        <v>0</v>
      </c>
    </row>
    <row r="1957" spans="1:13">
      <c r="A1957" s="1">
        <f>HYPERLINK("http://www.twitter.com/NathanBLawrence/status/982384318751404037", "982384318751404037")</f>
        <v/>
      </c>
      <c r="B1957" s="2" t="n">
        <v>43196.93574074074</v>
      </c>
      <c r="C1957" t="n">
        <v>0</v>
      </c>
      <c r="D1957" t="n">
        <v>13</v>
      </c>
      <c r="E1957" t="s">
        <v>1968</v>
      </c>
      <c r="F1957" t="s"/>
      <c r="G1957" t="s"/>
      <c r="H1957" t="s"/>
      <c r="I1957" t="s"/>
      <c r="J1957" t="n">
        <v>0.3261</v>
      </c>
      <c r="K1957" t="n">
        <v>0</v>
      </c>
      <c r="L1957" t="n">
        <v>0.873</v>
      </c>
      <c r="M1957" t="n">
        <v>0.127</v>
      </c>
    </row>
    <row r="1958" spans="1:13">
      <c r="A1958" s="1">
        <f>HYPERLINK("http://www.twitter.com/NathanBLawrence/status/982313220823187457", "982313220823187457")</f>
        <v/>
      </c>
      <c r="B1958" s="2" t="n">
        <v>43196.73953703704</v>
      </c>
      <c r="C1958" t="n">
        <v>0</v>
      </c>
      <c r="D1958" t="n">
        <v>533</v>
      </c>
      <c r="E1958" t="s">
        <v>1969</v>
      </c>
      <c r="F1958" t="s"/>
      <c r="G1958" t="s"/>
      <c r="H1958" t="s"/>
      <c r="I1958" t="s"/>
      <c r="J1958" t="n">
        <v>-0.3818</v>
      </c>
      <c r="K1958" t="n">
        <v>0.133</v>
      </c>
      <c r="L1958" t="n">
        <v>0.867</v>
      </c>
      <c r="M1958" t="n">
        <v>0</v>
      </c>
    </row>
    <row r="1959" spans="1:13">
      <c r="A1959" s="1">
        <f>HYPERLINK("http://www.twitter.com/NathanBLawrence/status/982313177999327232", "982313177999327232")</f>
        <v/>
      </c>
      <c r="B1959" s="2" t="n">
        <v>43196.7394212963</v>
      </c>
      <c r="C1959" t="n">
        <v>0</v>
      </c>
      <c r="D1959" t="n">
        <v>317</v>
      </c>
      <c r="E1959" t="s">
        <v>1970</v>
      </c>
      <c r="F1959" t="s"/>
      <c r="G1959" t="s"/>
      <c r="H1959" t="s"/>
      <c r="I1959" t="s"/>
      <c r="J1959" t="n">
        <v>0</v>
      </c>
      <c r="K1959" t="n">
        <v>0</v>
      </c>
      <c r="L1959" t="n">
        <v>1</v>
      </c>
      <c r="M1959" t="n">
        <v>0</v>
      </c>
    </row>
    <row r="1960" spans="1:13">
      <c r="A1960" s="1">
        <f>HYPERLINK("http://www.twitter.com/NathanBLawrence/status/982313159720685568", "982313159720685568")</f>
        <v/>
      </c>
      <c r="B1960" s="2" t="n">
        <v>43196.739375</v>
      </c>
      <c r="C1960" t="n">
        <v>0</v>
      </c>
      <c r="D1960" t="n">
        <v>1426</v>
      </c>
      <c r="E1960" t="s">
        <v>1971</v>
      </c>
      <c r="F1960" t="s"/>
      <c r="G1960" t="s"/>
      <c r="H1960" t="s"/>
      <c r="I1960" t="s"/>
      <c r="J1960" t="n">
        <v>-0.6124000000000001</v>
      </c>
      <c r="K1960" t="n">
        <v>0.222</v>
      </c>
      <c r="L1960" t="n">
        <v>0.694</v>
      </c>
      <c r="M1960" t="n">
        <v>0.083</v>
      </c>
    </row>
    <row r="1961" spans="1:13">
      <c r="A1961" s="1">
        <f>HYPERLINK("http://www.twitter.com/NathanBLawrence/status/982313049762729984", "982313049762729984")</f>
        <v/>
      </c>
      <c r="B1961" s="2" t="n">
        <v>43196.73907407407</v>
      </c>
      <c r="C1961" t="n">
        <v>0</v>
      </c>
      <c r="D1961" t="n">
        <v>5545</v>
      </c>
      <c r="E1961" t="s">
        <v>1972</v>
      </c>
      <c r="F1961" t="s"/>
      <c r="G1961" t="s"/>
      <c r="H1961" t="s"/>
      <c r="I1961" t="s"/>
      <c r="J1961" t="n">
        <v>0</v>
      </c>
      <c r="K1961" t="n">
        <v>0</v>
      </c>
      <c r="L1961" t="n">
        <v>1</v>
      </c>
      <c r="M1961" t="n">
        <v>0</v>
      </c>
    </row>
    <row r="1962" spans="1:13">
      <c r="A1962" s="1">
        <f>HYPERLINK("http://www.twitter.com/NathanBLawrence/status/982312324177514496", "982312324177514496")</f>
        <v/>
      </c>
      <c r="B1962" s="2" t="n">
        <v>43196.73707175926</v>
      </c>
      <c r="C1962" t="n">
        <v>0</v>
      </c>
      <c r="D1962" t="n">
        <v>56</v>
      </c>
      <c r="E1962" t="s">
        <v>1973</v>
      </c>
      <c r="F1962">
        <f>HYPERLINK("http://pbs.twimg.com/media/DaC20XZXcAELoPR.jpg", "http://pbs.twimg.com/media/DaC20XZXcAELoPR.jpg")</f>
        <v/>
      </c>
      <c r="G1962">
        <f>HYPERLINK("http://pbs.twimg.com/media/DaC22oUX0AMgXT1.jpg", "http://pbs.twimg.com/media/DaC22oUX0AMgXT1.jpg")</f>
        <v/>
      </c>
      <c r="H1962">
        <f>HYPERLINK("http://pbs.twimg.com/media/DaC23SbXcAAKCKe.jpg", "http://pbs.twimg.com/media/DaC23SbXcAAKCKe.jpg")</f>
        <v/>
      </c>
      <c r="I1962" t="s"/>
      <c r="J1962" t="n">
        <v>0.4404</v>
      </c>
      <c r="K1962" t="n">
        <v>0</v>
      </c>
      <c r="L1962" t="n">
        <v>0.879</v>
      </c>
      <c r="M1962" t="n">
        <v>0.121</v>
      </c>
    </row>
    <row r="1963" spans="1:13">
      <c r="A1963" s="1">
        <f>HYPERLINK("http://www.twitter.com/NathanBLawrence/status/982311399761301504", "982311399761301504")</f>
        <v/>
      </c>
      <c r="B1963" s="2" t="n">
        <v>43196.73451388889</v>
      </c>
      <c r="C1963" t="n">
        <v>0</v>
      </c>
      <c r="D1963" t="n">
        <v>2364</v>
      </c>
      <c r="E1963" t="s">
        <v>1974</v>
      </c>
      <c r="F1963">
        <f>HYPERLINK("https://video.twimg.com/ext_tw_video/981947288204476417/pu/vid/1280x720/z7eoNM6peiuRD26l.mp4?tag=2", "https://video.twimg.com/ext_tw_video/981947288204476417/pu/vid/1280x720/z7eoNM6peiuRD26l.mp4?tag=2")</f>
        <v/>
      </c>
      <c r="G1963" t="s"/>
      <c r="H1963" t="s"/>
      <c r="I1963" t="s"/>
      <c r="J1963" t="n">
        <v>0.7456</v>
      </c>
      <c r="K1963" t="n">
        <v>0</v>
      </c>
      <c r="L1963" t="n">
        <v>0.729</v>
      </c>
      <c r="M1963" t="n">
        <v>0.271</v>
      </c>
    </row>
    <row r="1964" spans="1:13">
      <c r="A1964" s="1">
        <f>HYPERLINK("http://www.twitter.com/NathanBLawrence/status/982266268211331072", "982266268211331072")</f>
        <v/>
      </c>
      <c r="B1964" s="2" t="n">
        <v>43196.60997685185</v>
      </c>
      <c r="C1964" t="n">
        <v>0</v>
      </c>
      <c r="D1964" t="n">
        <v>353</v>
      </c>
      <c r="E1964" t="s">
        <v>1975</v>
      </c>
      <c r="F1964" t="s"/>
      <c r="G1964" t="s"/>
      <c r="H1964" t="s"/>
      <c r="I1964" t="s"/>
      <c r="J1964" t="n">
        <v>0.3182</v>
      </c>
      <c r="K1964" t="n">
        <v>0</v>
      </c>
      <c r="L1964" t="n">
        <v>0.901</v>
      </c>
      <c r="M1964" t="n">
        <v>0.099</v>
      </c>
    </row>
    <row r="1965" spans="1:13">
      <c r="A1965" s="1">
        <f>HYPERLINK("http://www.twitter.com/NathanBLawrence/status/982265105348870149", "982265105348870149")</f>
        <v/>
      </c>
      <c r="B1965" s="2" t="n">
        <v>43196.60677083334</v>
      </c>
      <c r="C1965" t="n">
        <v>0</v>
      </c>
      <c r="D1965" t="n">
        <v>9</v>
      </c>
      <c r="E1965" t="s">
        <v>1976</v>
      </c>
      <c r="F1965" t="s"/>
      <c r="G1965" t="s"/>
      <c r="H1965" t="s"/>
      <c r="I1965" t="s"/>
      <c r="J1965" t="n">
        <v>0.34</v>
      </c>
      <c r="K1965" t="n">
        <v>0</v>
      </c>
      <c r="L1965" t="n">
        <v>0.821</v>
      </c>
      <c r="M1965" t="n">
        <v>0.179</v>
      </c>
    </row>
    <row r="1966" spans="1:13">
      <c r="A1966" s="1">
        <f>HYPERLINK("http://www.twitter.com/NathanBLawrence/status/982264671167102976", "982264671167102976")</f>
        <v/>
      </c>
      <c r="B1966" s="2" t="n">
        <v>43196.60556712963</v>
      </c>
      <c r="C1966" t="n">
        <v>0</v>
      </c>
      <c r="D1966" t="n">
        <v>7</v>
      </c>
      <c r="E1966" t="s">
        <v>1977</v>
      </c>
      <c r="F1966" t="s"/>
      <c r="G1966" t="s"/>
      <c r="H1966" t="s"/>
      <c r="I1966" t="s"/>
      <c r="J1966" t="n">
        <v>0</v>
      </c>
      <c r="K1966" t="n">
        <v>0</v>
      </c>
      <c r="L1966" t="n">
        <v>1</v>
      </c>
      <c r="M1966" t="n">
        <v>0</v>
      </c>
    </row>
    <row r="1967" spans="1:13">
      <c r="A1967" s="1">
        <f>HYPERLINK("http://www.twitter.com/NathanBLawrence/status/982264530242699264", "982264530242699264")</f>
        <v/>
      </c>
      <c r="B1967" s="2" t="n">
        <v>43196.60518518519</v>
      </c>
      <c r="C1967" t="n">
        <v>0</v>
      </c>
      <c r="D1967" t="n">
        <v>1228</v>
      </c>
      <c r="E1967" t="s">
        <v>1978</v>
      </c>
      <c r="F1967" t="s"/>
      <c r="G1967" t="s"/>
      <c r="H1967" t="s"/>
      <c r="I1967" t="s"/>
      <c r="J1967" t="n">
        <v>0</v>
      </c>
      <c r="K1967" t="n">
        <v>0</v>
      </c>
      <c r="L1967" t="n">
        <v>1</v>
      </c>
      <c r="M1967" t="n">
        <v>0</v>
      </c>
    </row>
    <row r="1968" spans="1:13">
      <c r="A1968" s="1">
        <f>HYPERLINK("http://www.twitter.com/NathanBLawrence/status/982264159986270208", "982264159986270208")</f>
        <v/>
      </c>
      <c r="B1968" s="2" t="n">
        <v>43196.60415509259</v>
      </c>
      <c r="C1968" t="n">
        <v>0</v>
      </c>
      <c r="D1968" t="n">
        <v>75</v>
      </c>
      <c r="E1968" t="s">
        <v>1979</v>
      </c>
      <c r="F1968">
        <f>HYPERLINK("http://pbs.twimg.com/media/DaGuMP9U8AEXJmH.jpg", "http://pbs.twimg.com/media/DaGuMP9U8AEXJmH.jpg")</f>
        <v/>
      </c>
      <c r="G1968">
        <f>HYPERLINK("http://pbs.twimg.com/media/DaGuOrvUMAEVF8C.jpg", "http://pbs.twimg.com/media/DaGuOrvUMAEVF8C.jpg")</f>
        <v/>
      </c>
      <c r="H1968" t="s"/>
      <c r="I1968" t="s"/>
      <c r="J1968" t="n">
        <v>0.8065</v>
      </c>
      <c r="K1968" t="n">
        <v>0.06900000000000001</v>
      </c>
      <c r="L1968" t="n">
        <v>0.608</v>
      </c>
      <c r="M1968" t="n">
        <v>0.323</v>
      </c>
    </row>
    <row r="1969" spans="1:13">
      <c r="A1969" s="1">
        <f>HYPERLINK("http://www.twitter.com/NathanBLawrence/status/982264139190906880", "982264139190906880")</f>
        <v/>
      </c>
      <c r="B1969" s="2" t="n">
        <v>43196.60410879629</v>
      </c>
      <c r="C1969" t="n">
        <v>3</v>
      </c>
      <c r="D1969" t="n">
        <v>0</v>
      </c>
      <c r="E1969" t="s">
        <v>1980</v>
      </c>
      <c r="F1969" t="s"/>
      <c r="G1969" t="s"/>
      <c r="H1969" t="s"/>
      <c r="I1969" t="s"/>
      <c r="J1969" t="n">
        <v>0</v>
      </c>
      <c r="K1969" t="n">
        <v>0</v>
      </c>
      <c r="L1969" t="n">
        <v>1</v>
      </c>
      <c r="M1969" t="n">
        <v>0</v>
      </c>
    </row>
    <row r="1970" spans="1:13">
      <c r="A1970" s="1">
        <f>HYPERLINK("http://www.twitter.com/NathanBLawrence/status/982247545878470658", "982247545878470658")</f>
        <v/>
      </c>
      <c r="B1970" s="2" t="n">
        <v>43196.55831018519</v>
      </c>
      <c r="C1970" t="n">
        <v>0</v>
      </c>
      <c r="D1970" t="n">
        <v>703</v>
      </c>
      <c r="E1970" t="s">
        <v>1981</v>
      </c>
      <c r="F1970">
        <f>HYPERLINK("https://video.twimg.com/ext_tw_video/966781233249357824/pu/vid/1280x720/z_DbtGl_m24P2Kwk.mp4", "https://video.twimg.com/ext_tw_video/966781233249357824/pu/vid/1280x720/z_DbtGl_m24P2Kwk.mp4")</f>
        <v/>
      </c>
      <c r="G1970" t="s"/>
      <c r="H1970" t="s"/>
      <c r="I1970" t="s"/>
      <c r="J1970" t="n">
        <v>0.8519</v>
      </c>
      <c r="K1970" t="n">
        <v>0</v>
      </c>
      <c r="L1970" t="n">
        <v>0.743</v>
      </c>
      <c r="M1970" t="n">
        <v>0.257</v>
      </c>
    </row>
    <row r="1971" spans="1:13">
      <c r="A1971" s="1">
        <f>HYPERLINK("http://www.twitter.com/NathanBLawrence/status/982247126708060160", "982247126708060160")</f>
        <v/>
      </c>
      <c r="B1971" s="2" t="n">
        <v>43196.55715277778</v>
      </c>
      <c r="C1971" t="n">
        <v>0</v>
      </c>
      <c r="D1971" t="n">
        <v>7755</v>
      </c>
      <c r="E1971" t="s">
        <v>1982</v>
      </c>
      <c r="F1971" t="s"/>
      <c r="G1971" t="s"/>
      <c r="H1971" t="s"/>
      <c r="I1971" t="s"/>
      <c r="J1971" t="n">
        <v>-0.539</v>
      </c>
      <c r="K1971" t="n">
        <v>0.286</v>
      </c>
      <c r="L1971" t="n">
        <v>0.602</v>
      </c>
      <c r="M1971" t="n">
        <v>0.112</v>
      </c>
    </row>
    <row r="1972" spans="1:13">
      <c r="A1972" s="1">
        <f>HYPERLINK("http://www.twitter.com/NathanBLawrence/status/982246812164567041", "982246812164567041")</f>
        <v/>
      </c>
      <c r="B1972" s="2" t="n">
        <v>43196.55628472222</v>
      </c>
      <c r="C1972" t="n">
        <v>0</v>
      </c>
      <c r="D1972" t="n">
        <v>183</v>
      </c>
      <c r="E1972" t="s">
        <v>1983</v>
      </c>
      <c r="F1972" t="s"/>
      <c r="G1972" t="s"/>
      <c r="H1972" t="s"/>
      <c r="I1972" t="s"/>
      <c r="J1972" t="n">
        <v>0</v>
      </c>
      <c r="K1972" t="n">
        <v>0</v>
      </c>
      <c r="L1972" t="n">
        <v>1</v>
      </c>
      <c r="M1972" t="n">
        <v>0</v>
      </c>
    </row>
    <row r="1973" spans="1:13">
      <c r="A1973" s="1">
        <f>HYPERLINK("http://www.twitter.com/NathanBLawrence/status/982245803044421633", "982245803044421633")</f>
        <v/>
      </c>
      <c r="B1973" s="2" t="n">
        <v>43196.55350694444</v>
      </c>
      <c r="C1973" t="n">
        <v>0</v>
      </c>
      <c r="D1973" t="n">
        <v>390</v>
      </c>
      <c r="E1973" t="s">
        <v>1984</v>
      </c>
      <c r="F1973" t="s"/>
      <c r="G1973" t="s"/>
      <c r="H1973" t="s"/>
      <c r="I1973" t="s"/>
      <c r="J1973" t="n">
        <v>-0.5106000000000001</v>
      </c>
      <c r="K1973" t="n">
        <v>0.212</v>
      </c>
      <c r="L1973" t="n">
        <v>0.788</v>
      </c>
      <c r="M1973" t="n">
        <v>0</v>
      </c>
    </row>
    <row r="1974" spans="1:13">
      <c r="A1974" s="1">
        <f>HYPERLINK("http://www.twitter.com/NathanBLawrence/status/982243930107359236", "982243930107359236")</f>
        <v/>
      </c>
      <c r="B1974" s="2" t="n">
        <v>43196.54833333333</v>
      </c>
      <c r="C1974" t="n">
        <v>0</v>
      </c>
      <c r="D1974" t="n">
        <v>1</v>
      </c>
      <c r="E1974" t="s">
        <v>1985</v>
      </c>
      <c r="F1974" t="s"/>
      <c r="G1974" t="s"/>
      <c r="H1974" t="s"/>
      <c r="I1974" t="s"/>
      <c r="J1974" t="n">
        <v>-0.8176</v>
      </c>
      <c r="K1974" t="n">
        <v>0.514</v>
      </c>
      <c r="L1974" t="n">
        <v>0.486</v>
      </c>
      <c r="M1974" t="n">
        <v>0</v>
      </c>
    </row>
    <row r="1975" spans="1:13">
      <c r="A1975" s="1">
        <f>HYPERLINK("http://www.twitter.com/NathanBLawrence/status/982242846005575682", "982242846005575682")</f>
        <v/>
      </c>
      <c r="B1975" s="2" t="n">
        <v>43196.54534722222</v>
      </c>
      <c r="C1975" t="n">
        <v>0</v>
      </c>
      <c r="D1975" t="n">
        <v>7</v>
      </c>
      <c r="E1975" t="s">
        <v>1986</v>
      </c>
      <c r="F1975">
        <f>HYPERLINK("http://pbs.twimg.com/media/DaGfouYU0AIei9s.jpg", "http://pbs.twimg.com/media/DaGfouYU0AIei9s.jpg")</f>
        <v/>
      </c>
      <c r="G1975" t="s"/>
      <c r="H1975" t="s"/>
      <c r="I1975" t="s"/>
      <c r="J1975" t="n">
        <v>-0.6633</v>
      </c>
      <c r="K1975" t="n">
        <v>0.242</v>
      </c>
      <c r="L1975" t="n">
        <v>0.758</v>
      </c>
      <c r="M1975" t="n">
        <v>0</v>
      </c>
    </row>
    <row r="1976" spans="1:13">
      <c r="A1976" s="1">
        <f>HYPERLINK("http://www.twitter.com/NathanBLawrence/status/982241842421891072", "982241842421891072")</f>
        <v/>
      </c>
      <c r="B1976" s="2" t="n">
        <v>43196.54258101852</v>
      </c>
      <c r="C1976" t="n">
        <v>0</v>
      </c>
      <c r="D1976" t="n">
        <v>640</v>
      </c>
      <c r="E1976" t="s">
        <v>1987</v>
      </c>
      <c r="F1976">
        <f>HYPERLINK("https://video.twimg.com/amplify_video/982108957341724673/vid/540x360/E_INEqTpIFrOtc7y.mp4?tag=2", "https://video.twimg.com/amplify_video/982108957341724673/vid/540x360/E_INEqTpIFrOtc7y.mp4?tag=2")</f>
        <v/>
      </c>
      <c r="G1976" t="s"/>
      <c r="H1976" t="s"/>
      <c r="I1976" t="s"/>
      <c r="J1976" t="n">
        <v>0.1511</v>
      </c>
      <c r="K1976" t="n">
        <v>0.22</v>
      </c>
      <c r="L1976" t="n">
        <v>0.592</v>
      </c>
      <c r="M1976" t="n">
        <v>0.188</v>
      </c>
    </row>
    <row r="1977" spans="1:13">
      <c r="A1977" s="1">
        <f>HYPERLINK("http://www.twitter.com/NathanBLawrence/status/982094304435953665", "982094304435953665")</f>
        <v/>
      </c>
      <c r="B1977" s="2" t="n">
        <v>43196.13545138889</v>
      </c>
      <c r="C1977" t="n">
        <v>0</v>
      </c>
      <c r="D1977" t="n">
        <v>134</v>
      </c>
      <c r="E1977" t="s">
        <v>1988</v>
      </c>
      <c r="F1977" t="s"/>
      <c r="G1977" t="s"/>
      <c r="H1977" t="s"/>
      <c r="I1977" t="s"/>
      <c r="J1977" t="n">
        <v>-0.4003</v>
      </c>
      <c r="K1977" t="n">
        <v>0.137</v>
      </c>
      <c r="L1977" t="n">
        <v>0.863</v>
      </c>
      <c r="M1977" t="n">
        <v>0</v>
      </c>
    </row>
    <row r="1978" spans="1:13">
      <c r="A1978" s="1">
        <f>HYPERLINK("http://www.twitter.com/NathanBLawrence/status/981896950864842752", "981896950864842752")</f>
        <v/>
      </c>
      <c r="B1978" s="2" t="n">
        <v>43195.59085648148</v>
      </c>
      <c r="C1978" t="n">
        <v>0</v>
      </c>
      <c r="D1978" t="n">
        <v>2636</v>
      </c>
      <c r="E1978" t="s">
        <v>1989</v>
      </c>
      <c r="F1978" t="s"/>
      <c r="G1978" t="s"/>
      <c r="H1978" t="s"/>
      <c r="I1978" t="s"/>
      <c r="J1978" t="n">
        <v>-0.9315</v>
      </c>
      <c r="K1978" t="n">
        <v>0.381</v>
      </c>
      <c r="L1978" t="n">
        <v>0.619</v>
      </c>
      <c r="M1978" t="n">
        <v>0</v>
      </c>
    </row>
    <row r="1979" spans="1:13">
      <c r="A1979" s="1">
        <f>HYPERLINK("http://www.twitter.com/NathanBLawrence/status/981895793366962176", "981895793366962176")</f>
        <v/>
      </c>
      <c r="B1979" s="2" t="n">
        <v>43195.58766203704</v>
      </c>
      <c r="C1979" t="n">
        <v>0</v>
      </c>
      <c r="D1979" t="n">
        <v>1473</v>
      </c>
      <c r="E1979" t="s">
        <v>1990</v>
      </c>
      <c r="F1979" t="s"/>
      <c r="G1979" t="s"/>
      <c r="H1979" t="s"/>
      <c r="I1979" t="s"/>
      <c r="J1979" t="n">
        <v>0.6369</v>
      </c>
      <c r="K1979" t="n">
        <v>0</v>
      </c>
      <c r="L1979" t="n">
        <v>0.833</v>
      </c>
      <c r="M1979" t="n">
        <v>0.167</v>
      </c>
    </row>
    <row r="1980" spans="1:13">
      <c r="A1980" s="1">
        <f>HYPERLINK("http://www.twitter.com/NathanBLawrence/status/981895728434962432", "981895728434962432")</f>
        <v/>
      </c>
      <c r="B1980" s="2" t="n">
        <v>43195.58748842592</v>
      </c>
      <c r="C1980" t="n">
        <v>0</v>
      </c>
      <c r="D1980" t="n">
        <v>3</v>
      </c>
      <c r="E1980" t="s">
        <v>1991</v>
      </c>
      <c r="F1980" t="s"/>
      <c r="G1980" t="s"/>
      <c r="H1980" t="s"/>
      <c r="I1980" t="s"/>
      <c r="J1980" t="n">
        <v>-0.6588000000000001</v>
      </c>
      <c r="K1980" t="n">
        <v>0.212</v>
      </c>
      <c r="L1980" t="n">
        <v>0.706</v>
      </c>
      <c r="M1980" t="n">
        <v>0.082</v>
      </c>
    </row>
    <row r="1981" spans="1:13">
      <c r="A1981" s="1">
        <f>HYPERLINK("http://www.twitter.com/NathanBLawrence/status/981895598457712641", "981895598457712641")</f>
        <v/>
      </c>
      <c r="B1981" s="2" t="n">
        <v>43195.58712962963</v>
      </c>
      <c r="C1981" t="n">
        <v>0</v>
      </c>
      <c r="D1981" t="n">
        <v>585</v>
      </c>
      <c r="E1981" t="s">
        <v>1992</v>
      </c>
      <c r="F1981" t="s"/>
      <c r="G1981" t="s"/>
      <c r="H1981" t="s"/>
      <c r="I1981" t="s"/>
      <c r="J1981" t="n">
        <v>0.5229</v>
      </c>
      <c r="K1981" t="n">
        <v>0</v>
      </c>
      <c r="L1981" t="n">
        <v>0.862</v>
      </c>
      <c r="M1981" t="n">
        <v>0.138</v>
      </c>
    </row>
    <row r="1982" spans="1:13">
      <c r="A1982" s="1">
        <f>HYPERLINK("http://www.twitter.com/NathanBLawrence/status/981895156273176576", "981895156273176576")</f>
        <v/>
      </c>
      <c r="B1982" s="2" t="n">
        <v>43195.58590277778</v>
      </c>
      <c r="C1982" t="n">
        <v>0</v>
      </c>
      <c r="D1982" t="n">
        <v>252</v>
      </c>
      <c r="E1982" t="s">
        <v>1993</v>
      </c>
      <c r="F1982" t="s"/>
      <c r="G1982" t="s"/>
      <c r="H1982" t="s"/>
      <c r="I1982" t="s"/>
      <c r="J1982" t="n">
        <v>-0.6077</v>
      </c>
      <c r="K1982" t="n">
        <v>0.165</v>
      </c>
      <c r="L1982" t="n">
        <v>0.835</v>
      </c>
      <c r="M1982" t="n">
        <v>0</v>
      </c>
    </row>
    <row r="1983" spans="1:13">
      <c r="A1983" s="1">
        <f>HYPERLINK("http://www.twitter.com/NathanBLawrence/status/981892684481691648", "981892684481691648")</f>
        <v/>
      </c>
      <c r="B1983" s="2" t="n">
        <v>43195.57908564815</v>
      </c>
      <c r="C1983" t="n">
        <v>0</v>
      </c>
      <c r="D1983" t="n">
        <v>286</v>
      </c>
      <c r="E1983" t="s">
        <v>1994</v>
      </c>
      <c r="F1983" t="s"/>
      <c r="G1983" t="s"/>
      <c r="H1983" t="s"/>
      <c r="I1983" t="s"/>
      <c r="J1983" t="n">
        <v>0</v>
      </c>
      <c r="K1983" t="n">
        <v>0</v>
      </c>
      <c r="L1983" t="n">
        <v>1</v>
      </c>
      <c r="M1983" t="n">
        <v>0</v>
      </c>
    </row>
    <row r="1984" spans="1:13">
      <c r="A1984" s="1">
        <f>HYPERLINK("http://www.twitter.com/NathanBLawrence/status/981889666285801472", "981889666285801472")</f>
        <v/>
      </c>
      <c r="B1984" s="2" t="n">
        <v>43195.57075231482</v>
      </c>
      <c r="C1984" t="n">
        <v>0</v>
      </c>
      <c r="D1984" t="n">
        <v>24303</v>
      </c>
      <c r="E1984" t="s">
        <v>1995</v>
      </c>
      <c r="F1984" t="s"/>
      <c r="G1984" t="s"/>
      <c r="H1984" t="s"/>
      <c r="I1984" t="s"/>
      <c r="J1984" t="n">
        <v>-0.6124000000000001</v>
      </c>
      <c r="K1984" t="n">
        <v>0.217</v>
      </c>
      <c r="L1984" t="n">
        <v>0.783</v>
      </c>
      <c r="M1984" t="n">
        <v>0</v>
      </c>
    </row>
    <row r="1985" spans="1:13">
      <c r="A1985" s="1">
        <f>HYPERLINK("http://www.twitter.com/NathanBLawrence/status/981888580577611776", "981888580577611776")</f>
        <v/>
      </c>
      <c r="B1985" s="2" t="n">
        <v>43195.56775462963</v>
      </c>
      <c r="C1985" t="n">
        <v>0</v>
      </c>
      <c r="D1985" t="n">
        <v>1192</v>
      </c>
      <c r="E1985" t="s">
        <v>1996</v>
      </c>
      <c r="F1985">
        <f>HYPERLINK("http://pbs.twimg.com/media/DZ3Idq4U0AEB5Qg.jpg", "http://pbs.twimg.com/media/DZ3Idq4U0AEB5Qg.jpg")</f>
        <v/>
      </c>
      <c r="G1985" t="s"/>
      <c r="H1985" t="s"/>
      <c r="I1985" t="s"/>
      <c r="J1985" t="n">
        <v>0</v>
      </c>
      <c r="K1985" t="n">
        <v>0</v>
      </c>
      <c r="L1985" t="n">
        <v>1</v>
      </c>
      <c r="M1985" t="n">
        <v>0</v>
      </c>
    </row>
    <row r="1986" spans="1:13">
      <c r="A1986" s="1">
        <f>HYPERLINK("http://www.twitter.com/NathanBLawrence/status/981888542484959232", "981888542484959232")</f>
        <v/>
      </c>
      <c r="B1986" s="2" t="n">
        <v>43195.56765046297</v>
      </c>
      <c r="C1986" t="n">
        <v>0</v>
      </c>
      <c r="D1986" t="n">
        <v>75</v>
      </c>
      <c r="E1986" t="s">
        <v>1997</v>
      </c>
      <c r="F1986">
        <f>HYPERLINK("https://video.twimg.com/amplify_video/981836965220843521/vid/640x360/SLj2byM95s_3coHD.mp4?tag=2", "https://video.twimg.com/amplify_video/981836965220843521/vid/640x360/SLj2byM95s_3coHD.mp4?tag=2")</f>
        <v/>
      </c>
      <c r="G1986" t="s"/>
      <c r="H1986" t="s"/>
      <c r="I1986" t="s"/>
      <c r="J1986" t="n">
        <v>0.8472</v>
      </c>
      <c r="K1986" t="n">
        <v>0</v>
      </c>
      <c r="L1986" t="n">
        <v>0.521</v>
      </c>
      <c r="M1986" t="n">
        <v>0.479</v>
      </c>
    </row>
    <row r="1987" spans="1:13">
      <c r="A1987" s="1">
        <f>HYPERLINK("http://www.twitter.com/NathanBLawrence/status/981888069837172736", "981888069837172736")</f>
        <v/>
      </c>
      <c r="B1987" s="2" t="n">
        <v>43195.56635416667</v>
      </c>
      <c r="C1987" t="n">
        <v>0</v>
      </c>
      <c r="D1987" t="n">
        <v>728</v>
      </c>
      <c r="E1987" t="s">
        <v>1998</v>
      </c>
      <c r="F1987">
        <f>HYPERLINK("https://video.twimg.com/ext_tw_video/761286771665670144/pu/vid/320x180/7kAn8hhux2kAmJeH.mp4", "https://video.twimg.com/ext_tw_video/761286771665670144/pu/vid/320x180/7kAn8hhux2kAmJeH.mp4")</f>
        <v/>
      </c>
      <c r="G1987" t="s"/>
      <c r="H1987" t="s"/>
      <c r="I1987" t="s"/>
      <c r="J1987" t="n">
        <v>0.9369</v>
      </c>
      <c r="K1987" t="n">
        <v>0</v>
      </c>
      <c r="L1987" t="n">
        <v>0.545</v>
      </c>
      <c r="M1987" t="n">
        <v>0.455</v>
      </c>
    </row>
    <row r="1988" spans="1:13">
      <c r="A1988" s="1">
        <f>HYPERLINK("http://www.twitter.com/NathanBLawrence/status/981886200041607168", "981886200041607168")</f>
        <v/>
      </c>
      <c r="B1988" s="2" t="n">
        <v>43195.56119212963</v>
      </c>
      <c r="C1988" t="n">
        <v>0</v>
      </c>
      <c r="D1988" t="n">
        <v>345</v>
      </c>
      <c r="E1988" t="s">
        <v>1999</v>
      </c>
      <c r="F1988">
        <f>HYPERLINK("http://pbs.twimg.com/media/DT1wyYiVoAA6ZUm.jpg", "http://pbs.twimg.com/media/DT1wyYiVoAA6ZUm.jpg")</f>
        <v/>
      </c>
      <c r="G1988" t="s"/>
      <c r="H1988" t="s"/>
      <c r="I1988" t="s"/>
      <c r="J1988" t="n">
        <v>0</v>
      </c>
      <c r="K1988" t="n">
        <v>0</v>
      </c>
      <c r="L1988" t="n">
        <v>1</v>
      </c>
      <c r="M1988" t="n">
        <v>0</v>
      </c>
    </row>
    <row r="1989" spans="1:13">
      <c r="A1989" s="1">
        <f>HYPERLINK("http://www.twitter.com/NathanBLawrence/status/981886051894616064", "981886051894616064")</f>
        <v/>
      </c>
      <c r="B1989" s="2" t="n">
        <v>43195.56077546296</v>
      </c>
      <c r="C1989" t="n">
        <v>0</v>
      </c>
      <c r="D1989" t="n">
        <v>301</v>
      </c>
      <c r="E1989" t="s">
        <v>2000</v>
      </c>
      <c r="F1989">
        <f>HYPERLINK("http://pbs.twimg.com/media/DZ_LtD3U0AAW2ux.jpg", "http://pbs.twimg.com/media/DZ_LtD3U0AAW2ux.jpg")</f>
        <v/>
      </c>
      <c r="G1989" t="s"/>
      <c r="H1989" t="s"/>
      <c r="I1989" t="s"/>
      <c r="J1989" t="n">
        <v>0.5719</v>
      </c>
      <c r="K1989" t="n">
        <v>0.08400000000000001</v>
      </c>
      <c r="L1989" t="n">
        <v>0.673</v>
      </c>
      <c r="M1989" t="n">
        <v>0.242</v>
      </c>
    </row>
    <row r="1990" spans="1:13">
      <c r="A1990" s="1">
        <f>HYPERLINK("http://www.twitter.com/NathanBLawrence/status/981738278444568576", "981738278444568576")</f>
        <v/>
      </c>
      <c r="B1990" s="2" t="n">
        <v>43195.15300925926</v>
      </c>
      <c r="C1990" t="n">
        <v>0</v>
      </c>
      <c r="D1990" t="n">
        <v>42</v>
      </c>
      <c r="E1990" t="s">
        <v>2001</v>
      </c>
      <c r="F1990" t="s"/>
      <c r="G1990" t="s"/>
      <c r="H1990" t="s"/>
      <c r="I1990" t="s"/>
      <c r="J1990" t="n">
        <v>0</v>
      </c>
      <c r="K1990" t="n">
        <v>0</v>
      </c>
      <c r="L1990" t="n">
        <v>1</v>
      </c>
      <c r="M1990" t="n">
        <v>0</v>
      </c>
    </row>
    <row r="1991" spans="1:13">
      <c r="A1991" s="1">
        <f>HYPERLINK("http://www.twitter.com/NathanBLawrence/status/981737390304882688", "981737390304882688")</f>
        <v/>
      </c>
      <c r="B1991" s="2" t="n">
        <v>43195.15055555556</v>
      </c>
      <c r="C1991" t="n">
        <v>0</v>
      </c>
      <c r="D1991" t="n">
        <v>843</v>
      </c>
      <c r="E1991" t="s">
        <v>2002</v>
      </c>
      <c r="F1991">
        <f>HYPERLINK("https://video.twimg.com/ext_tw_video/981148421066313728/pu/vid/1280x720/YhezNz5mZ1qE66Kl.mp4?tag=2", "https://video.twimg.com/ext_tw_video/981148421066313728/pu/vid/1280x720/YhezNz5mZ1qE66Kl.mp4?tag=2")</f>
        <v/>
      </c>
      <c r="G1991" t="s"/>
      <c r="H1991" t="s"/>
      <c r="I1991" t="s"/>
      <c r="J1991" t="n">
        <v>0</v>
      </c>
      <c r="K1991" t="n">
        <v>0</v>
      </c>
      <c r="L1991" t="n">
        <v>1</v>
      </c>
      <c r="M1991" t="n">
        <v>0</v>
      </c>
    </row>
    <row r="1992" spans="1:13">
      <c r="A1992" s="1">
        <f>HYPERLINK("http://www.twitter.com/NathanBLawrence/status/981735025145151488", "981735025145151488")</f>
        <v/>
      </c>
      <c r="B1992" s="2" t="n">
        <v>43195.14402777778</v>
      </c>
      <c r="C1992" t="n">
        <v>0</v>
      </c>
      <c r="D1992" t="n">
        <v>81</v>
      </c>
      <c r="E1992" t="s">
        <v>2003</v>
      </c>
      <c r="F1992" t="s"/>
      <c r="G1992" t="s"/>
      <c r="H1992" t="s"/>
      <c r="I1992" t="s"/>
      <c r="J1992" t="n">
        <v>0.8478</v>
      </c>
      <c r="K1992" t="n">
        <v>0</v>
      </c>
      <c r="L1992" t="n">
        <v>0.662</v>
      </c>
      <c r="M1992" t="n">
        <v>0.338</v>
      </c>
    </row>
    <row r="1993" spans="1:13">
      <c r="A1993" s="1">
        <f>HYPERLINK("http://www.twitter.com/NathanBLawrence/status/981734609372221442", "981734609372221442")</f>
        <v/>
      </c>
      <c r="B1993" s="2" t="n">
        <v>43195.14288194444</v>
      </c>
      <c r="C1993" t="n">
        <v>0</v>
      </c>
      <c r="D1993" t="n">
        <v>38</v>
      </c>
      <c r="E1993" t="s">
        <v>2004</v>
      </c>
      <c r="F1993">
        <f>HYPERLINK("http://pbs.twimg.com/media/DZ-WgAMX0AALUX-.jpg", "http://pbs.twimg.com/media/DZ-WgAMX0AALUX-.jpg")</f>
        <v/>
      </c>
      <c r="G1993" t="s"/>
      <c r="H1993" t="s"/>
      <c r="I1993" t="s"/>
      <c r="J1993" t="n">
        <v>0.7896</v>
      </c>
      <c r="K1993" t="n">
        <v>0</v>
      </c>
      <c r="L1993" t="n">
        <v>0.72</v>
      </c>
      <c r="M1993" t="n">
        <v>0.28</v>
      </c>
    </row>
    <row r="1994" spans="1:13">
      <c r="A1994" s="1">
        <f>HYPERLINK("http://www.twitter.com/NathanBLawrence/status/981733523597004802", "981733523597004802")</f>
        <v/>
      </c>
      <c r="B1994" s="2" t="n">
        <v>43195.13988425926</v>
      </c>
      <c r="C1994" t="n">
        <v>0</v>
      </c>
      <c r="D1994" t="n">
        <v>9891</v>
      </c>
      <c r="E1994" t="s">
        <v>2005</v>
      </c>
      <c r="F1994" t="s"/>
      <c r="G1994" t="s"/>
      <c r="H1994" t="s"/>
      <c r="I1994" t="s"/>
      <c r="J1994" t="n">
        <v>0.5766</v>
      </c>
      <c r="K1994" t="n">
        <v>0</v>
      </c>
      <c r="L1994" t="n">
        <v>0.8090000000000001</v>
      </c>
      <c r="M1994" t="n">
        <v>0.191</v>
      </c>
    </row>
    <row r="1995" spans="1:13">
      <c r="A1995" s="1">
        <f>HYPERLINK("http://www.twitter.com/NathanBLawrence/status/981733477426122753", "981733477426122753")</f>
        <v/>
      </c>
      <c r="B1995" s="2" t="n">
        <v>43195.13975694445</v>
      </c>
      <c r="C1995" t="n">
        <v>0</v>
      </c>
      <c r="D1995" t="n">
        <v>161</v>
      </c>
      <c r="E1995" t="s">
        <v>2006</v>
      </c>
      <c r="F1995" t="s"/>
      <c r="G1995" t="s"/>
      <c r="H1995" t="s"/>
      <c r="I1995" t="s"/>
      <c r="J1995" t="n">
        <v>0</v>
      </c>
      <c r="K1995" t="n">
        <v>0</v>
      </c>
      <c r="L1995" t="n">
        <v>1</v>
      </c>
      <c r="M1995" t="n">
        <v>0</v>
      </c>
    </row>
    <row r="1996" spans="1:13">
      <c r="A1996" s="1">
        <f>HYPERLINK("http://www.twitter.com/NathanBLawrence/status/981733198177755136", "981733198177755136")</f>
        <v/>
      </c>
      <c r="B1996" s="2" t="n">
        <v>43195.13898148148</v>
      </c>
      <c r="C1996" t="n">
        <v>0</v>
      </c>
      <c r="D1996" t="n">
        <v>2843</v>
      </c>
      <c r="E1996" t="s">
        <v>2007</v>
      </c>
      <c r="F1996" t="s"/>
      <c r="G1996" t="s"/>
      <c r="H1996" t="s"/>
      <c r="I1996" t="s"/>
      <c r="J1996" t="n">
        <v>0</v>
      </c>
      <c r="K1996" t="n">
        <v>0</v>
      </c>
      <c r="L1996" t="n">
        <v>1</v>
      </c>
      <c r="M1996" t="n">
        <v>0</v>
      </c>
    </row>
    <row r="1997" spans="1:13">
      <c r="A1997" s="1">
        <f>HYPERLINK("http://www.twitter.com/NathanBLawrence/status/981608473099165696", "981608473099165696")</f>
        <v/>
      </c>
      <c r="B1997" s="2" t="n">
        <v>43194.79481481481</v>
      </c>
      <c r="C1997" t="n">
        <v>0</v>
      </c>
      <c r="D1997" t="n">
        <v>34</v>
      </c>
      <c r="E1997" t="s">
        <v>2008</v>
      </c>
      <c r="F1997">
        <f>HYPERLINK("http://pbs.twimg.com/media/DZ9aEAvW4AM_Dcq.jpg", "http://pbs.twimg.com/media/DZ9aEAvW4AM_Dcq.jpg")</f>
        <v/>
      </c>
      <c r="G1997" t="s"/>
      <c r="H1997" t="s"/>
      <c r="I1997" t="s"/>
      <c r="J1997" t="n">
        <v>0</v>
      </c>
      <c r="K1997" t="n">
        <v>0</v>
      </c>
      <c r="L1997" t="n">
        <v>1</v>
      </c>
      <c r="M1997" t="n">
        <v>0</v>
      </c>
    </row>
    <row r="1998" spans="1:13">
      <c r="A1998" s="1">
        <f>HYPERLINK("http://www.twitter.com/NathanBLawrence/status/981606873500659713", "981606873500659713")</f>
        <v/>
      </c>
      <c r="B1998" s="2" t="n">
        <v>43194.79039351852</v>
      </c>
      <c r="C1998" t="n">
        <v>0</v>
      </c>
      <c r="D1998" t="n">
        <v>284</v>
      </c>
      <c r="E1998" t="s">
        <v>2009</v>
      </c>
      <c r="F1998" t="s"/>
      <c r="G1998" t="s"/>
      <c r="H1998" t="s"/>
      <c r="I1998" t="s"/>
      <c r="J1998" t="n">
        <v>-0.4588</v>
      </c>
      <c r="K1998" t="n">
        <v>0.233</v>
      </c>
      <c r="L1998" t="n">
        <v>0.68</v>
      </c>
      <c r="M1998" t="n">
        <v>0.08699999999999999</v>
      </c>
    </row>
    <row r="1999" spans="1:13">
      <c r="A1999" s="1">
        <f>HYPERLINK("http://www.twitter.com/NathanBLawrence/status/981606724514861056", "981606724514861056")</f>
        <v/>
      </c>
      <c r="B1999" s="2" t="n">
        <v>43194.78998842592</v>
      </c>
      <c r="C1999" t="n">
        <v>0</v>
      </c>
      <c r="D1999" t="n">
        <v>365</v>
      </c>
      <c r="E1999" t="s">
        <v>2010</v>
      </c>
      <c r="F1999" t="s"/>
      <c r="G1999" t="s"/>
      <c r="H1999" t="s"/>
      <c r="I1999" t="s"/>
      <c r="J1999" t="n">
        <v>0.3453</v>
      </c>
      <c r="K1999" t="n">
        <v>0.157</v>
      </c>
      <c r="L1999" t="n">
        <v>0.618</v>
      </c>
      <c r="M1999" t="n">
        <v>0.225</v>
      </c>
    </row>
    <row r="2000" spans="1:13">
      <c r="A2000" s="1">
        <f>HYPERLINK("http://www.twitter.com/NathanBLawrence/status/981605805769228289", "981605805769228289")</f>
        <v/>
      </c>
      <c r="B2000" s="2" t="n">
        <v>43194.78745370371</v>
      </c>
      <c r="C2000" t="n">
        <v>0</v>
      </c>
      <c r="D2000" t="n">
        <v>873</v>
      </c>
      <c r="E2000" t="s">
        <v>2011</v>
      </c>
      <c r="F2000" t="s"/>
      <c r="G2000" t="s"/>
      <c r="H2000" t="s"/>
      <c r="I2000" t="s"/>
      <c r="J2000" t="n">
        <v>-0.3597</v>
      </c>
      <c r="K2000" t="n">
        <v>0.333</v>
      </c>
      <c r="L2000" t="n">
        <v>0.667</v>
      </c>
      <c r="M2000" t="n">
        <v>0</v>
      </c>
    </row>
    <row r="2001" spans="1:13">
      <c r="A2001" s="1">
        <f>HYPERLINK("http://www.twitter.com/NathanBLawrence/status/981604093822164993", "981604093822164993")</f>
        <v/>
      </c>
      <c r="B2001" s="2" t="n">
        <v>43194.78271990741</v>
      </c>
      <c r="C2001" t="n">
        <v>0</v>
      </c>
      <c r="D2001" t="n">
        <v>645</v>
      </c>
      <c r="E2001" t="s">
        <v>2012</v>
      </c>
      <c r="F2001">
        <f>HYPERLINK("http://pbs.twimg.com/media/DZ8DD5gVQAEpbRj.jpg", "http://pbs.twimg.com/media/DZ8DD5gVQAEpbRj.jpg")</f>
        <v/>
      </c>
      <c r="G2001" t="s"/>
      <c r="H2001" t="s"/>
      <c r="I2001" t="s"/>
      <c r="J2001" t="n">
        <v>0</v>
      </c>
      <c r="K2001" t="n">
        <v>0</v>
      </c>
      <c r="L2001" t="n">
        <v>1</v>
      </c>
      <c r="M2001" t="n">
        <v>0</v>
      </c>
    </row>
    <row r="2002" spans="1:13">
      <c r="A2002" s="1">
        <f>HYPERLINK("http://www.twitter.com/NathanBLawrence/status/981602502213865473", "981602502213865473")</f>
        <v/>
      </c>
      <c r="B2002" s="2" t="n">
        <v>43194.77833333334</v>
      </c>
      <c r="C2002" t="n">
        <v>0</v>
      </c>
      <c r="D2002" t="n">
        <v>1248</v>
      </c>
      <c r="E2002" t="s">
        <v>2013</v>
      </c>
      <c r="F2002">
        <f>HYPERLINK("http://pbs.twimg.com/media/DZyEozbW4AALn8e.jpg", "http://pbs.twimg.com/media/DZyEozbW4AALn8e.jpg")</f>
        <v/>
      </c>
      <c r="G2002" t="s"/>
      <c r="H2002" t="s"/>
      <c r="I2002" t="s"/>
      <c r="J2002" t="n">
        <v>0.9679</v>
      </c>
      <c r="K2002" t="n">
        <v>0</v>
      </c>
      <c r="L2002" t="n">
        <v>0.401</v>
      </c>
      <c r="M2002" t="n">
        <v>0.599</v>
      </c>
    </row>
    <row r="2003" spans="1:13">
      <c r="A2003" s="1">
        <f>HYPERLINK("http://www.twitter.com/NathanBLawrence/status/981602130233524224", "981602130233524224")</f>
        <v/>
      </c>
      <c r="B2003" s="2" t="n">
        <v>43194.77730324074</v>
      </c>
      <c r="C2003" t="n">
        <v>0</v>
      </c>
      <c r="D2003" t="n">
        <v>4222</v>
      </c>
      <c r="E2003" t="s">
        <v>2014</v>
      </c>
      <c r="F2003" t="s"/>
      <c r="G2003" t="s"/>
      <c r="H2003" t="s"/>
      <c r="I2003" t="s"/>
      <c r="J2003" t="n">
        <v>-0.4215</v>
      </c>
      <c r="K2003" t="n">
        <v>0.109</v>
      </c>
      <c r="L2003" t="n">
        <v>0.891</v>
      </c>
      <c r="M2003" t="n">
        <v>0</v>
      </c>
    </row>
    <row r="2004" spans="1:13">
      <c r="A2004" s="1">
        <f>HYPERLINK("http://www.twitter.com/NathanBLawrence/status/981601934774800386", "981601934774800386")</f>
        <v/>
      </c>
      <c r="B2004" s="2" t="n">
        <v>43194.77677083333</v>
      </c>
      <c r="C2004" t="n">
        <v>0</v>
      </c>
      <c r="D2004" t="n">
        <v>114</v>
      </c>
      <c r="E2004" t="s">
        <v>2015</v>
      </c>
      <c r="F2004">
        <f>HYPERLINK("https://video.twimg.com/ext_tw_video/981599728818409472/pu/vid/1280x720/bPVtEUAAjRKwg2ZD.mp4?tag=2", "https://video.twimg.com/ext_tw_video/981599728818409472/pu/vid/1280x720/bPVtEUAAjRKwg2ZD.mp4?tag=2")</f>
        <v/>
      </c>
      <c r="G2004" t="s"/>
      <c r="H2004" t="s"/>
      <c r="I2004" t="s"/>
      <c r="J2004" t="n">
        <v>0.0772</v>
      </c>
      <c r="K2004" t="n">
        <v>0.089</v>
      </c>
      <c r="L2004" t="n">
        <v>0.8110000000000001</v>
      </c>
      <c r="M2004" t="n">
        <v>0.1</v>
      </c>
    </row>
    <row r="2005" spans="1:13">
      <c r="A2005" s="1">
        <f>HYPERLINK("http://www.twitter.com/NathanBLawrence/status/981600910341279746", "981600910341279746")</f>
        <v/>
      </c>
      <c r="B2005" s="2" t="n">
        <v>43194.77393518519</v>
      </c>
      <c r="C2005" t="n">
        <v>0</v>
      </c>
      <c r="D2005" t="n">
        <v>972</v>
      </c>
      <c r="E2005" t="s">
        <v>2016</v>
      </c>
      <c r="F2005">
        <f>HYPERLINK("http://pbs.twimg.com/media/DZ8ocv7VoAAm2fK.jpg", "http://pbs.twimg.com/media/DZ8ocv7VoAAm2fK.jpg")</f>
        <v/>
      </c>
      <c r="G2005" t="s"/>
      <c r="H2005" t="s"/>
      <c r="I2005" t="s"/>
      <c r="J2005" t="n">
        <v>0.729</v>
      </c>
      <c r="K2005" t="n">
        <v>0</v>
      </c>
      <c r="L2005" t="n">
        <v>0.778</v>
      </c>
      <c r="M2005" t="n">
        <v>0.222</v>
      </c>
    </row>
    <row r="2006" spans="1:13">
      <c r="A2006" s="1">
        <f>HYPERLINK("http://www.twitter.com/NathanBLawrence/status/981600297146601472", "981600297146601472")</f>
        <v/>
      </c>
      <c r="B2006" s="2" t="n">
        <v>43194.77224537037</v>
      </c>
      <c r="C2006" t="n">
        <v>0</v>
      </c>
      <c r="D2006" t="n">
        <v>3954</v>
      </c>
      <c r="E2006" t="s">
        <v>2017</v>
      </c>
      <c r="F2006" t="s"/>
      <c r="G2006" t="s"/>
      <c r="H2006" t="s"/>
      <c r="I2006" t="s"/>
      <c r="J2006" t="n">
        <v>-0.5661</v>
      </c>
      <c r="K2006" t="n">
        <v>0.206</v>
      </c>
      <c r="L2006" t="n">
        <v>0.794</v>
      </c>
      <c r="M2006" t="n">
        <v>0</v>
      </c>
    </row>
    <row r="2007" spans="1:13">
      <c r="A2007" s="1">
        <f>HYPERLINK("http://www.twitter.com/NathanBLawrence/status/981599760481243137", "981599760481243137")</f>
        <v/>
      </c>
      <c r="B2007" s="2" t="n">
        <v>43194.77076388889</v>
      </c>
      <c r="C2007" t="n">
        <v>0</v>
      </c>
      <c r="D2007" t="n">
        <v>63</v>
      </c>
      <c r="E2007" t="s">
        <v>2018</v>
      </c>
      <c r="F2007" t="s"/>
      <c r="G2007" t="s"/>
      <c r="H2007" t="s"/>
      <c r="I2007" t="s"/>
      <c r="J2007" t="n">
        <v>-0.2732</v>
      </c>
      <c r="K2007" t="n">
        <v>0.123</v>
      </c>
      <c r="L2007" t="n">
        <v>0.877</v>
      </c>
      <c r="M2007" t="n">
        <v>0</v>
      </c>
    </row>
    <row r="2008" spans="1:13">
      <c r="A2008" s="1">
        <f>HYPERLINK("http://www.twitter.com/NathanBLawrence/status/981599480029024257", "981599480029024257")</f>
        <v/>
      </c>
      <c r="B2008" s="2" t="n">
        <v>43194.76998842593</v>
      </c>
      <c r="C2008" t="n">
        <v>0</v>
      </c>
      <c r="D2008" t="n">
        <v>50</v>
      </c>
      <c r="E2008" t="s">
        <v>2019</v>
      </c>
      <c r="F2008" t="s"/>
      <c r="G2008" t="s"/>
      <c r="H2008" t="s"/>
      <c r="I2008" t="s"/>
      <c r="J2008" t="n">
        <v>-0.4003</v>
      </c>
      <c r="K2008" t="n">
        <v>0.137</v>
      </c>
      <c r="L2008" t="n">
        <v>0.863</v>
      </c>
      <c r="M2008" t="n">
        <v>0</v>
      </c>
    </row>
    <row r="2009" spans="1:13">
      <c r="A2009" s="1">
        <f>HYPERLINK("http://www.twitter.com/NathanBLawrence/status/981599338349645824", "981599338349645824")</f>
        <v/>
      </c>
      <c r="B2009" s="2" t="n">
        <v>43194.76960648148</v>
      </c>
      <c r="C2009" t="n">
        <v>0</v>
      </c>
      <c r="D2009" t="n">
        <v>1537</v>
      </c>
      <c r="E2009" t="s">
        <v>2020</v>
      </c>
      <c r="F2009" t="s"/>
      <c r="G2009" t="s"/>
      <c r="H2009" t="s"/>
      <c r="I2009" t="s"/>
      <c r="J2009" t="n">
        <v>0</v>
      </c>
      <c r="K2009" t="n">
        <v>0</v>
      </c>
      <c r="L2009" t="n">
        <v>1</v>
      </c>
      <c r="M2009" t="n">
        <v>0</v>
      </c>
    </row>
    <row r="2010" spans="1:13">
      <c r="A2010" s="1">
        <f>HYPERLINK("http://www.twitter.com/NathanBLawrence/status/981594288738963456", "981594288738963456")</f>
        <v/>
      </c>
      <c r="B2010" s="2" t="n">
        <v>43194.7556712963</v>
      </c>
      <c r="C2010" t="n">
        <v>0</v>
      </c>
      <c r="D2010" t="n">
        <v>55</v>
      </c>
      <c r="E2010" t="s">
        <v>2021</v>
      </c>
      <c r="F2010">
        <f>HYPERLINK("http://pbs.twimg.com/media/DZ82AhCX0AAE7xQ.jpg", "http://pbs.twimg.com/media/DZ82AhCX0AAE7xQ.jpg")</f>
        <v/>
      </c>
      <c r="G2010" t="s"/>
      <c r="H2010" t="s"/>
      <c r="I2010" t="s"/>
      <c r="J2010" t="n">
        <v>0.1984</v>
      </c>
      <c r="K2010" t="n">
        <v>0.091</v>
      </c>
      <c r="L2010" t="n">
        <v>0.786</v>
      </c>
      <c r="M2010" t="n">
        <v>0.123</v>
      </c>
    </row>
    <row r="2011" spans="1:13">
      <c r="A2011" s="1">
        <f>HYPERLINK("http://www.twitter.com/NathanBLawrence/status/981594088800751616", "981594088800751616")</f>
        <v/>
      </c>
      <c r="B2011" s="2" t="n">
        <v>43194.75511574074</v>
      </c>
      <c r="C2011" t="n">
        <v>0</v>
      </c>
      <c r="D2011" t="n">
        <v>551</v>
      </c>
      <c r="E2011" t="s">
        <v>2022</v>
      </c>
      <c r="F2011">
        <f>HYPERLINK("http://pbs.twimg.com/media/DZ9KN_9UMAAGQNf.jpg", "http://pbs.twimg.com/media/DZ9KN_9UMAAGQNf.jpg")</f>
        <v/>
      </c>
      <c r="G2011" t="s"/>
      <c r="H2011" t="s"/>
      <c r="I2011" t="s"/>
      <c r="J2011" t="n">
        <v>-0.0534</v>
      </c>
      <c r="K2011" t="n">
        <v>0.123</v>
      </c>
      <c r="L2011" t="n">
        <v>0.765</v>
      </c>
      <c r="M2011" t="n">
        <v>0.111</v>
      </c>
    </row>
    <row r="2012" spans="1:13">
      <c r="A2012" s="1">
        <f>HYPERLINK("http://www.twitter.com/NathanBLawrence/status/981593888816357379", "981593888816357379")</f>
        <v/>
      </c>
      <c r="B2012" s="2" t="n">
        <v>43194.75456018518</v>
      </c>
      <c r="C2012" t="n">
        <v>0</v>
      </c>
      <c r="D2012" t="n">
        <v>190</v>
      </c>
      <c r="E2012" t="s">
        <v>2023</v>
      </c>
      <c r="F2012" t="s"/>
      <c r="G2012" t="s"/>
      <c r="H2012" t="s"/>
      <c r="I2012" t="s"/>
      <c r="J2012" t="n">
        <v>-0.1027</v>
      </c>
      <c r="K2012" t="n">
        <v>0.114</v>
      </c>
      <c r="L2012" t="n">
        <v>0.787</v>
      </c>
      <c r="M2012" t="n">
        <v>0.098</v>
      </c>
    </row>
    <row r="2013" spans="1:13">
      <c r="A2013" s="1">
        <f>HYPERLINK("http://www.twitter.com/NathanBLawrence/status/981593784113926145", "981593784113926145")</f>
        <v/>
      </c>
      <c r="B2013" s="2" t="n">
        <v>43194.75427083333</v>
      </c>
      <c r="C2013" t="n">
        <v>0</v>
      </c>
      <c r="D2013" t="n">
        <v>225</v>
      </c>
      <c r="E2013" t="s">
        <v>2024</v>
      </c>
      <c r="F2013">
        <f>HYPERLINK("http://pbs.twimg.com/media/DZ9NQOGXkAENN86.jpg", "http://pbs.twimg.com/media/DZ9NQOGXkAENN86.jpg")</f>
        <v/>
      </c>
      <c r="G2013" t="s"/>
      <c r="H2013" t="s"/>
      <c r="I2013" t="s"/>
      <c r="J2013" t="n">
        <v>-0.2654</v>
      </c>
      <c r="K2013" t="n">
        <v>0.133</v>
      </c>
      <c r="L2013" t="n">
        <v>0.867</v>
      </c>
      <c r="M2013" t="n">
        <v>0</v>
      </c>
    </row>
    <row r="2014" spans="1:13">
      <c r="A2014" s="1">
        <f>HYPERLINK("http://www.twitter.com/NathanBLawrence/status/981593646108676096", "981593646108676096")</f>
        <v/>
      </c>
      <c r="B2014" s="2" t="n">
        <v>43194.75390046297</v>
      </c>
      <c r="C2014" t="n">
        <v>0</v>
      </c>
      <c r="D2014" t="n">
        <v>592</v>
      </c>
      <c r="E2014" t="s">
        <v>2025</v>
      </c>
      <c r="F2014">
        <f>HYPERLINK("https://video.twimg.com/amplify_video/963912669576220672/vid/1280x720/3SjQb1ASKfCR7k1M.mp4", "https://video.twimg.com/amplify_video/963912669576220672/vid/1280x720/3SjQb1ASKfCR7k1M.mp4")</f>
        <v/>
      </c>
      <c r="G2014" t="s"/>
      <c r="H2014" t="s"/>
      <c r="I2014" t="s"/>
      <c r="J2014" t="n">
        <v>0.3182</v>
      </c>
      <c r="K2014" t="n">
        <v>0</v>
      </c>
      <c r="L2014" t="n">
        <v>0.874</v>
      </c>
      <c r="M2014" t="n">
        <v>0.126</v>
      </c>
    </row>
    <row r="2015" spans="1:13">
      <c r="A2015" s="1">
        <f>HYPERLINK("http://www.twitter.com/NathanBLawrence/status/981593583546486786", "981593583546486786")</f>
        <v/>
      </c>
      <c r="B2015" s="2" t="n">
        <v>43194.75372685185</v>
      </c>
      <c r="C2015" t="n">
        <v>0</v>
      </c>
      <c r="D2015" t="n">
        <v>1242</v>
      </c>
      <c r="E2015" t="s">
        <v>2026</v>
      </c>
      <c r="F2015" t="s"/>
      <c r="G2015" t="s"/>
      <c r="H2015" t="s"/>
      <c r="I2015" t="s"/>
      <c r="J2015" t="n">
        <v>0</v>
      </c>
      <c r="K2015" t="n">
        <v>0</v>
      </c>
      <c r="L2015" t="n">
        <v>1</v>
      </c>
      <c r="M2015" t="n">
        <v>0</v>
      </c>
    </row>
    <row r="2016" spans="1:13">
      <c r="A2016" s="1">
        <f>HYPERLINK("http://www.twitter.com/NathanBLawrence/status/981591637322321920", "981591637322321920")</f>
        <v/>
      </c>
      <c r="B2016" s="2" t="n">
        <v>43194.74835648148</v>
      </c>
      <c r="C2016" t="n">
        <v>0</v>
      </c>
      <c r="D2016" t="n">
        <v>3457</v>
      </c>
      <c r="E2016" t="s">
        <v>2027</v>
      </c>
      <c r="F2016" t="s"/>
      <c r="G2016" t="s"/>
      <c r="H2016" t="s"/>
      <c r="I2016" t="s"/>
      <c r="J2016" t="n">
        <v>-0.7111</v>
      </c>
      <c r="K2016" t="n">
        <v>0.327</v>
      </c>
      <c r="L2016" t="n">
        <v>0.57</v>
      </c>
      <c r="M2016" t="n">
        <v>0.103</v>
      </c>
    </row>
    <row r="2017" spans="1:13">
      <c r="A2017" s="1">
        <f>HYPERLINK("http://www.twitter.com/NathanBLawrence/status/981549882321272837", "981549882321272837")</f>
        <v/>
      </c>
      <c r="B2017" s="2" t="n">
        <v>43194.633125</v>
      </c>
      <c r="C2017" t="n">
        <v>0</v>
      </c>
      <c r="D2017" t="n">
        <v>170</v>
      </c>
      <c r="E2017" t="s">
        <v>2028</v>
      </c>
      <c r="F2017">
        <f>HYPERLINK("http://pbs.twimg.com/media/DZ8njKlW4AAWi13.jpg", "http://pbs.twimg.com/media/DZ8njKlW4AAWi13.jpg")</f>
        <v/>
      </c>
      <c r="G2017" t="s"/>
      <c r="H2017" t="s"/>
      <c r="I2017" t="s"/>
      <c r="J2017" t="n">
        <v>-0.3818</v>
      </c>
      <c r="K2017" t="n">
        <v>0.098</v>
      </c>
      <c r="L2017" t="n">
        <v>0.902</v>
      </c>
      <c r="M2017" t="n">
        <v>0</v>
      </c>
    </row>
    <row r="2018" spans="1:13">
      <c r="A2018" s="1">
        <f>HYPERLINK("http://www.twitter.com/NathanBLawrence/status/981549460936429568", "981549460936429568")</f>
        <v/>
      </c>
      <c r="B2018" s="2" t="n">
        <v>43194.63196759259</v>
      </c>
      <c r="C2018" t="n">
        <v>0</v>
      </c>
      <c r="D2018" t="n">
        <v>115</v>
      </c>
      <c r="E2018" t="s">
        <v>2029</v>
      </c>
      <c r="F2018">
        <f>HYPERLINK("http://pbs.twimg.com/media/DZ8Q-vZVQAA0Zrf.jpg", "http://pbs.twimg.com/media/DZ8Q-vZVQAA0Zrf.jpg")</f>
        <v/>
      </c>
      <c r="G2018" t="s"/>
      <c r="H2018" t="s"/>
      <c r="I2018" t="s"/>
      <c r="J2018" t="n">
        <v>0.8439</v>
      </c>
      <c r="K2018" t="n">
        <v>0</v>
      </c>
      <c r="L2018" t="n">
        <v>0.725</v>
      </c>
      <c r="M2018" t="n">
        <v>0.275</v>
      </c>
    </row>
    <row r="2019" spans="1:13">
      <c r="A2019" s="1">
        <f>HYPERLINK("http://www.twitter.com/NathanBLawrence/status/981549052314771456", "981549052314771456")</f>
        <v/>
      </c>
      <c r="B2019" s="2" t="n">
        <v>43194.63084490741</v>
      </c>
      <c r="C2019" t="n">
        <v>0</v>
      </c>
      <c r="D2019" t="n">
        <v>12</v>
      </c>
      <c r="E2019" t="s">
        <v>2030</v>
      </c>
      <c r="F2019" t="s"/>
      <c r="G2019" t="s"/>
      <c r="H2019" t="s"/>
      <c r="I2019" t="s"/>
      <c r="J2019" t="n">
        <v>0</v>
      </c>
      <c r="K2019" t="n">
        <v>0</v>
      </c>
      <c r="L2019" t="n">
        <v>1</v>
      </c>
      <c r="M2019" t="n">
        <v>0</v>
      </c>
    </row>
    <row r="2020" spans="1:13">
      <c r="A2020" s="1">
        <f>HYPERLINK("http://www.twitter.com/NathanBLawrence/status/981547558672748544", "981547558672748544")</f>
        <v/>
      </c>
      <c r="B2020" s="2" t="n">
        <v>43194.62671296296</v>
      </c>
      <c r="C2020" t="n">
        <v>0</v>
      </c>
      <c r="D2020" t="n">
        <v>1411</v>
      </c>
      <c r="E2020" t="s">
        <v>2031</v>
      </c>
      <c r="F2020">
        <f>HYPERLINK("http://pbs.twimg.com/media/DZ573LYVwAETMkm.jpg", "http://pbs.twimg.com/media/DZ573LYVwAETMkm.jpg")</f>
        <v/>
      </c>
      <c r="G2020" t="s"/>
      <c r="H2020" t="s"/>
      <c r="I2020" t="s"/>
      <c r="J2020" t="n">
        <v>-0.25</v>
      </c>
      <c r="K2020" t="n">
        <v>0.154</v>
      </c>
      <c r="L2020" t="n">
        <v>0.846</v>
      </c>
      <c r="M2020" t="n">
        <v>0</v>
      </c>
    </row>
    <row r="2021" spans="1:13">
      <c r="A2021" s="1">
        <f>HYPERLINK("http://www.twitter.com/NathanBLawrence/status/981547325997895680", "981547325997895680")</f>
        <v/>
      </c>
      <c r="B2021" s="2" t="n">
        <v>43194.62607638889</v>
      </c>
      <c r="C2021" t="n">
        <v>0</v>
      </c>
      <c r="D2021" t="n">
        <v>54</v>
      </c>
      <c r="E2021" t="s">
        <v>2032</v>
      </c>
      <c r="F2021" t="s"/>
      <c r="G2021" t="s"/>
      <c r="H2021" t="s"/>
      <c r="I2021" t="s"/>
      <c r="J2021" t="n">
        <v>0.3962</v>
      </c>
      <c r="K2021" t="n">
        <v>0.112</v>
      </c>
      <c r="L2021" t="n">
        <v>0.6820000000000001</v>
      </c>
      <c r="M2021" t="n">
        <v>0.206</v>
      </c>
    </row>
    <row r="2022" spans="1:13">
      <c r="A2022" s="1">
        <f>HYPERLINK("http://www.twitter.com/NathanBLawrence/status/981546839639056384", "981546839639056384")</f>
        <v/>
      </c>
      <c r="B2022" s="2" t="n">
        <v>43194.6247337963</v>
      </c>
      <c r="C2022" t="n">
        <v>0</v>
      </c>
      <c r="D2022" t="n">
        <v>101</v>
      </c>
      <c r="E2022" t="s">
        <v>2033</v>
      </c>
      <c r="F2022">
        <f>HYPERLINK("http://pbs.twimg.com/media/DZ8lNhKUMAEiZAa.jpg", "http://pbs.twimg.com/media/DZ8lNhKUMAEiZAa.jpg")</f>
        <v/>
      </c>
      <c r="G2022" t="s"/>
      <c r="H2022" t="s"/>
      <c r="I2022" t="s"/>
      <c r="J2022" t="n">
        <v>-0.3182</v>
      </c>
      <c r="K2022" t="n">
        <v>0.108</v>
      </c>
      <c r="L2022" t="n">
        <v>0.892</v>
      </c>
      <c r="M2022" t="n">
        <v>0</v>
      </c>
    </row>
    <row r="2023" spans="1:13">
      <c r="A2023" s="1">
        <f>HYPERLINK("http://www.twitter.com/NathanBLawrence/status/981546651629293568", "981546651629293568")</f>
        <v/>
      </c>
      <c r="B2023" s="2" t="n">
        <v>43194.62421296296</v>
      </c>
      <c r="C2023" t="n">
        <v>0</v>
      </c>
      <c r="D2023" t="n">
        <v>45</v>
      </c>
      <c r="E2023" t="s">
        <v>2034</v>
      </c>
      <c r="F2023" t="s"/>
      <c r="G2023" t="s"/>
      <c r="H2023" t="s"/>
      <c r="I2023" t="s"/>
      <c r="J2023" t="n">
        <v>-0.659</v>
      </c>
      <c r="K2023" t="n">
        <v>0.197</v>
      </c>
      <c r="L2023" t="n">
        <v>0.803</v>
      </c>
      <c r="M2023" t="n">
        <v>0</v>
      </c>
    </row>
    <row r="2024" spans="1:13">
      <c r="A2024" s="1">
        <f>HYPERLINK("http://www.twitter.com/NathanBLawrence/status/981546443554029569", "981546443554029569")</f>
        <v/>
      </c>
      <c r="B2024" s="2" t="n">
        <v>43194.62364583334</v>
      </c>
      <c r="C2024" t="n">
        <v>0</v>
      </c>
      <c r="D2024" t="n">
        <v>216</v>
      </c>
      <c r="E2024" t="s">
        <v>2035</v>
      </c>
      <c r="F2024" t="s"/>
      <c r="G2024" t="s"/>
      <c r="H2024" t="s"/>
      <c r="I2024" t="s"/>
      <c r="J2024" t="n">
        <v>0.3802</v>
      </c>
      <c r="K2024" t="n">
        <v>0</v>
      </c>
      <c r="L2024" t="n">
        <v>0.8090000000000001</v>
      </c>
      <c r="M2024" t="n">
        <v>0.191</v>
      </c>
    </row>
    <row r="2025" spans="1:13">
      <c r="A2025" s="1">
        <f>HYPERLINK("http://www.twitter.com/NathanBLawrence/status/981546343578701825", "981546343578701825")</f>
        <v/>
      </c>
      <c r="B2025" s="2" t="n">
        <v>43194.62336805555</v>
      </c>
      <c r="C2025" t="n">
        <v>0</v>
      </c>
      <c r="D2025" t="n">
        <v>15</v>
      </c>
      <c r="E2025" t="s">
        <v>2036</v>
      </c>
      <c r="F2025">
        <f>HYPERLINK("http://pbs.twimg.com/media/DZ8lJCqX0AAu72a.jpg", "http://pbs.twimg.com/media/DZ8lJCqX0AAu72a.jpg")</f>
        <v/>
      </c>
      <c r="G2025" t="s"/>
      <c r="H2025" t="s"/>
      <c r="I2025" t="s"/>
      <c r="J2025" t="n">
        <v>-0.8864</v>
      </c>
      <c r="K2025" t="n">
        <v>0.31</v>
      </c>
      <c r="L2025" t="n">
        <v>0.6899999999999999</v>
      </c>
      <c r="M2025" t="n">
        <v>0</v>
      </c>
    </row>
    <row r="2026" spans="1:13">
      <c r="A2026" s="1">
        <f>HYPERLINK("http://www.twitter.com/NathanBLawrence/status/981545128270749697", "981545128270749697")</f>
        <v/>
      </c>
      <c r="B2026" s="2" t="n">
        <v>43194.62001157407</v>
      </c>
      <c r="C2026" t="n">
        <v>0</v>
      </c>
      <c r="D2026" t="n">
        <v>3</v>
      </c>
      <c r="E2026" t="s">
        <v>2037</v>
      </c>
      <c r="F2026" t="s"/>
      <c r="G2026" t="s"/>
      <c r="H2026" t="s"/>
      <c r="I2026" t="s"/>
      <c r="J2026" t="n">
        <v>0</v>
      </c>
      <c r="K2026" t="n">
        <v>0</v>
      </c>
      <c r="L2026" t="n">
        <v>1</v>
      </c>
      <c r="M2026" t="n">
        <v>0</v>
      </c>
    </row>
    <row r="2027" spans="1:13">
      <c r="A2027" s="1">
        <f>HYPERLINK("http://www.twitter.com/NathanBLawrence/status/981544546285875202", "981544546285875202")</f>
        <v/>
      </c>
      <c r="B2027" s="2" t="n">
        <v>43194.61840277778</v>
      </c>
      <c r="C2027" t="n">
        <v>0</v>
      </c>
      <c r="D2027" t="n">
        <v>912</v>
      </c>
      <c r="E2027" t="s">
        <v>2038</v>
      </c>
      <c r="F2027">
        <f>HYPERLINK("https://video.twimg.com/ext_tw_video/981370627490639872/pu/vid/1280x720/37CdJJUckDkpXvj3.mp4?tag=2", "https://video.twimg.com/ext_tw_video/981370627490639872/pu/vid/1280x720/37CdJJUckDkpXvj3.mp4?tag=2")</f>
        <v/>
      </c>
      <c r="G2027" t="s"/>
      <c r="H2027" t="s"/>
      <c r="I2027" t="s"/>
      <c r="J2027" t="n">
        <v>-0.4577</v>
      </c>
      <c r="K2027" t="n">
        <v>0.12</v>
      </c>
      <c r="L2027" t="n">
        <v>0.88</v>
      </c>
      <c r="M2027" t="n">
        <v>0</v>
      </c>
    </row>
    <row r="2028" spans="1:13">
      <c r="A2028" s="1">
        <f>HYPERLINK("http://www.twitter.com/NathanBLawrence/status/981543917874184193", "981543917874184193")</f>
        <v/>
      </c>
      <c r="B2028" s="2" t="n">
        <v>43194.61666666667</v>
      </c>
      <c r="C2028" t="n">
        <v>0</v>
      </c>
      <c r="D2028" t="n">
        <v>890</v>
      </c>
      <c r="E2028" t="s">
        <v>2039</v>
      </c>
      <c r="F2028">
        <f>HYPERLINK("https://video.twimg.com/amplify_video/981516488443088897/vid/1280x720/wYkkw8mI8DmFf9_d.mp4?tag=2", "https://video.twimg.com/amplify_video/981516488443088897/vid/1280x720/wYkkw8mI8DmFf9_d.mp4?tag=2")</f>
        <v/>
      </c>
      <c r="G2028" t="s"/>
      <c r="H2028" t="s"/>
      <c r="I2028" t="s"/>
      <c r="J2028" t="n">
        <v>0</v>
      </c>
      <c r="K2028" t="n">
        <v>0</v>
      </c>
      <c r="L2028" t="n">
        <v>1</v>
      </c>
      <c r="M2028" t="n">
        <v>0</v>
      </c>
    </row>
    <row r="2029" spans="1:13">
      <c r="A2029" s="1">
        <f>HYPERLINK("http://www.twitter.com/NathanBLawrence/status/981543591288983552", "981543591288983552")</f>
        <v/>
      </c>
      <c r="B2029" s="2" t="n">
        <v>43194.61577546296</v>
      </c>
      <c r="C2029" t="n">
        <v>0</v>
      </c>
      <c r="D2029" t="n">
        <v>2861</v>
      </c>
      <c r="E2029" t="s">
        <v>2040</v>
      </c>
      <c r="F2029">
        <f>HYPERLINK("https://video.twimg.com/amplify_video/981243389617123328/vid/1280x720/uBKIIiFgdHBa4INw.mp4?tag=2", "https://video.twimg.com/amplify_video/981243389617123328/vid/1280x720/uBKIIiFgdHBa4INw.mp4?tag=2")</f>
        <v/>
      </c>
      <c r="G2029" t="s"/>
      <c r="H2029" t="s"/>
      <c r="I2029" t="s"/>
      <c r="J2029" t="n">
        <v>0</v>
      </c>
      <c r="K2029" t="n">
        <v>0</v>
      </c>
      <c r="L2029" t="n">
        <v>1</v>
      </c>
      <c r="M2029" t="n">
        <v>0</v>
      </c>
    </row>
    <row r="2030" spans="1:13">
      <c r="A2030" s="1">
        <f>HYPERLINK("http://www.twitter.com/NathanBLawrence/status/981542683314479105", "981542683314479105")</f>
        <v/>
      </c>
      <c r="B2030" s="2" t="n">
        <v>43194.61326388889</v>
      </c>
      <c r="C2030" t="n">
        <v>0</v>
      </c>
      <c r="D2030" t="n">
        <v>283</v>
      </c>
      <c r="E2030" t="s">
        <v>2041</v>
      </c>
      <c r="F2030" t="s"/>
      <c r="G2030" t="s"/>
      <c r="H2030" t="s"/>
      <c r="I2030" t="s"/>
      <c r="J2030" t="n">
        <v>-0.4939</v>
      </c>
      <c r="K2030" t="n">
        <v>0.144</v>
      </c>
      <c r="L2030" t="n">
        <v>0.856</v>
      </c>
      <c r="M2030" t="n">
        <v>0</v>
      </c>
    </row>
    <row r="2031" spans="1:13">
      <c r="A2031" s="1">
        <f>HYPERLINK("http://www.twitter.com/NathanBLawrence/status/981542563520876545", "981542563520876545")</f>
        <v/>
      </c>
      <c r="B2031" s="2" t="n">
        <v>43194.61292824074</v>
      </c>
      <c r="C2031" t="n">
        <v>0</v>
      </c>
      <c r="D2031" t="n">
        <v>10656</v>
      </c>
      <c r="E2031" t="s">
        <v>2042</v>
      </c>
      <c r="F2031" t="s"/>
      <c r="G2031" t="s"/>
      <c r="H2031" t="s"/>
      <c r="I2031" t="s"/>
      <c r="J2031" t="n">
        <v>0.3818</v>
      </c>
      <c r="K2031" t="n">
        <v>0</v>
      </c>
      <c r="L2031" t="n">
        <v>0.88</v>
      </c>
      <c r="M2031" t="n">
        <v>0.12</v>
      </c>
    </row>
    <row r="2032" spans="1:13">
      <c r="A2032" s="1">
        <f>HYPERLINK("http://www.twitter.com/NathanBLawrence/status/981542378048761856", "981542378048761856")</f>
        <v/>
      </c>
      <c r="B2032" s="2" t="n">
        <v>43194.61241898148</v>
      </c>
      <c r="C2032" t="n">
        <v>0</v>
      </c>
      <c r="D2032" t="n">
        <v>1</v>
      </c>
      <c r="E2032" t="s">
        <v>2043</v>
      </c>
      <c r="F2032" t="s"/>
      <c r="G2032" t="s"/>
      <c r="H2032" t="s"/>
      <c r="I2032" t="s"/>
      <c r="J2032" t="n">
        <v>0</v>
      </c>
      <c r="K2032" t="n">
        <v>0</v>
      </c>
      <c r="L2032" t="n">
        <v>1</v>
      </c>
      <c r="M2032" t="n">
        <v>0</v>
      </c>
    </row>
    <row r="2033" spans="1:13">
      <c r="A2033" s="1">
        <f>HYPERLINK("http://www.twitter.com/NathanBLawrence/status/981540319845081088", "981540319845081088")</f>
        <v/>
      </c>
      <c r="B2033" s="2" t="n">
        <v>43194.60674768518</v>
      </c>
      <c r="C2033" t="n">
        <v>0</v>
      </c>
      <c r="D2033" t="n">
        <v>8</v>
      </c>
      <c r="E2033" t="s">
        <v>2044</v>
      </c>
      <c r="F2033" t="s"/>
      <c r="G2033" t="s"/>
      <c r="H2033" t="s"/>
      <c r="I2033" t="s"/>
      <c r="J2033" t="n">
        <v>-0.4404</v>
      </c>
      <c r="K2033" t="n">
        <v>0.215</v>
      </c>
      <c r="L2033" t="n">
        <v>0.6879999999999999</v>
      </c>
      <c r="M2033" t="n">
        <v>0.097</v>
      </c>
    </row>
    <row r="2034" spans="1:13">
      <c r="A2034" s="1">
        <f>HYPERLINK("http://www.twitter.com/NathanBLawrence/status/981539852683546624", "981539852683546624")</f>
        <v/>
      </c>
      <c r="B2034" s="2" t="n">
        <v>43194.60545138889</v>
      </c>
      <c r="C2034" t="n">
        <v>0</v>
      </c>
      <c r="D2034" t="n">
        <v>543</v>
      </c>
      <c r="E2034" t="s">
        <v>2045</v>
      </c>
      <c r="F2034" t="s"/>
      <c r="G2034" t="s"/>
      <c r="H2034" t="s"/>
      <c r="I2034" t="s"/>
      <c r="J2034" t="n">
        <v>-0.296</v>
      </c>
      <c r="K2034" t="n">
        <v>0.196</v>
      </c>
      <c r="L2034" t="n">
        <v>0.804</v>
      </c>
      <c r="M2034" t="n">
        <v>0</v>
      </c>
    </row>
    <row r="2035" spans="1:13">
      <c r="A2035" s="1">
        <f>HYPERLINK("http://www.twitter.com/NathanBLawrence/status/981537347270594565", "981537347270594565")</f>
        <v/>
      </c>
      <c r="B2035" s="2" t="n">
        <v>43194.59854166667</v>
      </c>
      <c r="C2035" t="n">
        <v>0</v>
      </c>
      <c r="D2035" t="n">
        <v>21</v>
      </c>
      <c r="E2035" t="s">
        <v>2046</v>
      </c>
      <c r="F2035" t="s"/>
      <c r="G2035" t="s"/>
      <c r="H2035" t="s"/>
      <c r="I2035" t="s"/>
      <c r="J2035" t="n">
        <v>-0.2732</v>
      </c>
      <c r="K2035" t="n">
        <v>0.147</v>
      </c>
      <c r="L2035" t="n">
        <v>0.761</v>
      </c>
      <c r="M2035" t="n">
        <v>0.091</v>
      </c>
    </row>
    <row r="2036" spans="1:13">
      <c r="A2036" s="1">
        <f>HYPERLINK("http://www.twitter.com/NathanBLawrence/status/981536906369519616", "981536906369519616")</f>
        <v/>
      </c>
      <c r="B2036" s="2" t="n">
        <v>43194.59732638889</v>
      </c>
      <c r="C2036" t="n">
        <v>0</v>
      </c>
      <c r="D2036" t="n">
        <v>103</v>
      </c>
      <c r="E2036" t="s">
        <v>2047</v>
      </c>
      <c r="F2036">
        <f>HYPERLINK("http://pbs.twimg.com/media/DZ0JjmsVAAADyfc.jpg", "http://pbs.twimg.com/media/DZ0JjmsVAAADyfc.jpg")</f>
        <v/>
      </c>
      <c r="G2036" t="s"/>
      <c r="H2036" t="s"/>
      <c r="I2036" t="s"/>
      <c r="J2036" t="n">
        <v>0</v>
      </c>
      <c r="K2036" t="n">
        <v>0</v>
      </c>
      <c r="L2036" t="n">
        <v>1</v>
      </c>
      <c r="M2036" t="n">
        <v>0</v>
      </c>
    </row>
    <row r="2037" spans="1:13">
      <c r="A2037" s="1">
        <f>HYPERLINK("http://www.twitter.com/NathanBLawrence/status/981536756754472960", "981536756754472960")</f>
        <v/>
      </c>
      <c r="B2037" s="2" t="n">
        <v>43194.59690972222</v>
      </c>
      <c r="C2037" t="n">
        <v>0</v>
      </c>
      <c r="D2037" t="n">
        <v>166</v>
      </c>
      <c r="E2037" t="s">
        <v>2048</v>
      </c>
      <c r="F2037" t="s"/>
      <c r="G2037" t="s"/>
      <c r="H2037" t="s"/>
      <c r="I2037" t="s"/>
      <c r="J2037" t="n">
        <v>0.4073</v>
      </c>
      <c r="K2037" t="n">
        <v>0.109</v>
      </c>
      <c r="L2037" t="n">
        <v>0.668</v>
      </c>
      <c r="M2037" t="n">
        <v>0.223</v>
      </c>
    </row>
    <row r="2038" spans="1:13">
      <c r="A2038" s="1">
        <f>HYPERLINK("http://www.twitter.com/NathanBLawrence/status/981531068456202240", "981531068456202240")</f>
        <v/>
      </c>
      <c r="B2038" s="2" t="n">
        <v>43194.58121527778</v>
      </c>
      <c r="C2038" t="n">
        <v>0</v>
      </c>
      <c r="D2038" t="n">
        <v>16</v>
      </c>
      <c r="E2038" t="s">
        <v>2049</v>
      </c>
      <c r="F2038">
        <f>HYPERLINK("http://pbs.twimg.com/media/DZ8VTBZXcAAQ_Kw.jpg", "http://pbs.twimg.com/media/DZ8VTBZXcAAQ_Kw.jpg")</f>
        <v/>
      </c>
      <c r="G2038" t="s"/>
      <c r="H2038" t="s"/>
      <c r="I2038" t="s"/>
      <c r="J2038" t="n">
        <v>-0.6249</v>
      </c>
      <c r="K2038" t="n">
        <v>0.283</v>
      </c>
      <c r="L2038" t="n">
        <v>0.53</v>
      </c>
      <c r="M2038" t="n">
        <v>0.187</v>
      </c>
    </row>
    <row r="2039" spans="1:13">
      <c r="A2039" s="1">
        <f>HYPERLINK("http://www.twitter.com/NathanBLawrence/status/981530885488037890", "981530885488037890")</f>
        <v/>
      </c>
      <c r="B2039" s="2" t="n">
        <v>43194.58070601852</v>
      </c>
      <c r="C2039" t="n">
        <v>0</v>
      </c>
      <c r="D2039" t="n">
        <v>292</v>
      </c>
      <c r="E2039" t="s">
        <v>2050</v>
      </c>
      <c r="F2039">
        <f>HYPERLINK("http://pbs.twimg.com/media/DZ8QtLWW0AEJOiP.jpg", "http://pbs.twimg.com/media/DZ8QtLWW0AEJOiP.jpg")</f>
        <v/>
      </c>
      <c r="G2039" t="s"/>
      <c r="H2039" t="s"/>
      <c r="I2039" t="s"/>
      <c r="J2039" t="n">
        <v>0</v>
      </c>
      <c r="K2039" t="n">
        <v>0</v>
      </c>
      <c r="L2039" t="n">
        <v>1</v>
      </c>
      <c r="M2039" t="n">
        <v>0</v>
      </c>
    </row>
    <row r="2040" spans="1:13">
      <c r="A2040" s="1">
        <f>HYPERLINK("http://www.twitter.com/NathanBLawrence/status/981529613473124353", "981529613473124353")</f>
        <v/>
      </c>
      <c r="B2040" s="2" t="n">
        <v>43194.57719907408</v>
      </c>
      <c r="C2040" t="n">
        <v>0</v>
      </c>
      <c r="D2040" t="n">
        <v>202</v>
      </c>
      <c r="E2040" t="s">
        <v>2051</v>
      </c>
      <c r="F2040" t="s"/>
      <c r="G2040" t="s"/>
      <c r="H2040" t="s"/>
      <c r="I2040" t="s"/>
      <c r="J2040" t="n">
        <v>0.0772</v>
      </c>
      <c r="K2040" t="n">
        <v>0</v>
      </c>
      <c r="L2040" t="n">
        <v>0.925</v>
      </c>
      <c r="M2040" t="n">
        <v>0.075</v>
      </c>
    </row>
    <row r="2041" spans="1:13">
      <c r="A2041" s="1">
        <f>HYPERLINK("http://www.twitter.com/NathanBLawrence/status/981529379976212480", "981529379976212480")</f>
        <v/>
      </c>
      <c r="B2041" s="2" t="n">
        <v>43194.57655092593</v>
      </c>
      <c r="C2041" t="n">
        <v>0</v>
      </c>
      <c r="D2041" t="n">
        <v>170</v>
      </c>
      <c r="E2041" t="s">
        <v>2052</v>
      </c>
      <c r="F2041">
        <f>HYPERLINK("http://pbs.twimg.com/media/DZ8ViASVoAMwg4m.jpg", "http://pbs.twimg.com/media/DZ8ViASVoAMwg4m.jpg")</f>
        <v/>
      </c>
      <c r="G2041">
        <f>HYPERLINK("http://pbs.twimg.com/media/DZ8ViAaUQAA2Vhm.jpg", "http://pbs.twimg.com/media/DZ8ViAaUQAA2Vhm.jpg")</f>
        <v/>
      </c>
      <c r="H2041">
        <f>HYPERLINK("http://pbs.twimg.com/media/DZ8ViAfU8AAwLoY.jpg", "http://pbs.twimg.com/media/DZ8ViAfU8AAwLoY.jpg")</f>
        <v/>
      </c>
      <c r="I2041">
        <f>HYPERLINK("http://pbs.twimg.com/media/DZ8ViAbUMAAfLlx.jpg", "http://pbs.twimg.com/media/DZ8ViAbUMAAfLlx.jpg")</f>
        <v/>
      </c>
      <c r="J2041" t="n">
        <v>0.658</v>
      </c>
      <c r="K2041" t="n">
        <v>0</v>
      </c>
      <c r="L2041" t="n">
        <v>0.788</v>
      </c>
      <c r="M2041" t="n">
        <v>0.212</v>
      </c>
    </row>
    <row r="2042" spans="1:13">
      <c r="A2042" s="1">
        <f>HYPERLINK("http://www.twitter.com/NathanBLawrence/status/981529227362291712", "981529227362291712")</f>
        <v/>
      </c>
      <c r="B2042" s="2" t="n">
        <v>43194.57613425926</v>
      </c>
      <c r="C2042" t="n">
        <v>0</v>
      </c>
      <c r="D2042" t="n">
        <v>307</v>
      </c>
      <c r="E2042" t="s">
        <v>2053</v>
      </c>
      <c r="F2042" t="s"/>
      <c r="G2042" t="s"/>
      <c r="H2042" t="s"/>
      <c r="I2042" t="s"/>
      <c r="J2042" t="n">
        <v>0</v>
      </c>
      <c r="K2042" t="n">
        <v>0</v>
      </c>
      <c r="L2042" t="n">
        <v>1</v>
      </c>
      <c r="M2042" t="n">
        <v>0</v>
      </c>
    </row>
    <row r="2043" spans="1:13">
      <c r="A2043" s="1">
        <f>HYPERLINK("http://www.twitter.com/NathanBLawrence/status/981529136794689537", "981529136794689537")</f>
        <v/>
      </c>
      <c r="B2043" s="2" t="n">
        <v>43194.57587962963</v>
      </c>
      <c r="C2043" t="n">
        <v>0</v>
      </c>
      <c r="D2043" t="n">
        <v>282</v>
      </c>
      <c r="E2043" t="s">
        <v>2054</v>
      </c>
      <c r="F2043">
        <f>HYPERLINK("https://video.twimg.com/amplify_video/981292656063004673/vid/1280x720/JedqeDvCNo_umRjQ.mp4?tag=2", "https://video.twimg.com/amplify_video/981292656063004673/vid/1280x720/JedqeDvCNo_umRjQ.mp4?tag=2")</f>
        <v/>
      </c>
      <c r="G2043" t="s"/>
      <c r="H2043" t="s"/>
      <c r="I2043" t="s"/>
      <c r="J2043" t="n">
        <v>-0.7269</v>
      </c>
      <c r="K2043" t="n">
        <v>0.225</v>
      </c>
      <c r="L2043" t="n">
        <v>0.775</v>
      </c>
      <c r="M2043" t="n">
        <v>0</v>
      </c>
    </row>
    <row r="2044" spans="1:13">
      <c r="A2044" s="1">
        <f>HYPERLINK("http://www.twitter.com/NathanBLawrence/status/981528230334255105", "981528230334255105")</f>
        <v/>
      </c>
      <c r="B2044" s="2" t="n">
        <v>43194.57337962963</v>
      </c>
      <c r="C2044" t="n">
        <v>0</v>
      </c>
      <c r="D2044" t="n">
        <v>3</v>
      </c>
      <c r="E2044" t="s">
        <v>2055</v>
      </c>
      <c r="F2044">
        <f>HYPERLINK("http://pbs.twimg.com/media/DZ8SUPFUQAA0rnc.jpg", "http://pbs.twimg.com/media/DZ8SUPFUQAA0rnc.jpg")</f>
        <v/>
      </c>
      <c r="G2044" t="s"/>
      <c r="H2044" t="s"/>
      <c r="I2044" t="s"/>
      <c r="J2044" t="n">
        <v>-0.4939</v>
      </c>
      <c r="K2044" t="n">
        <v>0.181</v>
      </c>
      <c r="L2044" t="n">
        <v>0.741</v>
      </c>
      <c r="M2044" t="n">
        <v>0.079</v>
      </c>
    </row>
    <row r="2045" spans="1:13">
      <c r="A2045" s="1">
        <f>HYPERLINK("http://www.twitter.com/NathanBLawrence/status/981527825575563264", "981527825575563264")</f>
        <v/>
      </c>
      <c r="B2045" s="2" t="n">
        <v>43194.57226851852</v>
      </c>
      <c r="C2045" t="n">
        <v>0</v>
      </c>
      <c r="D2045" t="n">
        <v>3448</v>
      </c>
      <c r="E2045" t="s">
        <v>2056</v>
      </c>
      <c r="F2045" t="s"/>
      <c r="G2045" t="s"/>
      <c r="H2045" t="s"/>
      <c r="I2045" t="s"/>
      <c r="J2045" t="n">
        <v>0</v>
      </c>
      <c r="K2045" t="n">
        <v>0</v>
      </c>
      <c r="L2045" t="n">
        <v>1</v>
      </c>
      <c r="M2045" t="n">
        <v>0</v>
      </c>
    </row>
    <row r="2046" spans="1:13">
      <c r="A2046" s="1">
        <f>HYPERLINK("http://www.twitter.com/NathanBLawrence/status/981522674114580481", "981522674114580481")</f>
        <v/>
      </c>
      <c r="B2046" s="2" t="n">
        <v>43194.55804398148</v>
      </c>
      <c r="C2046" t="n">
        <v>0</v>
      </c>
      <c r="D2046" t="n">
        <v>1320</v>
      </c>
      <c r="E2046" t="s">
        <v>2057</v>
      </c>
      <c r="F2046" t="s"/>
      <c r="G2046" t="s"/>
      <c r="H2046" t="s"/>
      <c r="I2046" t="s"/>
      <c r="J2046" t="n">
        <v>0.1779</v>
      </c>
      <c r="K2046" t="n">
        <v>0</v>
      </c>
      <c r="L2046" t="n">
        <v>0.931</v>
      </c>
      <c r="M2046" t="n">
        <v>0.06900000000000001</v>
      </c>
    </row>
    <row r="2047" spans="1:13">
      <c r="A2047" s="1">
        <f>HYPERLINK("http://www.twitter.com/NathanBLawrence/status/981522386683035648", "981522386683035648")</f>
        <v/>
      </c>
      <c r="B2047" s="2" t="n">
        <v>43194.55725694444</v>
      </c>
      <c r="C2047" t="n">
        <v>0</v>
      </c>
      <c r="D2047" t="n">
        <v>33</v>
      </c>
      <c r="E2047" t="s">
        <v>2058</v>
      </c>
      <c r="F2047" t="s"/>
      <c r="G2047" t="s"/>
      <c r="H2047" t="s"/>
      <c r="I2047" t="s"/>
      <c r="J2047" t="n">
        <v>0</v>
      </c>
      <c r="K2047" t="n">
        <v>0</v>
      </c>
      <c r="L2047" t="n">
        <v>1</v>
      </c>
      <c r="M2047" t="n">
        <v>0</v>
      </c>
    </row>
    <row r="2048" spans="1:13">
      <c r="A2048" s="1">
        <f>HYPERLINK("http://www.twitter.com/NathanBLawrence/status/981520595551686656", "981520595551686656")</f>
        <v/>
      </c>
      <c r="B2048" s="2" t="n">
        <v>43194.55231481481</v>
      </c>
      <c r="C2048" t="n">
        <v>0</v>
      </c>
      <c r="D2048" t="n">
        <v>132</v>
      </c>
      <c r="E2048" t="s">
        <v>2059</v>
      </c>
      <c r="F2048">
        <f>HYPERLINK("http://pbs.twimg.com/media/DZ6SM4HXkAAOObW.jpg", "http://pbs.twimg.com/media/DZ6SM4HXkAAOObW.jpg")</f>
        <v/>
      </c>
      <c r="G2048">
        <f>HYPERLINK("http://pbs.twimg.com/media/DZ6SM4DXkAYVN_C.jpg", "http://pbs.twimg.com/media/DZ6SM4DXkAYVN_C.jpg")</f>
        <v/>
      </c>
      <c r="H2048" t="s"/>
      <c r="I2048" t="s"/>
      <c r="J2048" t="n">
        <v>-0.4767</v>
      </c>
      <c r="K2048" t="n">
        <v>0.134</v>
      </c>
      <c r="L2048" t="n">
        <v>0.866</v>
      </c>
      <c r="M2048" t="n">
        <v>0</v>
      </c>
    </row>
    <row r="2049" spans="1:13">
      <c r="A2049" s="1">
        <f>HYPERLINK("http://www.twitter.com/NathanBLawrence/status/981520001092943873", "981520001092943873")</f>
        <v/>
      </c>
      <c r="B2049" s="2" t="n">
        <v>43194.5506712963</v>
      </c>
      <c r="C2049" t="n">
        <v>0</v>
      </c>
      <c r="D2049" t="n">
        <v>667</v>
      </c>
      <c r="E2049" t="s">
        <v>2060</v>
      </c>
      <c r="F2049">
        <f>HYPERLINK("https://video.twimg.com/ext_tw_video/981052702376390657/pu/vid/1280x720/ONyMWPKHE53vc0aQ.mp4?tag=2", "https://video.twimg.com/ext_tw_video/981052702376390657/pu/vid/1280x720/ONyMWPKHE53vc0aQ.mp4?tag=2")</f>
        <v/>
      </c>
      <c r="G2049" t="s"/>
      <c r="H2049" t="s"/>
      <c r="I2049" t="s"/>
      <c r="J2049" t="n">
        <v>0</v>
      </c>
      <c r="K2049" t="n">
        <v>0</v>
      </c>
      <c r="L2049" t="n">
        <v>1</v>
      </c>
      <c r="M2049" t="n">
        <v>0</v>
      </c>
    </row>
    <row r="2050" spans="1:13">
      <c r="A2050" s="1">
        <f>HYPERLINK("http://www.twitter.com/NathanBLawrence/status/981517825486544896", "981517825486544896")</f>
        <v/>
      </c>
      <c r="B2050" s="2" t="n">
        <v>43194.54466435185</v>
      </c>
      <c r="C2050" t="n">
        <v>0</v>
      </c>
      <c r="D2050" t="n">
        <v>176</v>
      </c>
      <c r="E2050" t="s">
        <v>2061</v>
      </c>
      <c r="F2050" t="s"/>
      <c r="G2050" t="s"/>
      <c r="H2050" t="s"/>
      <c r="I2050" t="s"/>
      <c r="J2050" t="n">
        <v>0.3769</v>
      </c>
      <c r="K2050" t="n">
        <v>0</v>
      </c>
      <c r="L2050" t="n">
        <v>0.907</v>
      </c>
      <c r="M2050" t="n">
        <v>0.093</v>
      </c>
    </row>
    <row r="2051" spans="1:13">
      <c r="A2051" s="1">
        <f>HYPERLINK("http://www.twitter.com/NathanBLawrence/status/981516863371927552", "981516863371927552")</f>
        <v/>
      </c>
      <c r="B2051" s="2" t="n">
        <v>43194.54201388889</v>
      </c>
      <c r="C2051" t="n">
        <v>0</v>
      </c>
      <c r="D2051" t="n">
        <v>175</v>
      </c>
      <c r="E2051" t="s">
        <v>2062</v>
      </c>
      <c r="F2051">
        <f>HYPERLINK("http://pbs.twimg.com/media/DZ0XJfaUMAU0rRy.jpg", "http://pbs.twimg.com/media/DZ0XJfaUMAU0rRy.jpg")</f>
        <v/>
      </c>
      <c r="G2051" t="s"/>
      <c r="H2051" t="s"/>
      <c r="I2051" t="s"/>
      <c r="J2051" t="n">
        <v>0.7494</v>
      </c>
      <c r="K2051" t="n">
        <v>0</v>
      </c>
      <c r="L2051" t="n">
        <v>0.767</v>
      </c>
      <c r="M2051" t="n">
        <v>0.233</v>
      </c>
    </row>
    <row r="2052" spans="1:13">
      <c r="A2052" s="1">
        <f>HYPERLINK("http://www.twitter.com/NathanBLawrence/status/981514479312736256", "981514479312736256")</f>
        <v/>
      </c>
      <c r="B2052" s="2" t="n">
        <v>43194.53543981481</v>
      </c>
      <c r="C2052" t="n">
        <v>0</v>
      </c>
      <c r="D2052" t="n">
        <v>345</v>
      </c>
      <c r="E2052" t="s">
        <v>2063</v>
      </c>
      <c r="F2052">
        <f>HYPERLINK("http://pbs.twimg.com/media/DZ8FlX8U8AEpoCf.jpg", "http://pbs.twimg.com/media/DZ8FlX8U8AEpoCf.jpg")</f>
        <v/>
      </c>
      <c r="G2052" t="s"/>
      <c r="H2052" t="s"/>
      <c r="I2052" t="s"/>
      <c r="J2052" t="n">
        <v>0</v>
      </c>
      <c r="K2052" t="n">
        <v>0</v>
      </c>
      <c r="L2052" t="n">
        <v>1</v>
      </c>
      <c r="M2052" t="n">
        <v>0</v>
      </c>
    </row>
    <row r="2053" spans="1:13">
      <c r="A2053" s="1">
        <f>HYPERLINK("http://www.twitter.com/NathanBLawrence/status/981514344918913024", "981514344918913024")</f>
        <v/>
      </c>
      <c r="B2053" s="2" t="n">
        <v>43194.53506944444</v>
      </c>
      <c r="C2053" t="n">
        <v>0</v>
      </c>
      <c r="D2053" t="n">
        <v>495</v>
      </c>
      <c r="E2053" t="s">
        <v>2064</v>
      </c>
      <c r="F2053">
        <f>HYPERLINK("https://video.twimg.com/amplify_video/981493437265571840/vid/1280x720/5I2fPutX6-0rRuQQ.mp4?tag=2", "https://video.twimg.com/amplify_video/981493437265571840/vid/1280x720/5I2fPutX6-0rRuQQ.mp4?tag=2")</f>
        <v/>
      </c>
      <c r="G2053" t="s"/>
      <c r="H2053" t="s"/>
      <c r="I2053" t="s"/>
      <c r="J2053" t="n">
        <v>0</v>
      </c>
      <c r="K2053" t="n">
        <v>0</v>
      </c>
      <c r="L2053" t="n">
        <v>1</v>
      </c>
      <c r="M2053" t="n">
        <v>0</v>
      </c>
    </row>
    <row r="2054" spans="1:13">
      <c r="A2054" s="1">
        <f>HYPERLINK("http://www.twitter.com/NathanBLawrence/status/981514194196582402", "981514194196582402")</f>
        <v/>
      </c>
      <c r="B2054" s="2" t="n">
        <v>43194.53465277778</v>
      </c>
      <c r="C2054" t="n">
        <v>0</v>
      </c>
      <c r="D2054" t="n">
        <v>544</v>
      </c>
      <c r="E2054" t="s">
        <v>2065</v>
      </c>
      <c r="F2054" t="s"/>
      <c r="G2054" t="s"/>
      <c r="H2054" t="s"/>
      <c r="I2054" t="s"/>
      <c r="J2054" t="n">
        <v>0</v>
      </c>
      <c r="K2054" t="n">
        <v>0</v>
      </c>
      <c r="L2054" t="n">
        <v>1</v>
      </c>
      <c r="M2054" t="n">
        <v>0</v>
      </c>
    </row>
    <row r="2055" spans="1:13">
      <c r="A2055" s="1">
        <f>HYPERLINK("http://www.twitter.com/NathanBLawrence/status/981514124956979200", "981514124956979200")</f>
        <v/>
      </c>
      <c r="B2055" s="2" t="n">
        <v>43194.53445601852</v>
      </c>
      <c r="C2055" t="n">
        <v>0</v>
      </c>
      <c r="D2055" t="n">
        <v>920</v>
      </c>
      <c r="E2055" t="s">
        <v>2066</v>
      </c>
      <c r="F2055" t="s"/>
      <c r="G2055" t="s"/>
      <c r="H2055" t="s"/>
      <c r="I2055" t="s"/>
      <c r="J2055" t="n">
        <v>0</v>
      </c>
      <c r="K2055" t="n">
        <v>0</v>
      </c>
      <c r="L2055" t="n">
        <v>1</v>
      </c>
      <c r="M2055" t="n">
        <v>0</v>
      </c>
    </row>
    <row r="2056" spans="1:13">
      <c r="A2056" s="1">
        <f>HYPERLINK("http://www.twitter.com/NathanBLawrence/status/981357357103017984", "981357357103017984")</f>
        <v/>
      </c>
      <c r="B2056" s="2" t="n">
        <v>43194.10186342592</v>
      </c>
      <c r="C2056" t="n">
        <v>0</v>
      </c>
      <c r="D2056" t="n">
        <v>3</v>
      </c>
      <c r="E2056" t="s">
        <v>2067</v>
      </c>
      <c r="F2056" t="s"/>
      <c r="G2056" t="s"/>
      <c r="H2056" t="s"/>
      <c r="I2056" t="s"/>
      <c r="J2056" t="n">
        <v>0</v>
      </c>
      <c r="K2056" t="n">
        <v>0</v>
      </c>
      <c r="L2056" t="n">
        <v>1</v>
      </c>
      <c r="M2056" t="n">
        <v>0</v>
      </c>
    </row>
    <row r="2057" spans="1:13">
      <c r="A2057" s="1">
        <f>HYPERLINK("http://www.twitter.com/NathanBLawrence/status/981356996753608705", "981356996753608705")</f>
        <v/>
      </c>
      <c r="B2057" s="2" t="n">
        <v>43194.10086805555</v>
      </c>
      <c r="C2057" t="n">
        <v>0</v>
      </c>
      <c r="D2057" t="n">
        <v>12</v>
      </c>
      <c r="E2057" t="s">
        <v>2068</v>
      </c>
      <c r="F2057">
        <f>HYPERLINK("https://video.twimg.com/ext_tw_video/981332986401497093/pu/vid/320x180/oIFnUZjJWYuONRbA.mp4?tag=2", "https://video.twimg.com/ext_tw_video/981332986401497093/pu/vid/320x180/oIFnUZjJWYuONRbA.mp4?tag=2")</f>
        <v/>
      </c>
      <c r="G2057" t="s"/>
      <c r="H2057" t="s"/>
      <c r="I2057" t="s"/>
      <c r="J2057" t="n">
        <v>0.2577</v>
      </c>
      <c r="K2057" t="n">
        <v>0</v>
      </c>
      <c r="L2057" t="n">
        <v>0.893</v>
      </c>
      <c r="M2057" t="n">
        <v>0.107</v>
      </c>
    </row>
    <row r="2058" spans="1:13">
      <c r="A2058" s="1">
        <f>HYPERLINK("http://www.twitter.com/NathanBLawrence/status/981356490786328577", "981356490786328577")</f>
        <v/>
      </c>
      <c r="B2058" s="2" t="n">
        <v>43194.09946759259</v>
      </c>
      <c r="C2058" t="n">
        <v>0</v>
      </c>
      <c r="D2058" t="n">
        <v>1079</v>
      </c>
      <c r="E2058" t="s">
        <v>2069</v>
      </c>
      <c r="F2058">
        <f>HYPERLINK("http://pbs.twimg.com/media/DZ54pHYVwAANAGw.jpg", "http://pbs.twimg.com/media/DZ54pHYVwAANAGw.jpg")</f>
        <v/>
      </c>
      <c r="G2058" t="s"/>
      <c r="H2058" t="s"/>
      <c r="I2058" t="s"/>
      <c r="J2058" t="n">
        <v>0.636</v>
      </c>
      <c r="K2058" t="n">
        <v>0</v>
      </c>
      <c r="L2058" t="n">
        <v>0.834</v>
      </c>
      <c r="M2058" t="n">
        <v>0.166</v>
      </c>
    </row>
    <row r="2059" spans="1:13">
      <c r="A2059" s="1">
        <f>HYPERLINK("http://www.twitter.com/NathanBLawrence/status/981356260753858560", "981356260753858560")</f>
        <v/>
      </c>
      <c r="B2059" s="2" t="n">
        <v>43194.09883101852</v>
      </c>
      <c r="C2059" t="n">
        <v>0</v>
      </c>
      <c r="D2059" t="n">
        <v>930</v>
      </c>
      <c r="E2059" t="s">
        <v>2070</v>
      </c>
      <c r="F2059" t="s"/>
      <c r="G2059" t="s"/>
      <c r="H2059" t="s"/>
      <c r="I2059" t="s"/>
      <c r="J2059" t="n">
        <v>-0.5266999999999999</v>
      </c>
      <c r="K2059" t="n">
        <v>0.228</v>
      </c>
      <c r="L2059" t="n">
        <v>0.68</v>
      </c>
      <c r="M2059" t="n">
        <v>0.092</v>
      </c>
    </row>
    <row r="2060" spans="1:13">
      <c r="A2060" s="1">
        <f>HYPERLINK("http://www.twitter.com/NathanBLawrence/status/981351813650833408", "981351813650833408")</f>
        <v/>
      </c>
      <c r="B2060" s="2" t="n">
        <v>43194.0865625</v>
      </c>
      <c r="C2060" t="n">
        <v>0</v>
      </c>
      <c r="D2060" t="n">
        <v>1853</v>
      </c>
      <c r="E2060" t="s">
        <v>2071</v>
      </c>
      <c r="F2060">
        <f>HYPERLINK("http://pbs.twimg.com/media/DZ5rbz4U0AAPPE4.jpg", "http://pbs.twimg.com/media/DZ5rbz4U0AAPPE4.jpg")</f>
        <v/>
      </c>
      <c r="G2060" t="s"/>
      <c r="H2060" t="s"/>
      <c r="I2060" t="s"/>
      <c r="J2060" t="n">
        <v>0</v>
      </c>
      <c r="K2060" t="n">
        <v>0</v>
      </c>
      <c r="L2060" t="n">
        <v>1</v>
      </c>
      <c r="M2060" t="n">
        <v>0</v>
      </c>
    </row>
    <row r="2061" spans="1:13">
      <c r="A2061" s="1">
        <f>HYPERLINK("http://www.twitter.com/NathanBLawrence/status/981347530960142336", "981347530960142336")</f>
        <v/>
      </c>
      <c r="B2061" s="2" t="n">
        <v>43194.07474537037</v>
      </c>
      <c r="C2061" t="n">
        <v>0</v>
      </c>
      <c r="D2061" t="n">
        <v>284</v>
      </c>
      <c r="E2061" t="s">
        <v>2072</v>
      </c>
      <c r="F2061" t="s"/>
      <c r="G2061" t="s"/>
      <c r="H2061" t="s"/>
      <c r="I2061" t="s"/>
      <c r="J2061" t="n">
        <v>0.0772</v>
      </c>
      <c r="K2061" t="n">
        <v>0.082</v>
      </c>
      <c r="L2061" t="n">
        <v>0.824</v>
      </c>
      <c r="M2061" t="n">
        <v>0.094</v>
      </c>
    </row>
    <row r="2062" spans="1:13">
      <c r="A2062" s="1">
        <f>HYPERLINK("http://www.twitter.com/NathanBLawrence/status/981347440019296256", "981347440019296256")</f>
        <v/>
      </c>
      <c r="B2062" s="2" t="n">
        <v>43194.07449074074</v>
      </c>
      <c r="C2062" t="n">
        <v>0</v>
      </c>
      <c r="D2062" t="n">
        <v>1504</v>
      </c>
      <c r="E2062" t="s">
        <v>2073</v>
      </c>
      <c r="F2062" t="s"/>
      <c r="G2062" t="s"/>
      <c r="H2062" t="s"/>
      <c r="I2062" t="s"/>
      <c r="J2062" t="n">
        <v>-0.4215</v>
      </c>
      <c r="K2062" t="n">
        <v>0.149</v>
      </c>
      <c r="L2062" t="n">
        <v>0.851</v>
      </c>
      <c r="M2062" t="n">
        <v>0</v>
      </c>
    </row>
    <row r="2063" spans="1:13">
      <c r="A2063" s="1">
        <f>HYPERLINK("http://www.twitter.com/NathanBLawrence/status/981346680577634314", "981346680577634314")</f>
        <v/>
      </c>
      <c r="B2063" s="2" t="n">
        <v>43194.07239583333</v>
      </c>
      <c r="C2063" t="n">
        <v>0</v>
      </c>
      <c r="D2063" t="n">
        <v>187</v>
      </c>
      <c r="E2063" t="s">
        <v>2074</v>
      </c>
      <c r="F2063" t="s"/>
      <c r="G2063" t="s"/>
      <c r="H2063" t="s"/>
      <c r="I2063" t="s"/>
      <c r="J2063" t="n">
        <v>0.34</v>
      </c>
      <c r="K2063" t="n">
        <v>0</v>
      </c>
      <c r="L2063" t="n">
        <v>0.876</v>
      </c>
      <c r="M2063" t="n">
        <v>0.124</v>
      </c>
    </row>
    <row r="2064" spans="1:13">
      <c r="A2064" s="1">
        <f>HYPERLINK("http://www.twitter.com/NathanBLawrence/status/981346299344760832", "981346299344760832")</f>
        <v/>
      </c>
      <c r="B2064" s="2" t="n">
        <v>43194.07134259259</v>
      </c>
      <c r="C2064" t="n">
        <v>0</v>
      </c>
      <c r="D2064" t="n">
        <v>10008</v>
      </c>
      <c r="E2064" t="s">
        <v>2075</v>
      </c>
      <c r="F2064" t="s"/>
      <c r="G2064" t="s"/>
      <c r="H2064" t="s"/>
      <c r="I2064" t="s"/>
      <c r="J2064" t="n">
        <v>0</v>
      </c>
      <c r="K2064" t="n">
        <v>0</v>
      </c>
      <c r="L2064" t="n">
        <v>1</v>
      </c>
      <c r="M2064" t="n">
        <v>0</v>
      </c>
    </row>
    <row r="2065" spans="1:13">
      <c r="A2065" s="1">
        <f>HYPERLINK("http://www.twitter.com/NathanBLawrence/status/981345664754966528", "981345664754966528")</f>
        <v/>
      </c>
      <c r="B2065" s="2" t="n">
        <v>43194.06959490741</v>
      </c>
      <c r="C2065" t="n">
        <v>0</v>
      </c>
      <c r="D2065" t="n">
        <v>15</v>
      </c>
      <c r="E2065" t="s">
        <v>2076</v>
      </c>
      <c r="F2065">
        <f>HYPERLINK("http://pbs.twimg.com/media/DZ5vTr5X0Ao4zpg.jpg", "http://pbs.twimg.com/media/DZ5vTr5X0Ao4zpg.jpg")</f>
        <v/>
      </c>
      <c r="G2065" t="s"/>
      <c r="H2065" t="s"/>
      <c r="I2065" t="s"/>
      <c r="J2065" t="n">
        <v>0.6124000000000001</v>
      </c>
      <c r="K2065" t="n">
        <v>0</v>
      </c>
      <c r="L2065" t="n">
        <v>0.6879999999999999</v>
      </c>
      <c r="M2065" t="n">
        <v>0.312</v>
      </c>
    </row>
    <row r="2066" spans="1:13">
      <c r="A2066" s="1">
        <f>HYPERLINK("http://www.twitter.com/NathanBLawrence/status/981345501453934593", "981345501453934593")</f>
        <v/>
      </c>
      <c r="B2066" s="2" t="n">
        <v>43194.06914351852</v>
      </c>
      <c r="C2066" t="n">
        <v>0</v>
      </c>
      <c r="D2066" t="n">
        <v>76</v>
      </c>
      <c r="E2066" t="s">
        <v>2077</v>
      </c>
      <c r="F2066">
        <f>HYPERLINK("http://pbs.twimg.com/media/DZ5vJHlWsAE_TwC.jpg", "http://pbs.twimg.com/media/DZ5vJHlWsAE_TwC.jpg")</f>
        <v/>
      </c>
      <c r="G2066" t="s"/>
      <c r="H2066" t="s"/>
      <c r="I2066" t="s"/>
      <c r="J2066" t="n">
        <v>0.845</v>
      </c>
      <c r="K2066" t="n">
        <v>0.078</v>
      </c>
      <c r="L2066" t="n">
        <v>0.57</v>
      </c>
      <c r="M2066" t="n">
        <v>0.352</v>
      </c>
    </row>
    <row r="2067" spans="1:13">
      <c r="A2067" s="1">
        <f>HYPERLINK("http://www.twitter.com/NathanBLawrence/status/981344799776272389", "981344799776272389")</f>
        <v/>
      </c>
      <c r="B2067" s="2" t="n">
        <v>43194.06721064815</v>
      </c>
      <c r="C2067" t="n">
        <v>0</v>
      </c>
      <c r="D2067" t="n">
        <v>225</v>
      </c>
      <c r="E2067" t="s">
        <v>2078</v>
      </c>
      <c r="F2067">
        <f>HYPERLINK("http://pbs.twimg.com/media/DZ5vYErVQAAUvpe.jpg", "http://pbs.twimg.com/media/DZ5vYErVQAAUvpe.jpg")</f>
        <v/>
      </c>
      <c r="G2067" t="s"/>
      <c r="H2067" t="s"/>
      <c r="I2067" t="s"/>
      <c r="J2067" t="n">
        <v>0</v>
      </c>
      <c r="K2067" t="n">
        <v>0</v>
      </c>
      <c r="L2067" t="n">
        <v>1</v>
      </c>
      <c r="M2067" t="n">
        <v>0</v>
      </c>
    </row>
    <row r="2068" spans="1:13">
      <c r="A2068" s="1">
        <f>HYPERLINK("http://www.twitter.com/NathanBLawrence/status/981344540144689153", "981344540144689153")</f>
        <v/>
      </c>
      <c r="B2068" s="2" t="n">
        <v>43194.06649305556</v>
      </c>
      <c r="C2068" t="n">
        <v>0</v>
      </c>
      <c r="D2068" t="n">
        <v>126</v>
      </c>
      <c r="E2068" t="s">
        <v>2079</v>
      </c>
      <c r="F2068">
        <f>HYPERLINK("http://pbs.twimg.com/media/DZ2_TP7VMAAOjrY.jpg", "http://pbs.twimg.com/media/DZ2_TP7VMAAOjrY.jpg")</f>
        <v/>
      </c>
      <c r="G2068" t="s"/>
      <c r="H2068" t="s"/>
      <c r="I2068" t="s"/>
      <c r="J2068" t="n">
        <v>0.3595</v>
      </c>
      <c r="K2068" t="n">
        <v>0</v>
      </c>
      <c r="L2068" t="n">
        <v>0.865</v>
      </c>
      <c r="M2068" t="n">
        <v>0.135</v>
      </c>
    </row>
    <row r="2069" spans="1:13">
      <c r="A2069" s="1">
        <f>HYPERLINK("http://www.twitter.com/NathanBLawrence/status/981308634864013312", "981308634864013312")</f>
        <v/>
      </c>
      <c r="B2069" s="2" t="n">
        <v>43193.96741898148</v>
      </c>
      <c r="C2069" t="n">
        <v>0</v>
      </c>
      <c r="D2069" t="n">
        <v>156</v>
      </c>
      <c r="E2069" t="s">
        <v>2080</v>
      </c>
      <c r="F2069">
        <f>HYPERLINK("https://video.twimg.com/amplify_video/981262672023912448/vid/1280x720/EulgweazXvmkubV-.mp4?tag=2", "https://video.twimg.com/amplify_video/981262672023912448/vid/1280x720/EulgweazXvmkubV-.mp4?tag=2")</f>
        <v/>
      </c>
      <c r="G2069" t="s"/>
      <c r="H2069" t="s"/>
      <c r="I2069" t="s"/>
      <c r="J2069" t="n">
        <v>0.34</v>
      </c>
      <c r="K2069" t="n">
        <v>0</v>
      </c>
      <c r="L2069" t="n">
        <v>0.906</v>
      </c>
      <c r="M2069" t="n">
        <v>0.094</v>
      </c>
    </row>
    <row r="2070" spans="1:13">
      <c r="A2070" s="1">
        <f>HYPERLINK("http://www.twitter.com/NathanBLawrence/status/981308385068027905", "981308385068027905")</f>
        <v/>
      </c>
      <c r="B2070" s="2" t="n">
        <v>43193.96672453704</v>
      </c>
      <c r="C2070" t="n">
        <v>0</v>
      </c>
      <c r="D2070" t="n">
        <v>4</v>
      </c>
      <c r="E2070" t="s">
        <v>2081</v>
      </c>
      <c r="F2070" t="s"/>
      <c r="G2070" t="s"/>
      <c r="H2070" t="s"/>
      <c r="I2070" t="s"/>
      <c r="J2070" t="n">
        <v>0</v>
      </c>
      <c r="K2070" t="n">
        <v>0</v>
      </c>
      <c r="L2070" t="n">
        <v>1</v>
      </c>
      <c r="M2070" t="n">
        <v>0</v>
      </c>
    </row>
    <row r="2071" spans="1:13">
      <c r="A2071" s="1">
        <f>HYPERLINK("http://www.twitter.com/NathanBLawrence/status/981308348296548354", "981308348296548354")</f>
        <v/>
      </c>
      <c r="B2071" s="2" t="n">
        <v>43193.96662037037</v>
      </c>
      <c r="C2071" t="n">
        <v>0</v>
      </c>
      <c r="D2071" t="n">
        <v>88</v>
      </c>
      <c r="E2071" t="s">
        <v>2082</v>
      </c>
      <c r="F2071">
        <f>HYPERLINK("http://pbs.twimg.com/media/DZ5DCcgVAAA6ds0.jpg", "http://pbs.twimg.com/media/DZ5DCcgVAAA6ds0.jpg")</f>
        <v/>
      </c>
      <c r="G2071" t="s"/>
      <c r="H2071" t="s"/>
      <c r="I2071" t="s"/>
      <c r="J2071" t="n">
        <v>-0.4767</v>
      </c>
      <c r="K2071" t="n">
        <v>0.154</v>
      </c>
      <c r="L2071" t="n">
        <v>0.846</v>
      </c>
      <c r="M2071" t="n">
        <v>0</v>
      </c>
    </row>
    <row r="2072" spans="1:13">
      <c r="A2072" s="1">
        <f>HYPERLINK("http://www.twitter.com/NathanBLawrence/status/981305904506265600", "981305904506265600")</f>
        <v/>
      </c>
      <c r="B2072" s="2" t="n">
        <v>43193.95988425926</v>
      </c>
      <c r="C2072" t="n">
        <v>0</v>
      </c>
      <c r="D2072" t="n">
        <v>14</v>
      </c>
      <c r="E2072" t="s">
        <v>2083</v>
      </c>
      <c r="F2072" t="s"/>
      <c r="G2072" t="s"/>
      <c r="H2072" t="s"/>
      <c r="I2072" t="s"/>
      <c r="J2072" t="n">
        <v>-0.4767</v>
      </c>
      <c r="K2072" t="n">
        <v>0.134</v>
      </c>
      <c r="L2072" t="n">
        <v>0.866</v>
      </c>
      <c r="M2072" t="n">
        <v>0</v>
      </c>
    </row>
    <row r="2073" spans="1:13">
      <c r="A2073" s="1">
        <f>HYPERLINK("http://www.twitter.com/NathanBLawrence/status/981305664374001668", "981305664374001668")</f>
        <v/>
      </c>
      <c r="B2073" s="2" t="n">
        <v>43193.95921296296</v>
      </c>
      <c r="C2073" t="n">
        <v>0</v>
      </c>
      <c r="D2073" t="n">
        <v>1182</v>
      </c>
      <c r="E2073" t="s">
        <v>2084</v>
      </c>
      <c r="F2073">
        <f>HYPERLINK("https://video.twimg.com/ext_tw_video/980763032279072769/pu/vid/450x360/-kFCCKS5MFZpzgi8.mp4?tag=2", "https://video.twimg.com/ext_tw_video/980763032279072769/pu/vid/450x360/-kFCCKS5MFZpzgi8.mp4?tag=2")</f>
        <v/>
      </c>
      <c r="G2073" t="s"/>
      <c r="H2073" t="s"/>
      <c r="I2073" t="s"/>
      <c r="J2073" t="n">
        <v>-0.2023</v>
      </c>
      <c r="K2073" t="n">
        <v>0.171</v>
      </c>
      <c r="L2073" t="n">
        <v>0.694</v>
      </c>
      <c r="M2073" t="n">
        <v>0.134</v>
      </c>
    </row>
    <row r="2074" spans="1:13">
      <c r="A2074" s="1">
        <f>HYPERLINK("http://www.twitter.com/NathanBLawrence/status/981304906861764608", "981304906861764608")</f>
        <v/>
      </c>
      <c r="B2074" s="2" t="n">
        <v>43193.95712962963</v>
      </c>
      <c r="C2074" t="n">
        <v>0</v>
      </c>
      <c r="D2074" t="n">
        <v>268</v>
      </c>
      <c r="E2074" t="s">
        <v>2085</v>
      </c>
      <c r="F2074" t="s"/>
      <c r="G2074" t="s"/>
      <c r="H2074" t="s"/>
      <c r="I2074" t="s"/>
      <c r="J2074" t="n">
        <v>0</v>
      </c>
      <c r="K2074" t="n">
        <v>0</v>
      </c>
      <c r="L2074" t="n">
        <v>1</v>
      </c>
      <c r="M2074" t="n">
        <v>0</v>
      </c>
    </row>
    <row r="2075" spans="1:13">
      <c r="A2075" s="1">
        <f>HYPERLINK("http://www.twitter.com/NathanBLawrence/status/981304437372280832", "981304437372280832")</f>
        <v/>
      </c>
      <c r="B2075" s="2" t="n">
        <v>43193.95583333333</v>
      </c>
      <c r="C2075" t="n">
        <v>0</v>
      </c>
      <c r="D2075" t="n">
        <v>41</v>
      </c>
      <c r="E2075" t="s">
        <v>2086</v>
      </c>
      <c r="F2075" t="s"/>
      <c r="G2075" t="s"/>
      <c r="H2075" t="s"/>
      <c r="I2075" t="s"/>
      <c r="J2075" t="n">
        <v>0.3802</v>
      </c>
      <c r="K2075" t="n">
        <v>0.05</v>
      </c>
      <c r="L2075" t="n">
        <v>0.792</v>
      </c>
      <c r="M2075" t="n">
        <v>0.158</v>
      </c>
    </row>
    <row r="2076" spans="1:13">
      <c r="A2076" s="1">
        <f>HYPERLINK("http://www.twitter.com/NathanBLawrence/status/981304129736732672", "981304129736732672")</f>
        <v/>
      </c>
      <c r="B2076" s="2" t="n">
        <v>43193.95497685186</v>
      </c>
      <c r="C2076" t="n">
        <v>0</v>
      </c>
      <c r="D2076" t="n">
        <v>54</v>
      </c>
      <c r="E2076" t="s">
        <v>2087</v>
      </c>
      <c r="F2076" t="s"/>
      <c r="G2076" t="s"/>
      <c r="H2076" t="s"/>
      <c r="I2076" t="s"/>
      <c r="J2076" t="n">
        <v>-0.4069</v>
      </c>
      <c r="K2076" t="n">
        <v>0.232</v>
      </c>
      <c r="L2076" t="n">
        <v>0.768</v>
      </c>
      <c r="M2076" t="n">
        <v>0</v>
      </c>
    </row>
    <row r="2077" spans="1:13">
      <c r="A2077" s="1">
        <f>HYPERLINK("http://www.twitter.com/NathanBLawrence/status/981302716038336512", "981302716038336512")</f>
        <v/>
      </c>
      <c r="B2077" s="2" t="n">
        <v>43193.95107638889</v>
      </c>
      <c r="C2077" t="n">
        <v>0</v>
      </c>
      <c r="D2077" t="n">
        <v>1551</v>
      </c>
      <c r="E2077" t="s">
        <v>2088</v>
      </c>
      <c r="F2077">
        <f>HYPERLINK("https://video.twimg.com/ext_tw_video/981058153965010944/pu/vid/1280x720/cXjXQRVeP2HtVshU.mp4?tag=2", "https://video.twimg.com/ext_tw_video/981058153965010944/pu/vid/1280x720/cXjXQRVeP2HtVshU.mp4?tag=2")</f>
        <v/>
      </c>
      <c r="G2077" t="s"/>
      <c r="H2077" t="s"/>
      <c r="I2077" t="s"/>
      <c r="J2077" t="n">
        <v>-0.5461</v>
      </c>
      <c r="K2077" t="n">
        <v>0.19</v>
      </c>
      <c r="L2077" t="n">
        <v>0.8100000000000001</v>
      </c>
      <c r="M2077" t="n">
        <v>0</v>
      </c>
    </row>
    <row r="2078" spans="1:13">
      <c r="A2078" s="1">
        <f>HYPERLINK("http://www.twitter.com/NathanBLawrence/status/981302520357244928", "981302520357244928")</f>
        <v/>
      </c>
      <c r="B2078" s="2" t="n">
        <v>43193.95054398148</v>
      </c>
      <c r="C2078" t="n">
        <v>0</v>
      </c>
      <c r="D2078" t="n">
        <v>330</v>
      </c>
      <c r="E2078" t="s">
        <v>2089</v>
      </c>
      <c r="F2078" t="s"/>
      <c r="G2078" t="s"/>
      <c r="H2078" t="s"/>
      <c r="I2078" t="s"/>
      <c r="J2078" t="n">
        <v>0</v>
      </c>
      <c r="K2078" t="n">
        <v>0</v>
      </c>
      <c r="L2078" t="n">
        <v>1</v>
      </c>
      <c r="M2078" t="n">
        <v>0</v>
      </c>
    </row>
    <row r="2079" spans="1:13">
      <c r="A2079" s="1">
        <f>HYPERLINK("http://www.twitter.com/NathanBLawrence/status/981297801580744707", "981297801580744707")</f>
        <v/>
      </c>
      <c r="B2079" s="2" t="n">
        <v>43193.93752314815</v>
      </c>
      <c r="C2079" t="n">
        <v>0</v>
      </c>
      <c r="D2079" t="n">
        <v>225</v>
      </c>
      <c r="E2079" t="s">
        <v>2090</v>
      </c>
      <c r="F2079">
        <f>HYPERLINK("http://pbs.twimg.com/media/DZ48AL9X0AcePOf.jpg", "http://pbs.twimg.com/media/DZ48AL9X0AcePOf.jpg")</f>
        <v/>
      </c>
      <c r="G2079" t="s"/>
      <c r="H2079" t="s"/>
      <c r="I2079" t="s"/>
      <c r="J2079" t="n">
        <v>-0.34</v>
      </c>
      <c r="K2079" t="n">
        <v>0.167</v>
      </c>
      <c r="L2079" t="n">
        <v>0.833</v>
      </c>
      <c r="M2079" t="n">
        <v>0</v>
      </c>
    </row>
    <row r="2080" spans="1:13">
      <c r="A2080" s="1">
        <f>HYPERLINK("http://www.twitter.com/NathanBLawrence/status/981295797781368832", "981295797781368832")</f>
        <v/>
      </c>
      <c r="B2080" s="2" t="n">
        <v>43193.93199074074</v>
      </c>
      <c r="C2080" t="n">
        <v>0</v>
      </c>
      <c r="D2080" t="n">
        <v>3839</v>
      </c>
      <c r="E2080" t="s">
        <v>2091</v>
      </c>
      <c r="F2080">
        <f>HYPERLINK("http://pbs.twimg.com/media/DZzJu4aU8AIVuK-.jpg", "http://pbs.twimg.com/media/DZzJu4aU8AIVuK-.jpg")</f>
        <v/>
      </c>
      <c r="G2080" t="s"/>
      <c r="H2080" t="s"/>
      <c r="I2080" t="s"/>
      <c r="J2080" t="n">
        <v>-0.7003</v>
      </c>
      <c r="K2080" t="n">
        <v>0.293</v>
      </c>
      <c r="L2080" t="n">
        <v>0.707</v>
      </c>
      <c r="M2080" t="n">
        <v>0</v>
      </c>
    </row>
    <row r="2081" spans="1:13">
      <c r="A2081" s="1">
        <f>HYPERLINK("http://www.twitter.com/NathanBLawrence/status/981293847786541068", "981293847786541068")</f>
        <v/>
      </c>
      <c r="B2081" s="2" t="n">
        <v>43193.9266087963</v>
      </c>
      <c r="C2081" t="n">
        <v>0</v>
      </c>
      <c r="D2081" t="n">
        <v>10</v>
      </c>
      <c r="E2081" t="s">
        <v>2092</v>
      </c>
      <c r="F2081" t="s"/>
      <c r="G2081" t="s"/>
      <c r="H2081" t="s"/>
      <c r="I2081" t="s"/>
      <c r="J2081" t="n">
        <v>0</v>
      </c>
      <c r="K2081" t="n">
        <v>0</v>
      </c>
      <c r="L2081" t="n">
        <v>1</v>
      </c>
      <c r="M2081" t="n">
        <v>0</v>
      </c>
    </row>
    <row r="2082" spans="1:13">
      <c r="A2082" s="1">
        <f>HYPERLINK("http://www.twitter.com/NathanBLawrence/status/981293770204475393", "981293770204475393")</f>
        <v/>
      </c>
      <c r="B2082" s="2" t="n">
        <v>43193.92640046297</v>
      </c>
      <c r="C2082" t="n">
        <v>0</v>
      </c>
      <c r="D2082" t="n">
        <v>103</v>
      </c>
      <c r="E2082" t="s">
        <v>2093</v>
      </c>
      <c r="F2082">
        <f>HYPERLINK("https://video.twimg.com/ext_tw_video/979842140996947973/pu/vid/1280x720/7ZGQsbWgrKb6knDS.mp4", "https://video.twimg.com/ext_tw_video/979842140996947973/pu/vid/1280x720/7ZGQsbWgrKb6knDS.mp4")</f>
        <v/>
      </c>
      <c r="G2082" t="s"/>
      <c r="H2082" t="s"/>
      <c r="I2082" t="s"/>
      <c r="J2082" t="n">
        <v>-0.4574</v>
      </c>
      <c r="K2082" t="n">
        <v>0.299</v>
      </c>
      <c r="L2082" t="n">
        <v>0.701</v>
      </c>
      <c r="M2082" t="n">
        <v>0</v>
      </c>
    </row>
    <row r="2083" spans="1:13">
      <c r="A2083" s="1">
        <f>HYPERLINK("http://www.twitter.com/NathanBLawrence/status/981292984430886912", "981292984430886912")</f>
        <v/>
      </c>
      <c r="B2083" s="2" t="n">
        <v>43193.92422453704</v>
      </c>
      <c r="C2083" t="n">
        <v>0</v>
      </c>
      <c r="D2083" t="n">
        <v>518</v>
      </c>
      <c r="E2083" t="s">
        <v>2094</v>
      </c>
      <c r="F2083" t="s"/>
      <c r="G2083" t="s"/>
      <c r="H2083" t="s"/>
      <c r="I2083" t="s"/>
      <c r="J2083" t="n">
        <v>0.3724</v>
      </c>
      <c r="K2083" t="n">
        <v>0</v>
      </c>
      <c r="L2083" t="n">
        <v>0.892</v>
      </c>
      <c r="M2083" t="n">
        <v>0.108</v>
      </c>
    </row>
    <row r="2084" spans="1:13">
      <c r="A2084" s="1">
        <f>HYPERLINK("http://www.twitter.com/NathanBLawrence/status/981292773407109120", "981292773407109120")</f>
        <v/>
      </c>
      <c r="B2084" s="2" t="n">
        <v>43193.92364583333</v>
      </c>
      <c r="C2084" t="n">
        <v>0</v>
      </c>
      <c r="D2084" t="n">
        <v>75</v>
      </c>
      <c r="E2084" t="s">
        <v>2095</v>
      </c>
      <c r="F2084" t="s"/>
      <c r="G2084" t="s"/>
      <c r="H2084" t="s"/>
      <c r="I2084" t="s"/>
      <c r="J2084" t="n">
        <v>-0.5719</v>
      </c>
      <c r="K2084" t="n">
        <v>0.17</v>
      </c>
      <c r="L2084" t="n">
        <v>0.83</v>
      </c>
      <c r="M2084" t="n">
        <v>0</v>
      </c>
    </row>
    <row r="2085" spans="1:13">
      <c r="A2085" s="1">
        <f>HYPERLINK("http://www.twitter.com/NathanBLawrence/status/981292602849767424", "981292602849767424")</f>
        <v/>
      </c>
      <c r="B2085" s="2" t="n">
        <v>43193.92317129629</v>
      </c>
      <c r="C2085" t="n">
        <v>0</v>
      </c>
      <c r="D2085" t="n">
        <v>19625</v>
      </c>
      <c r="E2085" t="s">
        <v>2096</v>
      </c>
      <c r="F2085" t="s"/>
      <c r="G2085" t="s"/>
      <c r="H2085" t="s"/>
      <c r="I2085" t="s"/>
      <c r="J2085" t="n">
        <v>0</v>
      </c>
      <c r="K2085" t="n">
        <v>0</v>
      </c>
      <c r="L2085" t="n">
        <v>1</v>
      </c>
      <c r="M2085" t="n">
        <v>0</v>
      </c>
    </row>
    <row r="2086" spans="1:13">
      <c r="A2086" s="1">
        <f>HYPERLINK("http://www.twitter.com/NathanBLawrence/status/981292422348058626", "981292422348058626")</f>
        <v/>
      </c>
      <c r="B2086" s="2" t="n">
        <v>43193.92267361111</v>
      </c>
      <c r="C2086" t="n">
        <v>0</v>
      </c>
      <c r="D2086" t="n">
        <v>206</v>
      </c>
      <c r="E2086" t="s">
        <v>2097</v>
      </c>
      <c r="F2086">
        <f>HYPERLINK("http://pbs.twimg.com/media/DZ43CacVwAAdlHv.jpg", "http://pbs.twimg.com/media/DZ43CacVwAAdlHv.jpg")</f>
        <v/>
      </c>
      <c r="G2086" t="s"/>
      <c r="H2086" t="s"/>
      <c r="I2086" t="s"/>
      <c r="J2086" t="n">
        <v>0</v>
      </c>
      <c r="K2086" t="n">
        <v>0</v>
      </c>
      <c r="L2086" t="n">
        <v>1</v>
      </c>
      <c r="M2086" t="n">
        <v>0</v>
      </c>
    </row>
    <row r="2087" spans="1:13">
      <c r="A2087" s="1">
        <f>HYPERLINK("http://www.twitter.com/NathanBLawrence/status/981291929882316805", "981291929882316805")</f>
        <v/>
      </c>
      <c r="B2087" s="2" t="n">
        <v>43193.92131944445</v>
      </c>
      <c r="C2087" t="n">
        <v>0</v>
      </c>
      <c r="D2087" t="n">
        <v>718</v>
      </c>
      <c r="E2087" t="s">
        <v>2098</v>
      </c>
      <c r="F2087" t="s"/>
      <c r="G2087" t="s"/>
      <c r="H2087" t="s"/>
      <c r="I2087" t="s"/>
      <c r="J2087" t="n">
        <v>-0.2263</v>
      </c>
      <c r="K2087" t="n">
        <v>0.08699999999999999</v>
      </c>
      <c r="L2087" t="n">
        <v>0.913</v>
      </c>
      <c r="M2087" t="n">
        <v>0</v>
      </c>
    </row>
    <row r="2088" spans="1:13">
      <c r="A2088" s="1">
        <f>HYPERLINK("http://www.twitter.com/NathanBLawrence/status/981281493875118080", "981281493875118080")</f>
        <v/>
      </c>
      <c r="B2088" s="2" t="n">
        <v>43193.89252314815</v>
      </c>
      <c r="C2088" t="n">
        <v>0</v>
      </c>
      <c r="D2088" t="n">
        <v>2</v>
      </c>
      <c r="E2088" t="s">
        <v>2099</v>
      </c>
      <c r="F2088">
        <f>HYPERLINK("http://pbs.twimg.com/media/DZ40srLWkAMvm2u.jpg", "http://pbs.twimg.com/media/DZ40srLWkAMvm2u.jpg")</f>
        <v/>
      </c>
      <c r="G2088" t="s"/>
      <c r="H2088" t="s"/>
      <c r="I2088" t="s"/>
      <c r="J2088" t="n">
        <v>-0.5574</v>
      </c>
      <c r="K2088" t="n">
        <v>0.231</v>
      </c>
      <c r="L2088" t="n">
        <v>0.769</v>
      </c>
      <c r="M2088" t="n">
        <v>0</v>
      </c>
    </row>
    <row r="2089" spans="1:13">
      <c r="A2089" s="1">
        <f>HYPERLINK("http://www.twitter.com/NathanBLawrence/status/981280874154086401", "981280874154086401")</f>
        <v/>
      </c>
      <c r="B2089" s="2" t="n">
        <v>43193.89081018518</v>
      </c>
      <c r="C2089" t="n">
        <v>0</v>
      </c>
      <c r="D2089" t="n">
        <v>148</v>
      </c>
      <c r="E2089" t="s">
        <v>2100</v>
      </c>
      <c r="F2089">
        <f>HYPERLINK("http://pbs.twimg.com/media/DZ0PlFzXUAAhAty.jpg", "http://pbs.twimg.com/media/DZ0PlFzXUAAhAty.jpg")</f>
        <v/>
      </c>
      <c r="G2089" t="s"/>
      <c r="H2089" t="s"/>
      <c r="I2089" t="s"/>
      <c r="J2089" t="n">
        <v>0</v>
      </c>
      <c r="K2089" t="n">
        <v>0</v>
      </c>
      <c r="L2089" t="n">
        <v>1</v>
      </c>
      <c r="M2089" t="n">
        <v>0</v>
      </c>
    </row>
    <row r="2090" spans="1:13">
      <c r="A2090" s="1">
        <f>HYPERLINK("http://www.twitter.com/NathanBLawrence/status/981280688518455297", "981280688518455297")</f>
        <v/>
      </c>
      <c r="B2090" s="2" t="n">
        <v>43193.89030092592</v>
      </c>
      <c r="C2090" t="n">
        <v>0</v>
      </c>
      <c r="D2090" t="n">
        <v>288</v>
      </c>
      <c r="E2090" t="s">
        <v>2101</v>
      </c>
      <c r="F2090">
        <f>HYPERLINK("https://video.twimg.com/amplify_video/981212271622967296/vid/640x360/sQg8ONmalwjcLtZp.mp4?tag=2", "https://video.twimg.com/amplify_video/981212271622967296/vid/640x360/sQg8ONmalwjcLtZp.mp4?tag=2")</f>
        <v/>
      </c>
      <c r="G2090" t="s"/>
      <c r="H2090" t="s"/>
      <c r="I2090" t="s"/>
      <c r="J2090" t="n">
        <v>0</v>
      </c>
      <c r="K2090" t="n">
        <v>0</v>
      </c>
      <c r="L2090" t="n">
        <v>1</v>
      </c>
      <c r="M2090" t="n">
        <v>0</v>
      </c>
    </row>
    <row r="2091" spans="1:13">
      <c r="A2091" s="1">
        <f>HYPERLINK("http://www.twitter.com/NathanBLawrence/status/981280545975029760", "981280545975029760")</f>
        <v/>
      </c>
      <c r="B2091" s="2" t="n">
        <v>43193.88990740741</v>
      </c>
      <c r="C2091" t="n">
        <v>0</v>
      </c>
      <c r="D2091" t="n">
        <v>524</v>
      </c>
      <c r="E2091" t="s">
        <v>2102</v>
      </c>
      <c r="F2091" t="s"/>
      <c r="G2091" t="s"/>
      <c r="H2091" t="s"/>
      <c r="I2091" t="s"/>
      <c r="J2091" t="n">
        <v>0</v>
      </c>
      <c r="K2091" t="n">
        <v>0</v>
      </c>
      <c r="L2091" t="n">
        <v>1</v>
      </c>
      <c r="M2091" t="n">
        <v>0</v>
      </c>
    </row>
    <row r="2092" spans="1:13">
      <c r="A2092" s="1">
        <f>HYPERLINK("http://www.twitter.com/NathanBLawrence/status/981280431092961286", "981280431092961286")</f>
        <v/>
      </c>
      <c r="B2092" s="2" t="n">
        <v>43193.88958333333</v>
      </c>
      <c r="C2092" t="n">
        <v>0</v>
      </c>
      <c r="D2092" t="n">
        <v>2684</v>
      </c>
      <c r="E2092" t="s">
        <v>2103</v>
      </c>
      <c r="F2092">
        <f>HYPERLINK("http://pbs.twimg.com/media/DZ1pl_TU0AA9HSF.jpg", "http://pbs.twimg.com/media/DZ1pl_TU0AA9HSF.jpg")</f>
        <v/>
      </c>
      <c r="G2092" t="s"/>
      <c r="H2092" t="s"/>
      <c r="I2092" t="s"/>
      <c r="J2092" t="n">
        <v>0.729</v>
      </c>
      <c r="K2092" t="n">
        <v>0</v>
      </c>
      <c r="L2092" t="n">
        <v>0.768</v>
      </c>
      <c r="M2092" t="n">
        <v>0.232</v>
      </c>
    </row>
    <row r="2093" spans="1:13">
      <c r="A2093" s="1">
        <f>HYPERLINK("http://www.twitter.com/NathanBLawrence/status/981280371781373953", "981280371781373953")</f>
        <v/>
      </c>
      <c r="B2093" s="2" t="n">
        <v>43193.8894212963</v>
      </c>
      <c r="C2093" t="n">
        <v>0</v>
      </c>
      <c r="D2093" t="n">
        <v>470</v>
      </c>
      <c r="E2093" t="s">
        <v>2104</v>
      </c>
      <c r="F2093" t="s"/>
      <c r="G2093" t="s"/>
      <c r="H2093" t="s"/>
      <c r="I2093" t="s"/>
      <c r="J2093" t="n">
        <v>-0.8588</v>
      </c>
      <c r="K2093" t="n">
        <v>0.459</v>
      </c>
      <c r="L2093" t="n">
        <v>0.541</v>
      </c>
      <c r="M2093" t="n">
        <v>0</v>
      </c>
    </row>
    <row r="2094" spans="1:13">
      <c r="A2094" s="1">
        <f>HYPERLINK("http://www.twitter.com/NathanBLawrence/status/981280256656101376", "981280256656101376")</f>
        <v/>
      </c>
      <c r="B2094" s="2" t="n">
        <v>43193.8891087963</v>
      </c>
      <c r="C2094" t="n">
        <v>0</v>
      </c>
      <c r="D2094" t="n">
        <v>556</v>
      </c>
      <c r="E2094" t="s">
        <v>2105</v>
      </c>
      <c r="F2094" t="s"/>
      <c r="G2094" t="s"/>
      <c r="H2094" t="s"/>
      <c r="I2094" t="s"/>
      <c r="J2094" t="n">
        <v>0</v>
      </c>
      <c r="K2094" t="n">
        <v>0</v>
      </c>
      <c r="L2094" t="n">
        <v>1</v>
      </c>
      <c r="M2094" t="n">
        <v>0</v>
      </c>
    </row>
    <row r="2095" spans="1:13">
      <c r="A2095" s="1">
        <f>HYPERLINK("http://www.twitter.com/NathanBLawrence/status/981279968679354368", "981279968679354368")</f>
        <v/>
      </c>
      <c r="B2095" s="2" t="n">
        <v>43193.88831018518</v>
      </c>
      <c r="C2095" t="n">
        <v>0</v>
      </c>
      <c r="D2095" t="n">
        <v>440</v>
      </c>
      <c r="E2095" t="s">
        <v>2106</v>
      </c>
      <c r="F2095">
        <f>HYPERLINK("http://pbs.twimg.com/media/DZ3qRR9V4AAlk10.jpg", "http://pbs.twimg.com/media/DZ3qRR9V4AAlk10.jpg")</f>
        <v/>
      </c>
      <c r="G2095" t="s"/>
      <c r="H2095" t="s"/>
      <c r="I2095" t="s"/>
      <c r="J2095" t="n">
        <v>0</v>
      </c>
      <c r="K2095" t="n">
        <v>0</v>
      </c>
      <c r="L2095" t="n">
        <v>1</v>
      </c>
      <c r="M2095" t="n">
        <v>0</v>
      </c>
    </row>
    <row r="2096" spans="1:13">
      <c r="A2096" s="1">
        <f>HYPERLINK("http://www.twitter.com/NathanBLawrence/status/981279851897376768", "981279851897376768")</f>
        <v/>
      </c>
      <c r="B2096" s="2" t="n">
        <v>43193.88798611111</v>
      </c>
      <c r="C2096" t="n">
        <v>0</v>
      </c>
      <c r="D2096" t="n">
        <v>929</v>
      </c>
      <c r="E2096" t="s">
        <v>2107</v>
      </c>
      <c r="F2096" t="s"/>
      <c r="G2096" t="s"/>
      <c r="H2096" t="s"/>
      <c r="I2096" t="s"/>
      <c r="J2096" t="n">
        <v>0.7964</v>
      </c>
      <c r="K2096" t="n">
        <v>0</v>
      </c>
      <c r="L2096" t="n">
        <v>0.701</v>
      </c>
      <c r="M2096" t="n">
        <v>0.299</v>
      </c>
    </row>
    <row r="2097" spans="1:13">
      <c r="A2097" s="1">
        <f>HYPERLINK("http://www.twitter.com/NathanBLawrence/status/981169548484210690", "981169548484210690")</f>
        <v/>
      </c>
      <c r="B2097" s="2" t="n">
        <v>43193.58361111111</v>
      </c>
      <c r="C2097" t="n">
        <v>0</v>
      </c>
      <c r="D2097" t="n">
        <v>1734</v>
      </c>
      <c r="E2097" t="s">
        <v>2108</v>
      </c>
      <c r="F2097" t="s"/>
      <c r="G2097" t="s"/>
      <c r="H2097" t="s"/>
      <c r="I2097" t="s"/>
      <c r="J2097" t="n">
        <v>-0.2263</v>
      </c>
      <c r="K2097" t="n">
        <v>0.079</v>
      </c>
      <c r="L2097" t="n">
        <v>0.921</v>
      </c>
      <c r="M2097" t="n">
        <v>0</v>
      </c>
    </row>
    <row r="2098" spans="1:13">
      <c r="A2098" s="1">
        <f>HYPERLINK("http://www.twitter.com/NathanBLawrence/status/981037880222126082", "981037880222126082")</f>
        <v/>
      </c>
      <c r="B2098" s="2" t="n">
        <v>43193.22027777778</v>
      </c>
      <c r="C2098" t="n">
        <v>0</v>
      </c>
      <c r="D2098" t="n">
        <v>554</v>
      </c>
      <c r="E2098" t="s">
        <v>2109</v>
      </c>
      <c r="F2098">
        <f>HYPERLINK("https://video.twimg.com/ext_tw_video/980837113372594176/pu/vid/326x180/hjqTsCcus5kMUNpv.mp4?tag=2", "https://video.twimg.com/ext_tw_video/980837113372594176/pu/vid/326x180/hjqTsCcus5kMUNpv.mp4?tag=2")</f>
        <v/>
      </c>
      <c r="G2098" t="s"/>
      <c r="H2098" t="s"/>
      <c r="I2098" t="s"/>
      <c r="J2098" t="n">
        <v>0.7717000000000001</v>
      </c>
      <c r="K2098" t="n">
        <v>0</v>
      </c>
      <c r="L2098" t="n">
        <v>0.774</v>
      </c>
      <c r="M2098" t="n">
        <v>0.226</v>
      </c>
    </row>
    <row r="2099" spans="1:13">
      <c r="A2099" s="1">
        <f>HYPERLINK("http://www.twitter.com/NathanBLawrence/status/981037518933102592", "981037518933102592")</f>
        <v/>
      </c>
      <c r="B2099" s="2" t="n">
        <v>43193.21927083333</v>
      </c>
      <c r="C2099" t="n">
        <v>0</v>
      </c>
      <c r="D2099" t="n">
        <v>82</v>
      </c>
      <c r="E2099" t="s">
        <v>2110</v>
      </c>
      <c r="F2099">
        <f>HYPERLINK("http://pbs.twimg.com/media/DZzlcy-XcAEf4Zp.jpg", "http://pbs.twimg.com/media/DZzlcy-XcAEf4Zp.jpg")</f>
        <v/>
      </c>
      <c r="G2099" t="s"/>
      <c r="H2099" t="s"/>
      <c r="I2099" t="s"/>
      <c r="J2099" t="n">
        <v>0</v>
      </c>
      <c r="K2099" t="n">
        <v>0</v>
      </c>
      <c r="L2099" t="n">
        <v>1</v>
      </c>
      <c r="M2099" t="n">
        <v>0</v>
      </c>
    </row>
    <row r="2100" spans="1:13">
      <c r="A2100" s="1">
        <f>HYPERLINK("http://www.twitter.com/NathanBLawrence/status/981037315278721025", "981037315278721025")</f>
        <v/>
      </c>
      <c r="B2100" s="2" t="n">
        <v>43193.21871527778</v>
      </c>
      <c r="C2100" t="n">
        <v>0</v>
      </c>
      <c r="D2100" t="n">
        <v>298</v>
      </c>
      <c r="E2100" t="s">
        <v>2111</v>
      </c>
      <c r="F2100" t="s"/>
      <c r="G2100" t="s"/>
      <c r="H2100" t="s"/>
      <c r="I2100" t="s"/>
      <c r="J2100" t="n">
        <v>-0.3182</v>
      </c>
      <c r="K2100" t="n">
        <v>0.15</v>
      </c>
      <c r="L2100" t="n">
        <v>0.85</v>
      </c>
      <c r="M2100" t="n">
        <v>0</v>
      </c>
    </row>
    <row r="2101" spans="1:13">
      <c r="A2101" s="1">
        <f>HYPERLINK("http://www.twitter.com/NathanBLawrence/status/981036269387026432", "981036269387026432")</f>
        <v/>
      </c>
      <c r="B2101" s="2" t="n">
        <v>43193.21583333334</v>
      </c>
      <c r="C2101" t="n">
        <v>0</v>
      </c>
      <c r="D2101" t="n">
        <v>100</v>
      </c>
      <c r="E2101" t="s">
        <v>2112</v>
      </c>
      <c r="F2101" t="s"/>
      <c r="G2101" t="s"/>
      <c r="H2101" t="s"/>
      <c r="I2101" t="s"/>
      <c r="J2101" t="n">
        <v>0</v>
      </c>
      <c r="K2101" t="n">
        <v>0</v>
      </c>
      <c r="L2101" t="n">
        <v>1</v>
      </c>
      <c r="M2101" t="n">
        <v>0</v>
      </c>
    </row>
    <row r="2102" spans="1:13">
      <c r="A2102" s="1">
        <f>HYPERLINK("http://www.twitter.com/NathanBLawrence/status/981033464811188224", "981033464811188224")</f>
        <v/>
      </c>
      <c r="B2102" s="2" t="n">
        <v>43193.20809027777</v>
      </c>
      <c r="C2102" t="n">
        <v>0</v>
      </c>
      <c r="D2102" t="n">
        <v>92</v>
      </c>
      <c r="E2102" t="s">
        <v>2113</v>
      </c>
      <c r="F2102" t="s"/>
      <c r="G2102" t="s"/>
      <c r="H2102" t="s"/>
      <c r="I2102" t="s"/>
      <c r="J2102" t="n">
        <v>0</v>
      </c>
      <c r="K2102" t="n">
        <v>0</v>
      </c>
      <c r="L2102" t="n">
        <v>1</v>
      </c>
      <c r="M2102" t="n">
        <v>0</v>
      </c>
    </row>
    <row r="2103" spans="1:13">
      <c r="A2103" s="1">
        <f>HYPERLINK("http://www.twitter.com/NathanBLawrence/status/981033076334657536", "981033076334657536")</f>
        <v/>
      </c>
      <c r="B2103" s="2" t="n">
        <v>43193.20701388889</v>
      </c>
      <c r="C2103" t="n">
        <v>0</v>
      </c>
      <c r="D2103" t="n">
        <v>106</v>
      </c>
      <c r="E2103" t="s">
        <v>2114</v>
      </c>
      <c r="F2103" t="s"/>
      <c r="G2103" t="s"/>
      <c r="H2103" t="s"/>
      <c r="I2103" t="s"/>
      <c r="J2103" t="n">
        <v>0</v>
      </c>
      <c r="K2103" t="n">
        <v>0</v>
      </c>
      <c r="L2103" t="n">
        <v>1</v>
      </c>
      <c r="M2103" t="n">
        <v>0</v>
      </c>
    </row>
    <row r="2104" spans="1:13">
      <c r="A2104" s="1">
        <f>HYPERLINK("http://www.twitter.com/NathanBLawrence/status/981031998700404736", "981031998700404736")</f>
        <v/>
      </c>
      <c r="B2104" s="2" t="n">
        <v>43193.20403935185</v>
      </c>
      <c r="C2104" t="n">
        <v>0</v>
      </c>
      <c r="D2104" t="n">
        <v>1705</v>
      </c>
      <c r="E2104" t="s">
        <v>2115</v>
      </c>
      <c r="F2104" t="s"/>
      <c r="G2104" t="s"/>
      <c r="H2104" t="s"/>
      <c r="I2104" t="s"/>
      <c r="J2104" t="n">
        <v>0.5423</v>
      </c>
      <c r="K2104" t="n">
        <v>0</v>
      </c>
      <c r="L2104" t="n">
        <v>0.851</v>
      </c>
      <c r="M2104" t="n">
        <v>0.149</v>
      </c>
    </row>
    <row r="2105" spans="1:13">
      <c r="A2105" s="1">
        <f>HYPERLINK("http://www.twitter.com/NathanBLawrence/status/981031954257793024", "981031954257793024")</f>
        <v/>
      </c>
      <c r="B2105" s="2" t="n">
        <v>43193.20392361111</v>
      </c>
      <c r="C2105" t="n">
        <v>0</v>
      </c>
      <c r="D2105" t="n">
        <v>10875</v>
      </c>
      <c r="E2105" t="s">
        <v>2116</v>
      </c>
      <c r="F2105" t="s"/>
      <c r="G2105" t="s"/>
      <c r="H2105" t="s"/>
      <c r="I2105" t="s"/>
      <c r="J2105" t="n">
        <v>0</v>
      </c>
      <c r="K2105" t="n">
        <v>0.093</v>
      </c>
      <c r="L2105" t="n">
        <v>0.8129999999999999</v>
      </c>
      <c r="M2105" t="n">
        <v>0.093</v>
      </c>
    </row>
    <row r="2106" spans="1:13">
      <c r="A2106" s="1">
        <f>HYPERLINK("http://www.twitter.com/NathanBLawrence/status/981031815480791045", "981031815480791045")</f>
        <v/>
      </c>
      <c r="B2106" s="2" t="n">
        <v>43193.20354166667</v>
      </c>
      <c r="C2106" t="n">
        <v>0</v>
      </c>
      <c r="D2106" t="n">
        <v>272</v>
      </c>
      <c r="E2106" t="s">
        <v>2117</v>
      </c>
      <c r="F2106" t="s"/>
      <c r="G2106" t="s"/>
      <c r="H2106" t="s"/>
      <c r="I2106" t="s"/>
      <c r="J2106" t="n">
        <v>-0.1027</v>
      </c>
      <c r="K2106" t="n">
        <v>0.065</v>
      </c>
      <c r="L2106" t="n">
        <v>0.9350000000000001</v>
      </c>
      <c r="M2106" t="n">
        <v>0</v>
      </c>
    </row>
    <row r="2107" spans="1:13">
      <c r="A2107" s="1">
        <f>HYPERLINK("http://www.twitter.com/NathanBLawrence/status/981029798653911040", "981029798653911040")</f>
        <v/>
      </c>
      <c r="B2107" s="2" t="n">
        <v>43193.19797453703</v>
      </c>
      <c r="C2107" t="n">
        <v>0</v>
      </c>
      <c r="D2107" t="n">
        <v>109</v>
      </c>
      <c r="E2107" t="s">
        <v>2118</v>
      </c>
      <c r="F2107">
        <f>HYPERLINK("http://pbs.twimg.com/media/DZWYgEVWsAA-BuR.jpg", "http://pbs.twimg.com/media/DZWYgEVWsAA-BuR.jpg")</f>
        <v/>
      </c>
      <c r="G2107" t="s"/>
      <c r="H2107" t="s"/>
      <c r="I2107" t="s"/>
      <c r="J2107" t="n">
        <v>0</v>
      </c>
      <c r="K2107" t="n">
        <v>0</v>
      </c>
      <c r="L2107" t="n">
        <v>1</v>
      </c>
      <c r="M2107" t="n">
        <v>0</v>
      </c>
    </row>
    <row r="2108" spans="1:13">
      <c r="A2108" s="1">
        <f>HYPERLINK("http://www.twitter.com/NathanBLawrence/status/981028804784246784", "981028804784246784")</f>
        <v/>
      </c>
      <c r="B2108" s="2" t="n">
        <v>43193.19523148148</v>
      </c>
      <c r="C2108" t="n">
        <v>0</v>
      </c>
      <c r="D2108" t="n">
        <v>154</v>
      </c>
      <c r="E2108" t="s">
        <v>2119</v>
      </c>
      <c r="F2108" t="s"/>
      <c r="G2108" t="s"/>
      <c r="H2108" t="s"/>
      <c r="I2108" t="s"/>
      <c r="J2108" t="n">
        <v>0.5106000000000001</v>
      </c>
      <c r="K2108" t="n">
        <v>0</v>
      </c>
      <c r="L2108" t="n">
        <v>0.845</v>
      </c>
      <c r="M2108" t="n">
        <v>0.155</v>
      </c>
    </row>
    <row r="2109" spans="1:13">
      <c r="A2109" s="1">
        <f>HYPERLINK("http://www.twitter.com/NathanBLawrence/status/981027702659567617", "981027702659567617")</f>
        <v/>
      </c>
      <c r="B2109" s="2" t="n">
        <v>43193.1921875</v>
      </c>
      <c r="C2109" t="n">
        <v>0</v>
      </c>
      <c r="D2109" t="n">
        <v>62</v>
      </c>
      <c r="E2109" t="s">
        <v>2120</v>
      </c>
      <c r="F2109" t="s"/>
      <c r="G2109" t="s"/>
      <c r="H2109" t="s"/>
      <c r="I2109" t="s"/>
      <c r="J2109" t="n">
        <v>0.3818</v>
      </c>
      <c r="K2109" t="n">
        <v>0</v>
      </c>
      <c r="L2109" t="n">
        <v>0.822</v>
      </c>
      <c r="M2109" t="n">
        <v>0.178</v>
      </c>
    </row>
    <row r="2110" spans="1:13">
      <c r="A2110" s="1">
        <f>HYPERLINK("http://www.twitter.com/NathanBLawrence/status/981024852038553600", "981024852038553600")</f>
        <v/>
      </c>
      <c r="B2110" s="2" t="n">
        <v>43193.18431712963</v>
      </c>
      <c r="C2110" t="n">
        <v>0</v>
      </c>
      <c r="D2110" t="n">
        <v>98</v>
      </c>
      <c r="E2110" t="s">
        <v>2121</v>
      </c>
      <c r="F2110" t="s"/>
      <c r="G2110" t="s"/>
      <c r="H2110" t="s"/>
      <c r="I2110" t="s"/>
      <c r="J2110" t="n">
        <v>0.4019</v>
      </c>
      <c r="K2110" t="n">
        <v>0</v>
      </c>
      <c r="L2110" t="n">
        <v>0.828</v>
      </c>
      <c r="M2110" t="n">
        <v>0.172</v>
      </c>
    </row>
    <row r="2111" spans="1:13">
      <c r="A2111" s="1">
        <f>HYPERLINK("http://www.twitter.com/NathanBLawrence/status/981024608768929792", "981024608768929792")</f>
        <v/>
      </c>
      <c r="B2111" s="2" t="n">
        <v>43193.18364583333</v>
      </c>
      <c r="C2111" t="n">
        <v>0</v>
      </c>
      <c r="D2111" t="n">
        <v>193</v>
      </c>
      <c r="E2111" t="s">
        <v>2122</v>
      </c>
      <c r="F2111">
        <f>HYPERLINK("http://pbs.twimg.com/media/DZ1Ad81V4AIecTp.jpg", "http://pbs.twimg.com/media/DZ1Ad81V4AIecTp.jpg")</f>
        <v/>
      </c>
      <c r="G2111" t="s"/>
      <c r="H2111" t="s"/>
      <c r="I2111" t="s"/>
      <c r="J2111" t="n">
        <v>0</v>
      </c>
      <c r="K2111" t="n">
        <v>0</v>
      </c>
      <c r="L2111" t="n">
        <v>1</v>
      </c>
      <c r="M2111" t="n">
        <v>0</v>
      </c>
    </row>
    <row r="2112" spans="1:13">
      <c r="A2112" s="1">
        <f>HYPERLINK("http://www.twitter.com/NathanBLawrence/status/981011569520861185", "981011569520861185")</f>
        <v/>
      </c>
      <c r="B2112" s="2" t="n">
        <v>43193.14767361111</v>
      </c>
      <c r="C2112" t="n">
        <v>0</v>
      </c>
      <c r="D2112" t="n">
        <v>845</v>
      </c>
      <c r="E2112" t="s">
        <v>2123</v>
      </c>
      <c r="F2112">
        <f>HYPERLINK("https://video.twimg.com/amplify_video/980879330480832512/vid/1280x720/a0DcGNvAbEwpo-8W.mp4?tag=2", "https://video.twimg.com/amplify_video/980879330480832512/vid/1280x720/a0DcGNvAbEwpo-8W.mp4?tag=2")</f>
        <v/>
      </c>
      <c r="G2112" t="s"/>
      <c r="H2112" t="s"/>
      <c r="I2112" t="s"/>
      <c r="J2112" t="n">
        <v>0.1027</v>
      </c>
      <c r="K2112" t="n">
        <v>0.079</v>
      </c>
      <c r="L2112" t="n">
        <v>0.827</v>
      </c>
      <c r="M2112" t="n">
        <v>0.094</v>
      </c>
    </row>
    <row r="2113" spans="1:13">
      <c r="A2113" s="1">
        <f>HYPERLINK("http://www.twitter.com/NathanBLawrence/status/981009645761331200", "981009645761331200")</f>
        <v/>
      </c>
      <c r="B2113" s="2" t="n">
        <v>43193.14236111111</v>
      </c>
      <c r="C2113" t="n">
        <v>0</v>
      </c>
      <c r="D2113" t="n">
        <v>3</v>
      </c>
      <c r="E2113" t="s">
        <v>2124</v>
      </c>
      <c r="F2113" t="s"/>
      <c r="G2113" t="s"/>
      <c r="H2113" t="s"/>
      <c r="I2113" t="s"/>
      <c r="J2113" t="n">
        <v>0.7865</v>
      </c>
      <c r="K2113" t="n">
        <v>0</v>
      </c>
      <c r="L2113" t="n">
        <v>0.743</v>
      </c>
      <c r="M2113" t="n">
        <v>0.257</v>
      </c>
    </row>
    <row r="2114" spans="1:13">
      <c r="A2114" s="1">
        <f>HYPERLINK("http://www.twitter.com/NathanBLawrence/status/981008241781026816", "981008241781026816")</f>
        <v/>
      </c>
      <c r="B2114" s="2" t="n">
        <v>43193.1384837963</v>
      </c>
      <c r="C2114" t="n">
        <v>0</v>
      </c>
      <c r="D2114" t="n">
        <v>130</v>
      </c>
      <c r="E2114" t="s">
        <v>2125</v>
      </c>
      <c r="F2114">
        <f>HYPERLINK("http://pbs.twimg.com/media/DY_8NWnVMAAjl_y.jpg", "http://pbs.twimg.com/media/DY_8NWnVMAAjl_y.jpg")</f>
        <v/>
      </c>
      <c r="G2114" t="s"/>
      <c r="H2114" t="s"/>
      <c r="I2114" t="s"/>
      <c r="J2114" t="n">
        <v>0</v>
      </c>
      <c r="K2114" t="n">
        <v>0</v>
      </c>
      <c r="L2114" t="n">
        <v>1</v>
      </c>
      <c r="M2114" t="n">
        <v>0</v>
      </c>
    </row>
    <row r="2115" spans="1:13">
      <c r="A2115" s="1">
        <f>HYPERLINK("http://www.twitter.com/NathanBLawrence/status/981007931813646336", "981007931813646336")</f>
        <v/>
      </c>
      <c r="B2115" s="2" t="n">
        <v>43193.13762731481</v>
      </c>
      <c r="C2115" t="n">
        <v>0</v>
      </c>
      <c r="D2115" t="n">
        <v>267</v>
      </c>
      <c r="E2115" t="s">
        <v>2126</v>
      </c>
      <c r="F2115" t="s"/>
      <c r="G2115" t="s"/>
      <c r="H2115" t="s"/>
      <c r="I2115" t="s"/>
      <c r="J2115" t="n">
        <v>0</v>
      </c>
      <c r="K2115" t="n">
        <v>0</v>
      </c>
      <c r="L2115" t="n">
        <v>1</v>
      </c>
      <c r="M2115" t="n">
        <v>0</v>
      </c>
    </row>
    <row r="2116" spans="1:13">
      <c r="A2116" s="1">
        <f>HYPERLINK("http://www.twitter.com/NathanBLawrence/status/981007692562092032", "981007692562092032")</f>
        <v/>
      </c>
      <c r="B2116" s="2" t="n">
        <v>43193.1369675926</v>
      </c>
      <c r="C2116" t="n">
        <v>0</v>
      </c>
      <c r="D2116" t="n">
        <v>2</v>
      </c>
      <c r="E2116" t="s">
        <v>2127</v>
      </c>
      <c r="F2116" t="s"/>
      <c r="G2116" t="s"/>
      <c r="H2116" t="s"/>
      <c r="I2116" t="s"/>
      <c r="J2116" t="n">
        <v>-0.7579</v>
      </c>
      <c r="K2116" t="n">
        <v>0.333</v>
      </c>
      <c r="L2116" t="n">
        <v>0.667</v>
      </c>
      <c r="M2116" t="n">
        <v>0</v>
      </c>
    </row>
    <row r="2117" spans="1:13">
      <c r="A2117" s="1">
        <f>HYPERLINK("http://www.twitter.com/NathanBLawrence/status/981007520176238597", "981007520176238597")</f>
        <v/>
      </c>
      <c r="B2117" s="2" t="n">
        <v>43193.13649305556</v>
      </c>
      <c r="C2117" t="n">
        <v>0</v>
      </c>
      <c r="D2117" t="n">
        <v>6</v>
      </c>
      <c r="E2117" t="s">
        <v>2128</v>
      </c>
      <c r="F2117" t="s"/>
      <c r="G2117" t="s"/>
      <c r="H2117" t="s"/>
      <c r="I2117" t="s"/>
      <c r="J2117" t="n">
        <v>0</v>
      </c>
      <c r="K2117" t="n">
        <v>0</v>
      </c>
      <c r="L2117" t="n">
        <v>1</v>
      </c>
      <c r="M2117" t="n">
        <v>0</v>
      </c>
    </row>
    <row r="2118" spans="1:13">
      <c r="A2118" s="1">
        <f>HYPERLINK("http://www.twitter.com/NathanBLawrence/status/981007246095155200", "981007246095155200")</f>
        <v/>
      </c>
      <c r="B2118" s="2" t="n">
        <v>43193.13574074074</v>
      </c>
      <c r="C2118" t="n">
        <v>0</v>
      </c>
      <c r="D2118" t="n">
        <v>41</v>
      </c>
      <c r="E2118" t="s">
        <v>2129</v>
      </c>
      <c r="F2118" t="s"/>
      <c r="G2118" t="s"/>
      <c r="H2118" t="s"/>
      <c r="I2118" t="s"/>
      <c r="J2118" t="n">
        <v>0.6696</v>
      </c>
      <c r="K2118" t="n">
        <v>0</v>
      </c>
      <c r="L2118" t="n">
        <v>0.83</v>
      </c>
      <c r="M2118" t="n">
        <v>0.17</v>
      </c>
    </row>
    <row r="2119" spans="1:13">
      <c r="A2119" s="1">
        <f>HYPERLINK("http://www.twitter.com/NathanBLawrence/status/981007136921702401", "981007136921702401")</f>
        <v/>
      </c>
      <c r="B2119" s="2" t="n">
        <v>43193.13543981482</v>
      </c>
      <c r="C2119" t="n">
        <v>0</v>
      </c>
      <c r="D2119" t="n">
        <v>20</v>
      </c>
      <c r="E2119" t="s">
        <v>2130</v>
      </c>
      <c r="F2119" t="s"/>
      <c r="G2119" t="s"/>
      <c r="H2119" t="s"/>
      <c r="I2119" t="s"/>
      <c r="J2119" t="n">
        <v>0.8955</v>
      </c>
      <c r="K2119" t="n">
        <v>0</v>
      </c>
      <c r="L2119" t="n">
        <v>0.504</v>
      </c>
      <c r="M2119" t="n">
        <v>0.496</v>
      </c>
    </row>
    <row r="2120" spans="1:13">
      <c r="A2120" s="1">
        <f>HYPERLINK("http://www.twitter.com/NathanBLawrence/status/981006595516715009", "981006595516715009")</f>
        <v/>
      </c>
      <c r="B2120" s="2" t="n">
        <v>43193.13394675926</v>
      </c>
      <c r="C2120" t="n">
        <v>0</v>
      </c>
      <c r="D2120" t="n">
        <v>676</v>
      </c>
      <c r="E2120" t="s">
        <v>2131</v>
      </c>
      <c r="F2120" t="s"/>
      <c r="G2120" t="s"/>
      <c r="H2120" t="s"/>
      <c r="I2120" t="s"/>
      <c r="J2120" t="n">
        <v>-0.2263</v>
      </c>
      <c r="K2120" t="n">
        <v>0.101</v>
      </c>
      <c r="L2120" t="n">
        <v>0.899</v>
      </c>
      <c r="M2120" t="n">
        <v>0</v>
      </c>
    </row>
    <row r="2121" spans="1:13">
      <c r="A2121" s="1">
        <f>HYPERLINK("http://www.twitter.com/NathanBLawrence/status/981005835823394816", "981005835823394816")</f>
        <v/>
      </c>
      <c r="B2121" s="2" t="n">
        <v>43193.13185185185</v>
      </c>
      <c r="C2121" t="n">
        <v>0</v>
      </c>
      <c r="D2121" t="n">
        <v>100</v>
      </c>
      <c r="E2121" t="s">
        <v>2132</v>
      </c>
      <c r="F2121" t="s"/>
      <c r="G2121" t="s"/>
      <c r="H2121" t="s"/>
      <c r="I2121" t="s"/>
      <c r="J2121" t="n">
        <v>0.5994</v>
      </c>
      <c r="K2121" t="n">
        <v>0</v>
      </c>
      <c r="L2121" t="n">
        <v>0.8129999999999999</v>
      </c>
      <c r="M2121" t="n">
        <v>0.187</v>
      </c>
    </row>
    <row r="2122" spans="1:13">
      <c r="A2122" s="1">
        <f>HYPERLINK("http://www.twitter.com/NathanBLawrence/status/981005028445118465", "981005028445118465")</f>
        <v/>
      </c>
      <c r="B2122" s="2" t="n">
        <v>43193.12961805556</v>
      </c>
      <c r="C2122" t="n">
        <v>0</v>
      </c>
      <c r="D2122" t="n">
        <v>44</v>
      </c>
      <c r="E2122" t="s">
        <v>2133</v>
      </c>
      <c r="F2122">
        <f>HYPERLINK("http://pbs.twimg.com/media/DZ0s5eHU0AAKHrL.jpg", "http://pbs.twimg.com/media/DZ0s5eHU0AAKHrL.jpg")</f>
        <v/>
      </c>
      <c r="G2122" t="s"/>
      <c r="H2122" t="s"/>
      <c r="I2122" t="s"/>
      <c r="J2122" t="n">
        <v>0.5657</v>
      </c>
      <c r="K2122" t="n">
        <v>0</v>
      </c>
      <c r="L2122" t="n">
        <v>0.6820000000000001</v>
      </c>
      <c r="M2122" t="n">
        <v>0.318</v>
      </c>
    </row>
    <row r="2123" spans="1:13">
      <c r="A2123" s="1">
        <f>HYPERLINK("http://www.twitter.com/NathanBLawrence/status/981002676958892032", "981002676958892032")</f>
        <v/>
      </c>
      <c r="B2123" s="2" t="n">
        <v>43193.123125</v>
      </c>
      <c r="C2123" t="n">
        <v>0</v>
      </c>
      <c r="D2123" t="n">
        <v>11</v>
      </c>
      <c r="E2123" t="s">
        <v>2134</v>
      </c>
      <c r="F2123" t="s"/>
      <c r="G2123" t="s"/>
      <c r="H2123" t="s"/>
      <c r="I2123" t="s"/>
      <c r="J2123" t="n">
        <v>-0.6597</v>
      </c>
      <c r="K2123" t="n">
        <v>0.205</v>
      </c>
      <c r="L2123" t="n">
        <v>0.795</v>
      </c>
      <c r="M2123" t="n">
        <v>0</v>
      </c>
    </row>
    <row r="2124" spans="1:13">
      <c r="A2124" s="1">
        <f>HYPERLINK("http://www.twitter.com/NathanBLawrence/status/981002102582497280", "981002102582497280")</f>
        <v/>
      </c>
      <c r="B2124" s="2" t="n">
        <v>43193.12155092593</v>
      </c>
      <c r="C2124" t="n">
        <v>0</v>
      </c>
      <c r="D2124" t="n">
        <v>820</v>
      </c>
      <c r="E2124" t="s">
        <v>2135</v>
      </c>
      <c r="F2124" t="s"/>
      <c r="G2124" t="s"/>
      <c r="H2124" t="s"/>
      <c r="I2124" t="s"/>
      <c r="J2124" t="n">
        <v>-0.6103</v>
      </c>
      <c r="K2124" t="n">
        <v>0.153</v>
      </c>
      <c r="L2124" t="n">
        <v>0.847</v>
      </c>
      <c r="M2124" t="n">
        <v>0</v>
      </c>
    </row>
    <row r="2125" spans="1:13">
      <c r="A2125" s="1">
        <f>HYPERLINK("http://www.twitter.com/NathanBLawrence/status/981001690840215553", "981001690840215553")</f>
        <v/>
      </c>
      <c r="B2125" s="2" t="n">
        <v>43193.1204050926</v>
      </c>
      <c r="C2125" t="n">
        <v>0</v>
      </c>
      <c r="D2125" t="n">
        <v>219</v>
      </c>
      <c r="E2125" t="s">
        <v>2136</v>
      </c>
      <c r="F2125" t="s"/>
      <c r="G2125" t="s"/>
      <c r="H2125" t="s"/>
      <c r="I2125" t="s"/>
      <c r="J2125" t="n">
        <v>0.2584</v>
      </c>
      <c r="K2125" t="n">
        <v>0</v>
      </c>
      <c r="L2125" t="n">
        <v>0.893</v>
      </c>
      <c r="M2125" t="n">
        <v>0.107</v>
      </c>
    </row>
    <row r="2126" spans="1:13">
      <c r="A2126" s="1">
        <f>HYPERLINK("http://www.twitter.com/NathanBLawrence/status/981001515874897922", "981001515874897922")</f>
        <v/>
      </c>
      <c r="B2126" s="2" t="n">
        <v>43193.11993055556</v>
      </c>
      <c r="C2126" t="n">
        <v>0</v>
      </c>
      <c r="D2126" t="n">
        <v>20</v>
      </c>
      <c r="E2126" t="s">
        <v>2137</v>
      </c>
      <c r="F2126" t="s"/>
      <c r="G2126" t="s"/>
      <c r="H2126" t="s"/>
      <c r="I2126" t="s"/>
      <c r="J2126" t="n">
        <v>-0.6523</v>
      </c>
      <c r="K2126" t="n">
        <v>0.224</v>
      </c>
      <c r="L2126" t="n">
        <v>0.776</v>
      </c>
      <c r="M2126" t="n">
        <v>0</v>
      </c>
    </row>
    <row r="2127" spans="1:13">
      <c r="A2127" s="1">
        <f>HYPERLINK("http://www.twitter.com/NathanBLawrence/status/981000466141196288", "981000466141196288")</f>
        <v/>
      </c>
      <c r="B2127" s="2" t="n">
        <v>43193.11702546296</v>
      </c>
      <c r="C2127" t="n">
        <v>0</v>
      </c>
      <c r="D2127" t="n">
        <v>5771</v>
      </c>
      <c r="E2127" t="s">
        <v>2138</v>
      </c>
      <c r="F2127">
        <f>HYPERLINK("https://video.twimg.com/ext_tw_video/980931698220134400/pu/vid/638x360/IxMnnqcq04SYUxb0.mp4?tag=2", "https://video.twimg.com/ext_tw_video/980931698220134400/pu/vid/638x360/IxMnnqcq04SYUxb0.mp4?tag=2")</f>
        <v/>
      </c>
      <c r="G2127" t="s"/>
      <c r="H2127" t="s"/>
      <c r="I2127" t="s"/>
      <c r="J2127" t="n">
        <v>0.0772</v>
      </c>
      <c r="K2127" t="n">
        <v>0.094</v>
      </c>
      <c r="L2127" t="n">
        <v>0.801</v>
      </c>
      <c r="M2127" t="n">
        <v>0.105</v>
      </c>
    </row>
    <row r="2128" spans="1:13">
      <c r="A2128" s="1">
        <f>HYPERLINK("http://www.twitter.com/NathanBLawrence/status/981000408289169408", "981000408289169408")</f>
        <v/>
      </c>
      <c r="B2128" s="2" t="n">
        <v>43193.116875</v>
      </c>
      <c r="C2128" t="n">
        <v>0</v>
      </c>
      <c r="D2128" t="n">
        <v>236</v>
      </c>
      <c r="E2128" t="s">
        <v>2139</v>
      </c>
      <c r="F2128">
        <f>HYPERLINK("http://pbs.twimg.com/media/DZ0WVoVVwAEqjeT.jpg", "http://pbs.twimg.com/media/DZ0WVoVVwAEqjeT.jpg")</f>
        <v/>
      </c>
      <c r="G2128" t="s"/>
      <c r="H2128" t="s"/>
      <c r="I2128" t="s"/>
      <c r="J2128" t="n">
        <v>-0.186</v>
      </c>
      <c r="K2128" t="n">
        <v>0.154</v>
      </c>
      <c r="L2128" t="n">
        <v>0.722</v>
      </c>
      <c r="M2128" t="n">
        <v>0.123</v>
      </c>
    </row>
    <row r="2129" spans="1:13">
      <c r="A2129" s="1">
        <f>HYPERLINK("http://www.twitter.com/NathanBLawrence/status/981000303792271360", "981000303792271360")</f>
        <v/>
      </c>
      <c r="B2129" s="2" t="n">
        <v>43193.11658564815</v>
      </c>
      <c r="C2129" t="n">
        <v>0</v>
      </c>
      <c r="D2129" t="n">
        <v>17960</v>
      </c>
      <c r="E2129" t="s">
        <v>2140</v>
      </c>
      <c r="F2129">
        <f>HYPERLINK("http://pbs.twimg.com/media/DZ0sX5BVoAAoSWA.jpg", "http://pbs.twimg.com/media/DZ0sX5BVoAAoSWA.jpg")</f>
        <v/>
      </c>
      <c r="G2129" t="s"/>
      <c r="H2129" t="s"/>
      <c r="I2129" t="s"/>
      <c r="J2129" t="n">
        <v>0</v>
      </c>
      <c r="K2129" t="n">
        <v>0</v>
      </c>
      <c r="L2129" t="n">
        <v>1</v>
      </c>
      <c r="M2129" t="n">
        <v>0</v>
      </c>
    </row>
    <row r="2130" spans="1:13">
      <c r="A2130" s="1">
        <f>HYPERLINK("http://www.twitter.com/NathanBLawrence/status/981000131129626626", "981000131129626626")</f>
        <v/>
      </c>
      <c r="B2130" s="2" t="n">
        <v>43193.11611111111</v>
      </c>
      <c r="C2130" t="n">
        <v>0</v>
      </c>
      <c r="D2130" t="n">
        <v>318</v>
      </c>
      <c r="E2130" t="s">
        <v>2141</v>
      </c>
      <c r="F2130">
        <f>HYPERLINK("http://pbs.twimg.com/media/DZ0y7xFV4AEi9Z7.jpg", "http://pbs.twimg.com/media/DZ0y7xFV4AEi9Z7.jpg")</f>
        <v/>
      </c>
      <c r="G2130">
        <f>HYPERLINK("http://pbs.twimg.com/media/DZ0y9DtVQAA3m4B.jpg", "http://pbs.twimg.com/media/DZ0y9DtVQAA3m4B.jpg")</f>
        <v/>
      </c>
      <c r="H2130" t="s"/>
      <c r="I2130" t="s"/>
      <c r="J2130" t="n">
        <v>0</v>
      </c>
      <c r="K2130" t="n">
        <v>0</v>
      </c>
      <c r="L2130" t="n">
        <v>1</v>
      </c>
      <c r="M2130" t="n">
        <v>0</v>
      </c>
    </row>
    <row r="2131" spans="1:13">
      <c r="A2131" s="1">
        <f>HYPERLINK("http://www.twitter.com/NathanBLawrence/status/980999818746236929", "980999818746236929")</f>
        <v/>
      </c>
      <c r="B2131" s="2" t="n">
        <v>43193.11524305555</v>
      </c>
      <c r="C2131" t="n">
        <v>0</v>
      </c>
      <c r="D2131" t="n">
        <v>624</v>
      </c>
      <c r="E2131" t="s">
        <v>2142</v>
      </c>
      <c r="F2131" t="s"/>
      <c r="G2131" t="s"/>
      <c r="H2131" t="s"/>
      <c r="I2131" t="s"/>
      <c r="J2131" t="n">
        <v>0.4588</v>
      </c>
      <c r="K2131" t="n">
        <v>0</v>
      </c>
      <c r="L2131" t="n">
        <v>0.87</v>
      </c>
      <c r="M2131" t="n">
        <v>0.13</v>
      </c>
    </row>
    <row r="2132" spans="1:13">
      <c r="A2132" s="1">
        <f>HYPERLINK("http://www.twitter.com/NathanBLawrence/status/980999411160543232", "980999411160543232")</f>
        <v/>
      </c>
      <c r="B2132" s="2" t="n">
        <v>43193.11412037037</v>
      </c>
      <c r="C2132" t="n">
        <v>0</v>
      </c>
      <c r="D2132" t="n">
        <v>780</v>
      </c>
      <c r="E2132" t="s">
        <v>2143</v>
      </c>
      <c r="F2132">
        <f>HYPERLINK("https://video.twimg.com/amplify_video/980990722139664384/vid/1280x720/ROumED27lU2Tompj.mp4?tag=2", "https://video.twimg.com/amplify_video/980990722139664384/vid/1280x720/ROumED27lU2Tompj.mp4?tag=2")</f>
        <v/>
      </c>
      <c r="G2132" t="s"/>
      <c r="H2132" t="s"/>
      <c r="I2132" t="s"/>
      <c r="J2132" t="n">
        <v>0</v>
      </c>
      <c r="K2132" t="n">
        <v>0</v>
      </c>
      <c r="L2132" t="n">
        <v>1</v>
      </c>
      <c r="M2132" t="n">
        <v>0</v>
      </c>
    </row>
    <row r="2133" spans="1:13">
      <c r="A2133" s="1">
        <f>HYPERLINK("http://www.twitter.com/NathanBLawrence/status/980996463336488961", "980996463336488961")</f>
        <v/>
      </c>
      <c r="B2133" s="2" t="n">
        <v>43193.1059837963</v>
      </c>
      <c r="C2133" t="n">
        <v>0</v>
      </c>
      <c r="D2133" t="n">
        <v>79</v>
      </c>
      <c r="E2133" t="s">
        <v>2144</v>
      </c>
      <c r="F2133">
        <f>HYPERLINK("http://pbs.twimg.com/media/DZ0r46kXkAAZpoB.jpg", "http://pbs.twimg.com/media/DZ0r46kXkAAZpoB.jpg")</f>
        <v/>
      </c>
      <c r="G2133" t="s"/>
      <c r="H2133" t="s"/>
      <c r="I2133" t="s"/>
      <c r="J2133" t="n">
        <v>0.5859</v>
      </c>
      <c r="K2133" t="n">
        <v>0</v>
      </c>
      <c r="L2133" t="n">
        <v>0.743</v>
      </c>
      <c r="M2133" t="n">
        <v>0.257</v>
      </c>
    </row>
    <row r="2134" spans="1:13">
      <c r="A2134" s="1">
        <f>HYPERLINK("http://www.twitter.com/NathanBLawrence/status/980996418486833153", "980996418486833153")</f>
        <v/>
      </c>
      <c r="B2134" s="2" t="n">
        <v>43193.10585648148</v>
      </c>
      <c r="C2134" t="n">
        <v>0</v>
      </c>
      <c r="D2134" t="n">
        <v>796</v>
      </c>
      <c r="E2134" t="s">
        <v>2145</v>
      </c>
      <c r="F2134" t="s"/>
      <c r="G2134" t="s"/>
      <c r="H2134" t="s"/>
      <c r="I2134" t="s"/>
      <c r="J2134" t="n">
        <v>-0.6633</v>
      </c>
      <c r="K2134" t="n">
        <v>0.214</v>
      </c>
      <c r="L2134" t="n">
        <v>0.786</v>
      </c>
      <c r="M2134" t="n">
        <v>0</v>
      </c>
    </row>
    <row r="2135" spans="1:13">
      <c r="A2135" s="1">
        <f>HYPERLINK("http://www.twitter.com/NathanBLawrence/status/980996306821894144", "980996306821894144")</f>
        <v/>
      </c>
      <c r="B2135" s="2" t="n">
        <v>43193.10555555556</v>
      </c>
      <c r="C2135" t="n">
        <v>0</v>
      </c>
      <c r="D2135" t="n">
        <v>112</v>
      </c>
      <c r="E2135" t="s">
        <v>2146</v>
      </c>
      <c r="F2135">
        <f>HYPERLINK("http://pbs.twimg.com/media/DZ0WPHqXUAAYol0.jpg", "http://pbs.twimg.com/media/DZ0WPHqXUAAYol0.jpg")</f>
        <v/>
      </c>
      <c r="G2135" t="s"/>
      <c r="H2135" t="s"/>
      <c r="I2135" t="s"/>
      <c r="J2135" t="n">
        <v>0.5106000000000001</v>
      </c>
      <c r="K2135" t="n">
        <v>0.093</v>
      </c>
      <c r="L2135" t="n">
        <v>0.675</v>
      </c>
      <c r="M2135" t="n">
        <v>0.232</v>
      </c>
    </row>
    <row r="2136" spans="1:13">
      <c r="A2136" s="1">
        <f>HYPERLINK("http://www.twitter.com/NathanBLawrence/status/980995968068980736", "980995968068980736")</f>
        <v/>
      </c>
      <c r="B2136" s="2" t="n">
        <v>43193.10461805556</v>
      </c>
      <c r="C2136" t="n">
        <v>0</v>
      </c>
      <c r="D2136" t="n">
        <v>296</v>
      </c>
      <c r="E2136" t="s">
        <v>2147</v>
      </c>
      <c r="F2136">
        <f>HYPERLINK("http://pbs.twimg.com/media/DZ0d5kWVwAAXVaF.jpg", "http://pbs.twimg.com/media/DZ0d5kWVwAAXVaF.jpg")</f>
        <v/>
      </c>
      <c r="G2136" t="s"/>
      <c r="H2136" t="s"/>
      <c r="I2136" t="s"/>
      <c r="J2136" t="n">
        <v>0.3182</v>
      </c>
      <c r="K2136" t="n">
        <v>0</v>
      </c>
      <c r="L2136" t="n">
        <v>0.867</v>
      </c>
      <c r="M2136" t="n">
        <v>0.133</v>
      </c>
    </row>
    <row r="2137" spans="1:13">
      <c r="A2137" s="1">
        <f>HYPERLINK("http://www.twitter.com/NathanBLawrence/status/980995389200502785", "980995389200502785")</f>
        <v/>
      </c>
      <c r="B2137" s="2" t="n">
        <v>43193.10302083333</v>
      </c>
      <c r="C2137" t="n">
        <v>0</v>
      </c>
      <c r="D2137" t="n">
        <v>1046</v>
      </c>
      <c r="E2137" t="s">
        <v>2148</v>
      </c>
      <c r="F2137">
        <f>HYPERLINK("https://video.twimg.com/amplify_video/980994418990878721/vid/1280x720/GZ1hwhqq1C6Rn8Cj.mp4?tag=2", "https://video.twimg.com/amplify_video/980994418990878721/vid/1280x720/GZ1hwhqq1C6Rn8Cj.mp4?tag=2")</f>
        <v/>
      </c>
      <c r="G2137" t="s"/>
      <c r="H2137" t="s"/>
      <c r="I2137" t="s"/>
      <c r="J2137" t="n">
        <v>0</v>
      </c>
      <c r="K2137" t="n">
        <v>0</v>
      </c>
      <c r="L2137" t="n">
        <v>1</v>
      </c>
      <c r="M2137" t="n">
        <v>0</v>
      </c>
    </row>
    <row r="2138" spans="1:13">
      <c r="A2138" s="1">
        <f>HYPERLINK("http://www.twitter.com/NathanBLawrence/status/980994192666251265", "980994192666251265")</f>
        <v/>
      </c>
      <c r="B2138" s="2" t="n">
        <v>43193.09972222222</v>
      </c>
      <c r="C2138" t="n">
        <v>0</v>
      </c>
      <c r="D2138" t="n">
        <v>14</v>
      </c>
      <c r="E2138" t="s">
        <v>2149</v>
      </c>
      <c r="F2138">
        <f>HYPERLINK("http://pbs.twimg.com/media/DYbcVIZWAAAYe9T.jpg", "http://pbs.twimg.com/media/DYbcVIZWAAAYe9T.jpg")</f>
        <v/>
      </c>
      <c r="G2138" t="s"/>
      <c r="H2138" t="s"/>
      <c r="I2138" t="s"/>
      <c r="J2138" t="n">
        <v>0.5983000000000001</v>
      </c>
      <c r="K2138" t="n">
        <v>0</v>
      </c>
      <c r="L2138" t="n">
        <v>0.755</v>
      </c>
      <c r="M2138" t="n">
        <v>0.245</v>
      </c>
    </row>
    <row r="2139" spans="1:13">
      <c r="A2139" s="1">
        <f>HYPERLINK("http://www.twitter.com/NathanBLawrence/status/980993901283733504", "980993901283733504")</f>
        <v/>
      </c>
      <c r="B2139" s="2" t="n">
        <v>43193.09891203704</v>
      </c>
      <c r="C2139" t="n">
        <v>0</v>
      </c>
      <c r="D2139" t="n">
        <v>259</v>
      </c>
      <c r="E2139" t="s">
        <v>2150</v>
      </c>
      <c r="F2139" t="s"/>
      <c r="G2139" t="s"/>
      <c r="H2139" t="s"/>
      <c r="I2139" t="s"/>
      <c r="J2139" t="n">
        <v>-0.4466</v>
      </c>
      <c r="K2139" t="n">
        <v>0.227</v>
      </c>
      <c r="L2139" t="n">
        <v>0.773</v>
      </c>
      <c r="M2139" t="n">
        <v>0</v>
      </c>
    </row>
    <row r="2140" spans="1:13">
      <c r="A2140" s="1">
        <f>HYPERLINK("http://www.twitter.com/NathanBLawrence/status/980991808661573632", "980991808661573632")</f>
        <v/>
      </c>
      <c r="B2140" s="2" t="n">
        <v>43193.09313657408</v>
      </c>
      <c r="C2140" t="n">
        <v>0</v>
      </c>
      <c r="D2140" t="n">
        <v>938</v>
      </c>
      <c r="E2140" t="s">
        <v>2151</v>
      </c>
      <c r="F2140">
        <f>HYPERLINK("http://pbs.twimg.com/media/DZ0smD8XUAE8BWe.jpg", "http://pbs.twimg.com/media/DZ0smD8XUAE8BWe.jpg")</f>
        <v/>
      </c>
      <c r="G2140" t="s"/>
      <c r="H2140" t="s"/>
      <c r="I2140" t="s"/>
      <c r="J2140" t="n">
        <v>0</v>
      </c>
      <c r="K2140" t="n">
        <v>0</v>
      </c>
      <c r="L2140" t="n">
        <v>1</v>
      </c>
      <c r="M2140" t="n">
        <v>0</v>
      </c>
    </row>
    <row r="2141" spans="1:13">
      <c r="A2141" s="1">
        <f>HYPERLINK("http://www.twitter.com/NathanBLawrence/status/980989940443033600", "980989940443033600")</f>
        <v/>
      </c>
      <c r="B2141" s="2" t="n">
        <v>43193.08798611111</v>
      </c>
      <c r="C2141" t="n">
        <v>0</v>
      </c>
      <c r="D2141" t="n">
        <v>1983</v>
      </c>
      <c r="E2141" t="s">
        <v>2152</v>
      </c>
      <c r="F2141" t="s"/>
      <c r="G2141" t="s"/>
      <c r="H2141" t="s"/>
      <c r="I2141" t="s"/>
      <c r="J2141" t="n">
        <v>-0.5574</v>
      </c>
      <c r="K2141" t="n">
        <v>0.153</v>
      </c>
      <c r="L2141" t="n">
        <v>0.847</v>
      </c>
      <c r="M2141" t="n">
        <v>0</v>
      </c>
    </row>
    <row r="2142" spans="1:13">
      <c r="A2142" s="1">
        <f>HYPERLINK("http://www.twitter.com/NathanBLawrence/status/980989319681925121", "980989319681925121")</f>
        <v/>
      </c>
      <c r="B2142" s="2" t="n">
        <v>43193.08627314815</v>
      </c>
      <c r="C2142" t="n">
        <v>0</v>
      </c>
      <c r="D2142" t="n">
        <v>845</v>
      </c>
      <c r="E2142" t="s">
        <v>2153</v>
      </c>
      <c r="F2142">
        <f>HYPERLINK("http://pbs.twimg.com/media/DZz5VsKWAAAhIof.jpg", "http://pbs.twimg.com/media/DZz5VsKWAAAhIof.jpg")</f>
        <v/>
      </c>
      <c r="G2142" t="s"/>
      <c r="H2142" t="s"/>
      <c r="I2142" t="s"/>
      <c r="J2142" t="n">
        <v>0</v>
      </c>
      <c r="K2142" t="n">
        <v>0</v>
      </c>
      <c r="L2142" t="n">
        <v>1</v>
      </c>
      <c r="M2142" t="n">
        <v>0</v>
      </c>
    </row>
    <row r="2143" spans="1:13">
      <c r="A2143" s="1">
        <f>HYPERLINK("http://www.twitter.com/NathanBLawrence/status/980988486223319040", "980988486223319040")</f>
        <v/>
      </c>
      <c r="B2143" s="2" t="n">
        <v>43193.08396990741</v>
      </c>
      <c r="C2143" t="n">
        <v>0</v>
      </c>
      <c r="D2143" t="n">
        <v>1509</v>
      </c>
      <c r="E2143" t="s">
        <v>2154</v>
      </c>
      <c r="F2143">
        <f>HYPERLINK("https://video.twimg.com/amplify_video/980850746500542464/vid/1280x720/pvpLoa5l9XDue6c8.mp4?tag=2", "https://video.twimg.com/amplify_video/980850746500542464/vid/1280x720/pvpLoa5l9XDue6c8.mp4?tag=2")</f>
        <v/>
      </c>
      <c r="G2143" t="s"/>
      <c r="H2143" t="s"/>
      <c r="I2143" t="s"/>
      <c r="J2143" t="n">
        <v>0.3382</v>
      </c>
      <c r="K2143" t="n">
        <v>0.13</v>
      </c>
      <c r="L2143" t="n">
        <v>0.652</v>
      </c>
      <c r="M2143" t="n">
        <v>0.217</v>
      </c>
    </row>
    <row r="2144" spans="1:13">
      <c r="A2144" s="1">
        <f>HYPERLINK("http://www.twitter.com/NathanBLawrence/status/980988366987649025", "980988366987649025")</f>
        <v/>
      </c>
      <c r="B2144" s="2" t="n">
        <v>43193.08364583334</v>
      </c>
      <c r="C2144" t="n">
        <v>0</v>
      </c>
      <c r="D2144" t="n">
        <v>19241</v>
      </c>
      <c r="E2144" t="s">
        <v>2155</v>
      </c>
      <c r="F2144" t="s"/>
      <c r="G2144" t="s"/>
      <c r="H2144" t="s"/>
      <c r="I2144" t="s"/>
      <c r="J2144" t="n">
        <v>-0.0276</v>
      </c>
      <c r="K2144" t="n">
        <v>0.136</v>
      </c>
      <c r="L2144" t="n">
        <v>0.733</v>
      </c>
      <c r="M2144" t="n">
        <v>0.132</v>
      </c>
    </row>
    <row r="2145" spans="1:13">
      <c r="A2145" s="1">
        <f>HYPERLINK("http://www.twitter.com/NathanBLawrence/status/980988088209035264", "980988088209035264")</f>
        <v/>
      </c>
      <c r="B2145" s="2" t="n">
        <v>43193.08287037037</v>
      </c>
      <c r="C2145" t="n">
        <v>0</v>
      </c>
      <c r="D2145" t="n">
        <v>16</v>
      </c>
      <c r="E2145" t="s">
        <v>2156</v>
      </c>
      <c r="F2145" t="s"/>
      <c r="G2145" t="s"/>
      <c r="H2145" t="s"/>
      <c r="I2145" t="s"/>
      <c r="J2145" t="n">
        <v>0</v>
      </c>
      <c r="K2145" t="n">
        <v>0</v>
      </c>
      <c r="L2145" t="n">
        <v>1</v>
      </c>
      <c r="M2145" t="n">
        <v>0</v>
      </c>
    </row>
    <row r="2146" spans="1:13">
      <c r="A2146" s="1">
        <f>HYPERLINK("http://www.twitter.com/NathanBLawrence/status/980987944243777536", "980987944243777536")</f>
        <v/>
      </c>
      <c r="B2146" s="2" t="n">
        <v>43193.08247685185</v>
      </c>
      <c r="C2146" t="n">
        <v>0</v>
      </c>
      <c r="D2146" t="n">
        <v>1112</v>
      </c>
      <c r="E2146" t="s">
        <v>2157</v>
      </c>
      <c r="F2146" t="s"/>
      <c r="G2146" t="s"/>
      <c r="H2146" t="s"/>
      <c r="I2146" t="s"/>
      <c r="J2146" t="n">
        <v>0</v>
      </c>
      <c r="K2146" t="n">
        <v>0</v>
      </c>
      <c r="L2146" t="n">
        <v>1</v>
      </c>
      <c r="M2146" t="n">
        <v>0</v>
      </c>
    </row>
    <row r="2147" spans="1:13">
      <c r="A2147" s="1">
        <f>HYPERLINK("http://www.twitter.com/NathanBLawrence/status/980987448040808449", "980987448040808449")</f>
        <v/>
      </c>
      <c r="B2147" s="2" t="n">
        <v>43193.08111111111</v>
      </c>
      <c r="C2147" t="n">
        <v>0</v>
      </c>
      <c r="D2147" t="n">
        <v>1727</v>
      </c>
      <c r="E2147" t="s">
        <v>2158</v>
      </c>
      <c r="F2147" t="s"/>
      <c r="G2147" t="s"/>
      <c r="H2147" t="s"/>
      <c r="I2147" t="s"/>
      <c r="J2147" t="n">
        <v>0.6249</v>
      </c>
      <c r="K2147" t="n">
        <v>0</v>
      </c>
      <c r="L2147" t="n">
        <v>0.8139999999999999</v>
      </c>
      <c r="M2147" t="n">
        <v>0.186</v>
      </c>
    </row>
    <row r="2148" spans="1:13">
      <c r="A2148" s="1">
        <f>HYPERLINK("http://www.twitter.com/NathanBLawrence/status/980987028157423617", "980987028157423617")</f>
        <v/>
      </c>
      <c r="B2148" s="2" t="n">
        <v>43193.0799537037</v>
      </c>
      <c r="C2148" t="n">
        <v>0</v>
      </c>
      <c r="D2148" t="n">
        <v>748</v>
      </c>
      <c r="E2148" t="s">
        <v>2159</v>
      </c>
      <c r="F2148">
        <f>HYPERLINK("https://video.twimg.com/amplify_video/980945490136223744/vid/1280x720/_BM3n9TtH4QbA-Lm.mp4?tag=2", "https://video.twimg.com/amplify_video/980945490136223744/vid/1280x720/_BM3n9TtH4QbA-Lm.mp4?tag=2")</f>
        <v/>
      </c>
      <c r="G2148" t="s"/>
      <c r="H2148" t="s"/>
      <c r="I2148" t="s"/>
      <c r="J2148" t="n">
        <v>0.4215</v>
      </c>
      <c r="K2148" t="n">
        <v>0</v>
      </c>
      <c r="L2148" t="n">
        <v>0.882</v>
      </c>
      <c r="M2148" t="n">
        <v>0.118</v>
      </c>
    </row>
    <row r="2149" spans="1:13">
      <c r="A2149" s="1">
        <f>HYPERLINK("http://www.twitter.com/NathanBLawrence/status/980986808044531712", "980986808044531712")</f>
        <v/>
      </c>
      <c r="B2149" s="2" t="n">
        <v>43193.07934027778</v>
      </c>
      <c r="C2149" t="n">
        <v>0</v>
      </c>
      <c r="D2149" t="n">
        <v>27</v>
      </c>
      <c r="E2149" t="s">
        <v>2160</v>
      </c>
      <c r="F2149" t="s"/>
      <c r="G2149" t="s"/>
      <c r="H2149" t="s"/>
      <c r="I2149" t="s"/>
      <c r="J2149" t="n">
        <v>0.6289</v>
      </c>
      <c r="K2149" t="n">
        <v>0</v>
      </c>
      <c r="L2149" t="n">
        <v>0.821</v>
      </c>
      <c r="M2149" t="n">
        <v>0.179</v>
      </c>
    </row>
    <row r="2150" spans="1:13">
      <c r="A2150" s="1">
        <f>HYPERLINK("http://www.twitter.com/NathanBLawrence/status/980986565945122816", "980986565945122816")</f>
        <v/>
      </c>
      <c r="B2150" s="2" t="n">
        <v>43193.07866898148</v>
      </c>
      <c r="C2150" t="n">
        <v>0</v>
      </c>
      <c r="D2150" t="n">
        <v>2221</v>
      </c>
      <c r="E2150" t="s">
        <v>2161</v>
      </c>
      <c r="F2150" t="s"/>
      <c r="G2150" t="s"/>
      <c r="H2150" t="s"/>
      <c r="I2150" t="s"/>
      <c r="J2150" t="n">
        <v>0</v>
      </c>
      <c r="K2150" t="n">
        <v>0</v>
      </c>
      <c r="L2150" t="n">
        <v>1</v>
      </c>
      <c r="M2150" t="n">
        <v>0</v>
      </c>
    </row>
    <row r="2151" spans="1:13">
      <c r="A2151" s="1">
        <f>HYPERLINK("http://www.twitter.com/NathanBLawrence/status/980986118677069824", "980986118677069824")</f>
        <v/>
      </c>
      <c r="B2151" s="2" t="n">
        <v>43193.07744212963</v>
      </c>
      <c r="C2151" t="n">
        <v>0</v>
      </c>
      <c r="D2151" t="n">
        <v>62</v>
      </c>
      <c r="E2151" t="s">
        <v>2162</v>
      </c>
      <c r="F2151">
        <f>HYPERLINK("http://pbs.twimg.com/media/DZ0bfaKUMAA_-jm.jpg", "http://pbs.twimg.com/media/DZ0bfaKUMAA_-jm.jpg")</f>
        <v/>
      </c>
      <c r="G2151" t="s"/>
      <c r="H2151" t="s"/>
      <c r="I2151" t="s"/>
      <c r="J2151" t="n">
        <v>0.4374</v>
      </c>
      <c r="K2151" t="n">
        <v>0</v>
      </c>
      <c r="L2151" t="n">
        <v>0.862</v>
      </c>
      <c r="M2151" t="n">
        <v>0.138</v>
      </c>
    </row>
    <row r="2152" spans="1:13">
      <c r="A2152" s="1">
        <f>HYPERLINK("http://www.twitter.com/NathanBLawrence/status/980986018705936384", "980986018705936384")</f>
        <v/>
      </c>
      <c r="B2152" s="2" t="n">
        <v>43193.07716435185</v>
      </c>
      <c r="C2152" t="n">
        <v>0</v>
      </c>
      <c r="D2152" t="n">
        <v>3550</v>
      </c>
      <c r="E2152" t="s">
        <v>2163</v>
      </c>
      <c r="F2152">
        <f>HYPERLINK("http://pbs.twimg.com/media/DZ0EgfTWAAAiGQh.jpg", "http://pbs.twimg.com/media/DZ0EgfTWAAAiGQh.jpg")</f>
        <v/>
      </c>
      <c r="G2152" t="s"/>
      <c r="H2152" t="s"/>
      <c r="I2152" t="s"/>
      <c r="J2152" t="n">
        <v>0</v>
      </c>
      <c r="K2152" t="n">
        <v>0</v>
      </c>
      <c r="L2152" t="n">
        <v>1</v>
      </c>
      <c r="M2152" t="n">
        <v>0</v>
      </c>
    </row>
    <row r="2153" spans="1:13">
      <c r="A2153" s="1">
        <f>HYPERLINK("http://www.twitter.com/NathanBLawrence/status/980985498780004352", "980985498780004352")</f>
        <v/>
      </c>
      <c r="B2153" s="2" t="n">
        <v>43193.07572916667</v>
      </c>
      <c r="C2153" t="n">
        <v>0</v>
      </c>
      <c r="D2153" t="n">
        <v>612</v>
      </c>
      <c r="E2153" t="s">
        <v>2164</v>
      </c>
      <c r="F2153" t="s"/>
      <c r="G2153" t="s"/>
      <c r="H2153" t="s"/>
      <c r="I2153" t="s"/>
      <c r="J2153" t="n">
        <v>-0.4588</v>
      </c>
      <c r="K2153" t="n">
        <v>0.125</v>
      </c>
      <c r="L2153" t="n">
        <v>0.875</v>
      </c>
      <c r="M2153" t="n">
        <v>0</v>
      </c>
    </row>
    <row r="2154" spans="1:13">
      <c r="A2154" s="1">
        <f>HYPERLINK("http://www.twitter.com/NathanBLawrence/status/980984999615893504", "980984999615893504")</f>
        <v/>
      </c>
      <c r="B2154" s="2" t="n">
        <v>43193.07435185185</v>
      </c>
      <c r="C2154" t="n">
        <v>0</v>
      </c>
      <c r="D2154" t="n">
        <v>149</v>
      </c>
      <c r="E2154" t="s">
        <v>2165</v>
      </c>
      <c r="F2154">
        <f>HYPERLINK("http://pbs.twimg.com/media/DZ0cJxEXcAM6quh.jpg", "http://pbs.twimg.com/media/DZ0cJxEXcAM6quh.jpg")</f>
        <v/>
      </c>
      <c r="G2154" t="s"/>
      <c r="H2154" t="s"/>
      <c r="I2154" t="s"/>
      <c r="J2154" t="n">
        <v>0.7866</v>
      </c>
      <c r="K2154" t="n">
        <v>0</v>
      </c>
      <c r="L2154" t="n">
        <v>0.71</v>
      </c>
      <c r="M2154" t="n">
        <v>0.29</v>
      </c>
    </row>
    <row r="2155" spans="1:13">
      <c r="A2155" s="1">
        <f>HYPERLINK("http://www.twitter.com/NathanBLawrence/status/980578288002326528", "980578288002326528")</f>
        <v/>
      </c>
      <c r="B2155" s="2" t="n">
        <v>43191.95203703704</v>
      </c>
      <c r="C2155" t="n">
        <v>0</v>
      </c>
      <c r="D2155" t="n">
        <v>836</v>
      </c>
      <c r="E2155" t="s">
        <v>2166</v>
      </c>
      <c r="F2155" t="s"/>
      <c r="G2155" t="s"/>
      <c r="H2155" t="s"/>
      <c r="I2155" t="s"/>
      <c r="J2155" t="n">
        <v>-0.0258</v>
      </c>
      <c r="K2155" t="n">
        <v>0.046</v>
      </c>
      <c r="L2155" t="n">
        <v>0.954</v>
      </c>
      <c r="M2155" t="n">
        <v>0</v>
      </c>
    </row>
    <row r="2156" spans="1:13">
      <c r="A2156" s="1">
        <f>HYPERLINK("http://www.twitter.com/NathanBLawrence/status/980577864549588993", "980577864549588993")</f>
        <v/>
      </c>
      <c r="B2156" s="2" t="n">
        <v>43191.95086805556</v>
      </c>
      <c r="C2156" t="n">
        <v>0</v>
      </c>
      <c r="D2156" t="n">
        <v>6</v>
      </c>
      <c r="E2156" t="s">
        <v>2167</v>
      </c>
      <c r="F2156" t="s"/>
      <c r="G2156" t="s"/>
      <c r="H2156" t="s"/>
      <c r="I2156" t="s"/>
      <c r="J2156" t="n">
        <v>0</v>
      </c>
      <c r="K2156" t="n">
        <v>0</v>
      </c>
      <c r="L2156" t="n">
        <v>1</v>
      </c>
      <c r="M2156" t="n">
        <v>0</v>
      </c>
    </row>
    <row r="2157" spans="1:13">
      <c r="A2157" s="1">
        <f>HYPERLINK("http://www.twitter.com/NathanBLawrence/status/980577538371149824", "980577538371149824")</f>
        <v/>
      </c>
      <c r="B2157" s="2" t="n">
        <v>43191.94997685185</v>
      </c>
      <c r="C2157" t="n">
        <v>0</v>
      </c>
      <c r="D2157" t="n">
        <v>127</v>
      </c>
      <c r="E2157" t="s">
        <v>2168</v>
      </c>
      <c r="F2157">
        <f>HYPERLINK("http://pbs.twimg.com/media/DZt-2-PX4AAdF9y.jpg", "http://pbs.twimg.com/media/DZt-2-PX4AAdF9y.jpg")</f>
        <v/>
      </c>
      <c r="G2157" t="s"/>
      <c r="H2157" t="s"/>
      <c r="I2157" t="s"/>
      <c r="J2157" t="n">
        <v>-0.3612</v>
      </c>
      <c r="K2157" t="n">
        <v>0.203</v>
      </c>
      <c r="L2157" t="n">
        <v>0.6899999999999999</v>
      </c>
      <c r="M2157" t="n">
        <v>0.107</v>
      </c>
    </row>
    <row r="2158" spans="1:13">
      <c r="A2158" s="1">
        <f>HYPERLINK("http://www.twitter.com/NathanBLawrence/status/980515630267949056", "980515630267949056")</f>
        <v/>
      </c>
      <c r="B2158" s="2" t="n">
        <v>43191.77914351852</v>
      </c>
      <c r="C2158" t="n">
        <v>0</v>
      </c>
      <c r="D2158" t="n">
        <v>5973</v>
      </c>
      <c r="E2158" t="s">
        <v>2169</v>
      </c>
      <c r="F2158" t="s"/>
      <c r="G2158" t="s"/>
      <c r="H2158" t="s"/>
      <c r="I2158" t="s"/>
      <c r="J2158" t="n">
        <v>0</v>
      </c>
      <c r="K2158" t="n">
        <v>0.08699999999999999</v>
      </c>
      <c r="L2158" t="n">
        <v>0.827</v>
      </c>
      <c r="M2158" t="n">
        <v>0.08699999999999999</v>
      </c>
    </row>
    <row r="2159" spans="1:13">
      <c r="A2159" s="1">
        <f>HYPERLINK("http://www.twitter.com/NathanBLawrence/status/980515532444241920", "980515532444241920")</f>
        <v/>
      </c>
      <c r="B2159" s="2" t="n">
        <v>43191.77886574074</v>
      </c>
      <c r="C2159" t="n">
        <v>0</v>
      </c>
      <c r="D2159" t="n">
        <v>10078</v>
      </c>
      <c r="E2159" t="s">
        <v>2170</v>
      </c>
      <c r="F2159">
        <f>HYPERLINK("http://pbs.twimg.com/media/DZjnjvaXcAEzcfg.jpg", "http://pbs.twimg.com/media/DZjnjvaXcAEzcfg.jpg")</f>
        <v/>
      </c>
      <c r="G2159" t="s"/>
      <c r="H2159" t="s"/>
      <c r="I2159" t="s"/>
      <c r="J2159" t="n">
        <v>0</v>
      </c>
      <c r="K2159" t="n">
        <v>0</v>
      </c>
      <c r="L2159" t="n">
        <v>1</v>
      </c>
      <c r="M2159" t="n">
        <v>0</v>
      </c>
    </row>
    <row r="2160" spans="1:13">
      <c r="A2160" s="1">
        <f>HYPERLINK("http://www.twitter.com/NathanBLawrence/status/980515414785642498", "980515414785642498")</f>
        <v/>
      </c>
      <c r="B2160" s="2" t="n">
        <v>43191.77854166667</v>
      </c>
      <c r="C2160" t="n">
        <v>0</v>
      </c>
      <c r="D2160" t="n">
        <v>2919</v>
      </c>
      <c r="E2160" t="s">
        <v>2171</v>
      </c>
      <c r="F2160">
        <f>HYPERLINK("https://video.twimg.com/ext_tw_video/980448715780521985/pu/vid/480x360/1zhl7Q9WvZx4qpFl.mp4", "https://video.twimg.com/ext_tw_video/980448715780521985/pu/vid/480x360/1zhl7Q9WvZx4qpFl.mp4")</f>
        <v/>
      </c>
      <c r="G2160" t="s"/>
      <c r="H2160" t="s"/>
      <c r="I2160" t="s"/>
      <c r="J2160" t="n">
        <v>0.8585</v>
      </c>
      <c r="K2160" t="n">
        <v>0</v>
      </c>
      <c r="L2160" t="n">
        <v>0.458</v>
      </c>
      <c r="M2160" t="n">
        <v>0.542</v>
      </c>
    </row>
    <row r="2161" spans="1:13">
      <c r="A2161" s="1">
        <f>HYPERLINK("http://www.twitter.com/NathanBLawrence/status/980514302972002304", "980514302972002304")</f>
        <v/>
      </c>
      <c r="B2161" s="2" t="n">
        <v>43191.77547453704</v>
      </c>
      <c r="C2161" t="n">
        <v>0</v>
      </c>
      <c r="D2161" t="n">
        <v>2057</v>
      </c>
      <c r="E2161" t="s">
        <v>2172</v>
      </c>
      <c r="F2161">
        <f>HYPERLINK("http://pbs.twimg.com/media/DZswMjiU8AA12qx.jpg", "http://pbs.twimg.com/media/DZswMjiU8AA12qx.jpg")</f>
        <v/>
      </c>
      <c r="G2161" t="s"/>
      <c r="H2161" t="s"/>
      <c r="I2161" t="s"/>
      <c r="J2161" t="n">
        <v>0.6114000000000001</v>
      </c>
      <c r="K2161" t="n">
        <v>0</v>
      </c>
      <c r="L2161" t="n">
        <v>0.501</v>
      </c>
      <c r="M2161" t="n">
        <v>0.499</v>
      </c>
    </row>
    <row r="2162" spans="1:13">
      <c r="A2162" s="1">
        <f>HYPERLINK("http://www.twitter.com/NathanBLawrence/status/980514281971175426", "980514281971175426")</f>
        <v/>
      </c>
      <c r="B2162" s="2" t="n">
        <v>43191.77541666666</v>
      </c>
      <c r="C2162" t="n">
        <v>0</v>
      </c>
      <c r="D2162" t="n">
        <v>32806</v>
      </c>
      <c r="E2162" t="s">
        <v>2173</v>
      </c>
      <c r="F2162" t="s"/>
      <c r="G2162" t="s"/>
      <c r="H2162" t="s"/>
      <c r="I2162" t="s"/>
      <c r="J2162" t="n">
        <v>0.1139</v>
      </c>
      <c r="K2162" t="n">
        <v>0</v>
      </c>
      <c r="L2162" t="n">
        <v>0.9330000000000001</v>
      </c>
      <c r="M2162" t="n">
        <v>0.067</v>
      </c>
    </row>
    <row r="2163" spans="1:13">
      <c r="A2163" s="1">
        <f>HYPERLINK("http://www.twitter.com/NathanBLawrence/status/980513063068717057", "980513063068717057")</f>
        <v/>
      </c>
      <c r="B2163" s="2" t="n">
        <v>43191.77204861111</v>
      </c>
      <c r="C2163" t="n">
        <v>0</v>
      </c>
      <c r="D2163" t="n">
        <v>2044</v>
      </c>
      <c r="E2163" t="s">
        <v>2174</v>
      </c>
      <c r="F2163" t="s"/>
      <c r="G2163" t="s"/>
      <c r="H2163" t="s"/>
      <c r="I2163" t="s"/>
      <c r="J2163" t="n">
        <v>0.6249</v>
      </c>
      <c r="K2163" t="n">
        <v>0.103</v>
      </c>
      <c r="L2163" t="n">
        <v>0.653</v>
      </c>
      <c r="M2163" t="n">
        <v>0.244</v>
      </c>
    </row>
    <row r="2164" spans="1:13">
      <c r="A2164" s="1">
        <f>HYPERLINK("http://www.twitter.com/NathanBLawrence/status/980409916467957761", "980409916467957761")</f>
        <v/>
      </c>
      <c r="B2164" s="2" t="n">
        <v>43191.48741898148</v>
      </c>
      <c r="C2164" t="n">
        <v>0</v>
      </c>
      <c r="D2164" t="n">
        <v>21</v>
      </c>
      <c r="E2164" t="s">
        <v>2175</v>
      </c>
      <c r="F2164">
        <f>HYPERLINK("http://pbs.twimg.com/media/DZsaAZUVAAIcgxd.jpg", "http://pbs.twimg.com/media/DZsaAZUVAAIcgxd.jpg")</f>
        <v/>
      </c>
      <c r="G2164" t="s"/>
      <c r="H2164" t="s"/>
      <c r="I2164" t="s"/>
      <c r="J2164" t="n">
        <v>0.4215</v>
      </c>
      <c r="K2164" t="n">
        <v>0</v>
      </c>
      <c r="L2164" t="n">
        <v>0.833</v>
      </c>
      <c r="M2164" t="n">
        <v>0.167</v>
      </c>
    </row>
    <row r="2165" spans="1:13">
      <c r="A2165" s="1">
        <f>HYPERLINK("http://www.twitter.com/NathanBLawrence/status/980408411656515590", "980408411656515590")</f>
        <v/>
      </c>
      <c r="B2165" s="2" t="n">
        <v>43191.48327546296</v>
      </c>
      <c r="C2165" t="n">
        <v>0</v>
      </c>
      <c r="D2165" t="n">
        <v>11018</v>
      </c>
      <c r="E2165" t="s">
        <v>2176</v>
      </c>
      <c r="F2165" t="s"/>
      <c r="G2165" t="s"/>
      <c r="H2165" t="s"/>
      <c r="I2165" t="s"/>
      <c r="J2165" t="n">
        <v>0.7776999999999999</v>
      </c>
      <c r="K2165" t="n">
        <v>0</v>
      </c>
      <c r="L2165" t="n">
        <v>0.772</v>
      </c>
      <c r="M2165" t="n">
        <v>0.228</v>
      </c>
    </row>
    <row r="2166" spans="1:13">
      <c r="A2166" s="1">
        <f>HYPERLINK("http://www.twitter.com/NathanBLawrence/status/980408381939777536", "980408381939777536")</f>
        <v/>
      </c>
      <c r="B2166" s="2" t="n">
        <v>43191.48319444444</v>
      </c>
      <c r="C2166" t="n">
        <v>0</v>
      </c>
      <c r="D2166" t="n">
        <v>1043</v>
      </c>
      <c r="E2166" t="s">
        <v>2177</v>
      </c>
      <c r="F2166" t="s"/>
      <c r="G2166" t="s"/>
      <c r="H2166" t="s"/>
      <c r="I2166" t="s"/>
      <c r="J2166" t="n">
        <v>0.9001</v>
      </c>
      <c r="K2166" t="n">
        <v>0</v>
      </c>
      <c r="L2166" t="n">
        <v>0.5</v>
      </c>
      <c r="M2166" t="n">
        <v>0.5</v>
      </c>
    </row>
    <row r="2167" spans="1:13">
      <c r="A2167" s="1">
        <f>HYPERLINK("http://www.twitter.com/NathanBLawrence/status/980406816763973632", "980406816763973632")</f>
        <v/>
      </c>
      <c r="B2167" s="2" t="n">
        <v>43191.47886574074</v>
      </c>
      <c r="C2167" t="n">
        <v>0</v>
      </c>
      <c r="D2167" t="n">
        <v>176</v>
      </c>
      <c r="E2167" t="s">
        <v>2178</v>
      </c>
      <c r="F2167">
        <f>HYPERLINK("http://pbs.twimg.com/media/DZsGK2MVMAAU2yw.jpg", "http://pbs.twimg.com/media/DZsGK2MVMAAU2yw.jpg")</f>
        <v/>
      </c>
      <c r="G2167" t="s"/>
      <c r="H2167" t="s"/>
      <c r="I2167" t="s"/>
      <c r="J2167" t="n">
        <v>0.6114000000000001</v>
      </c>
      <c r="K2167" t="n">
        <v>0</v>
      </c>
      <c r="L2167" t="n">
        <v>0.556</v>
      </c>
      <c r="M2167" t="n">
        <v>0.444</v>
      </c>
    </row>
    <row r="2168" spans="1:13">
      <c r="A2168" s="1">
        <f>HYPERLINK("http://www.twitter.com/NathanBLawrence/status/980405704640131072", "980405704640131072")</f>
        <v/>
      </c>
      <c r="B2168" s="2" t="n">
        <v>43191.47579861111</v>
      </c>
      <c r="C2168" t="n">
        <v>0</v>
      </c>
      <c r="D2168" t="n">
        <v>201</v>
      </c>
      <c r="E2168" t="s">
        <v>2179</v>
      </c>
      <c r="F2168" t="s"/>
      <c r="G2168" t="s"/>
      <c r="H2168" t="s"/>
      <c r="I2168" t="s"/>
      <c r="J2168" t="n">
        <v>0</v>
      </c>
      <c r="K2168" t="n">
        <v>0</v>
      </c>
      <c r="L2168" t="n">
        <v>1</v>
      </c>
      <c r="M2168" t="n">
        <v>0</v>
      </c>
    </row>
    <row r="2169" spans="1:13">
      <c r="A2169" s="1">
        <f>HYPERLINK("http://www.twitter.com/NathanBLawrence/status/980404603417251840", "980404603417251840")</f>
        <v/>
      </c>
      <c r="B2169" s="2" t="n">
        <v>43191.4727662037</v>
      </c>
      <c r="C2169" t="n">
        <v>0</v>
      </c>
      <c r="D2169" t="n">
        <v>1213</v>
      </c>
      <c r="E2169" t="s">
        <v>2180</v>
      </c>
      <c r="F2169">
        <f>HYPERLINK("http://pbs.twimg.com/media/DZq9WLtWAAAkWLg.jpg", "http://pbs.twimg.com/media/DZq9WLtWAAAkWLg.jpg")</f>
        <v/>
      </c>
      <c r="G2169" t="s"/>
      <c r="H2169" t="s"/>
      <c r="I2169" t="s"/>
      <c r="J2169" t="n">
        <v>0</v>
      </c>
      <c r="K2169" t="n">
        <v>0</v>
      </c>
      <c r="L2169" t="n">
        <v>1</v>
      </c>
      <c r="M2169" t="n">
        <v>0</v>
      </c>
    </row>
    <row r="2170" spans="1:13">
      <c r="A2170" s="1">
        <f>HYPERLINK("http://www.twitter.com/NathanBLawrence/status/980404420243607553", "980404420243607553")</f>
        <v/>
      </c>
      <c r="B2170" s="2" t="n">
        <v>43191.47225694444</v>
      </c>
      <c r="C2170" t="n">
        <v>0</v>
      </c>
      <c r="D2170" t="n">
        <v>4732</v>
      </c>
      <c r="E2170" t="s">
        <v>2181</v>
      </c>
      <c r="F2170">
        <f>HYPERLINK("http://pbs.twimg.com/media/DZsRlJxV4AE7kmB.jpg", "http://pbs.twimg.com/media/DZsRlJxV4AE7kmB.jpg")</f>
        <v/>
      </c>
      <c r="G2170" t="s"/>
      <c r="H2170" t="s"/>
      <c r="I2170" t="s"/>
      <c r="J2170" t="n">
        <v>0.8007</v>
      </c>
      <c r="K2170" t="n">
        <v>0.096</v>
      </c>
      <c r="L2170" t="n">
        <v>0.587</v>
      </c>
      <c r="M2170" t="n">
        <v>0.317</v>
      </c>
    </row>
    <row r="2171" spans="1:13">
      <c r="A2171" s="1">
        <f>HYPERLINK("http://www.twitter.com/NathanBLawrence/status/980404128743608320", "980404128743608320")</f>
        <v/>
      </c>
      <c r="B2171" s="2" t="n">
        <v>43191.47144675926</v>
      </c>
      <c r="C2171" t="n">
        <v>0</v>
      </c>
      <c r="D2171" t="n">
        <v>5901</v>
      </c>
      <c r="E2171" t="s">
        <v>2182</v>
      </c>
      <c r="F2171">
        <f>HYPERLINK("https://video.twimg.com/ext_tw_video/980271232015847425/pu/vid/1280x720/UzuHLVFZdvSuub5t.mp4", "https://video.twimg.com/ext_tw_video/980271232015847425/pu/vid/1280x720/UzuHLVFZdvSuub5t.mp4")</f>
        <v/>
      </c>
      <c r="G2171" t="s"/>
      <c r="H2171" t="s"/>
      <c r="I2171" t="s"/>
      <c r="J2171" t="n">
        <v>0.4265</v>
      </c>
      <c r="K2171" t="n">
        <v>0</v>
      </c>
      <c r="L2171" t="n">
        <v>0.832</v>
      </c>
      <c r="M2171" t="n">
        <v>0.168</v>
      </c>
    </row>
    <row r="2172" spans="1:13">
      <c r="A2172" s="1">
        <f>HYPERLINK("http://www.twitter.com/NathanBLawrence/status/980253808411410433", "980253808411410433")</f>
        <v/>
      </c>
      <c r="B2172" s="2" t="n">
        <v>43191.05664351852</v>
      </c>
      <c r="C2172" t="n">
        <v>0</v>
      </c>
      <c r="D2172" t="n">
        <v>386</v>
      </c>
      <c r="E2172" t="s">
        <v>2183</v>
      </c>
      <c r="F2172">
        <f>HYPERLINK("http://pbs.twimg.com/media/DZqBFr-X4AAWUTd.jpg", "http://pbs.twimg.com/media/DZqBFr-X4AAWUTd.jpg")</f>
        <v/>
      </c>
      <c r="G2172" t="s"/>
      <c r="H2172" t="s"/>
      <c r="I2172" t="s"/>
      <c r="J2172" t="n">
        <v>0</v>
      </c>
      <c r="K2172" t="n">
        <v>0</v>
      </c>
      <c r="L2172" t="n">
        <v>1</v>
      </c>
      <c r="M2172" t="n">
        <v>0</v>
      </c>
    </row>
    <row r="2173" spans="1:13">
      <c r="A2173" s="1">
        <f>HYPERLINK("http://www.twitter.com/NathanBLawrence/status/980253585513566208", "980253585513566208")</f>
        <v/>
      </c>
      <c r="B2173" s="2" t="n">
        <v>43191.05603009259</v>
      </c>
      <c r="C2173" t="n">
        <v>0</v>
      </c>
      <c r="D2173" t="n">
        <v>5440</v>
      </c>
      <c r="E2173" t="s">
        <v>2184</v>
      </c>
      <c r="F2173" t="s"/>
      <c r="G2173" t="s"/>
      <c r="H2173" t="s"/>
      <c r="I2173" t="s"/>
      <c r="J2173" t="n">
        <v>0.3612</v>
      </c>
      <c r="K2173" t="n">
        <v>0</v>
      </c>
      <c r="L2173" t="n">
        <v>0.884</v>
      </c>
      <c r="M2173" t="n">
        <v>0.116</v>
      </c>
    </row>
    <row r="2174" spans="1:13">
      <c r="A2174" s="1">
        <f>HYPERLINK("http://www.twitter.com/NathanBLawrence/status/980253551883702272", "980253551883702272")</f>
        <v/>
      </c>
      <c r="B2174" s="2" t="n">
        <v>43191.0559375</v>
      </c>
      <c r="C2174" t="n">
        <v>0</v>
      </c>
      <c r="D2174" t="n">
        <v>1473</v>
      </c>
      <c r="E2174" t="s">
        <v>2185</v>
      </c>
      <c r="F2174">
        <f>HYPERLINK("http://pbs.twimg.com/media/DZp1ON1WsAIaqEy.jpg", "http://pbs.twimg.com/media/DZp1ON1WsAIaqEy.jpg")</f>
        <v/>
      </c>
      <c r="G2174" t="s"/>
      <c r="H2174" t="s"/>
      <c r="I2174" t="s"/>
      <c r="J2174" t="n">
        <v>0</v>
      </c>
      <c r="K2174" t="n">
        <v>0</v>
      </c>
      <c r="L2174" t="n">
        <v>1</v>
      </c>
      <c r="M2174" t="n">
        <v>0</v>
      </c>
    </row>
    <row r="2175" spans="1:13">
      <c r="A2175" s="1">
        <f>HYPERLINK("http://www.twitter.com/NathanBLawrence/status/980196478865076224", "980196478865076224")</f>
        <v/>
      </c>
      <c r="B2175" s="2" t="n">
        <v>43190.89844907408</v>
      </c>
      <c r="C2175" t="n">
        <v>0</v>
      </c>
      <c r="D2175" t="n">
        <v>126</v>
      </c>
      <c r="E2175" t="s">
        <v>2186</v>
      </c>
      <c r="F2175">
        <f>HYPERLINK("http://pbs.twimg.com/media/DZpEjyGUQAAp_gY.jpg", "http://pbs.twimg.com/media/DZpEjyGUQAAp_gY.jpg")</f>
        <v/>
      </c>
      <c r="G2175" t="s"/>
      <c r="H2175" t="s"/>
      <c r="I2175" t="s"/>
      <c r="J2175" t="n">
        <v>0.876</v>
      </c>
      <c r="K2175" t="n">
        <v>0</v>
      </c>
      <c r="L2175" t="n">
        <v>0.654</v>
      </c>
      <c r="M2175" t="n">
        <v>0.346</v>
      </c>
    </row>
    <row r="2176" spans="1:13">
      <c r="A2176" s="1">
        <f>HYPERLINK("http://www.twitter.com/NathanBLawrence/status/980195959257944065", "980195959257944065")</f>
        <v/>
      </c>
      <c r="B2176" s="2" t="n">
        <v>43190.89701388889</v>
      </c>
      <c r="C2176" t="n">
        <v>0</v>
      </c>
      <c r="D2176" t="n">
        <v>49</v>
      </c>
      <c r="E2176" t="s">
        <v>2187</v>
      </c>
      <c r="F2176">
        <f>HYPERLINK("http://pbs.twimg.com/media/DZpaWhrWkAA9bSM.jpg", "http://pbs.twimg.com/media/DZpaWhrWkAA9bSM.jpg")</f>
        <v/>
      </c>
      <c r="G2176" t="s"/>
      <c r="H2176" t="s"/>
      <c r="I2176" t="s"/>
      <c r="J2176" t="n">
        <v>0</v>
      </c>
      <c r="K2176" t="n">
        <v>0</v>
      </c>
      <c r="L2176" t="n">
        <v>1</v>
      </c>
      <c r="M2176" t="n">
        <v>0</v>
      </c>
    </row>
    <row r="2177" spans="1:13">
      <c r="A2177" s="1">
        <f>HYPERLINK("http://www.twitter.com/NathanBLawrence/status/980195887459852290", "980195887459852290")</f>
        <v/>
      </c>
      <c r="B2177" s="2" t="n">
        <v>43190.89681712963</v>
      </c>
      <c r="C2177" t="n">
        <v>0</v>
      </c>
      <c r="D2177" t="n">
        <v>1178</v>
      </c>
      <c r="E2177" t="s">
        <v>2188</v>
      </c>
      <c r="F2177" t="s"/>
      <c r="G2177" t="s"/>
      <c r="H2177" t="s"/>
      <c r="I2177" t="s"/>
      <c r="J2177" t="n">
        <v>0</v>
      </c>
      <c r="K2177" t="n">
        <v>0</v>
      </c>
      <c r="L2177" t="n">
        <v>1</v>
      </c>
      <c r="M2177" t="n">
        <v>0</v>
      </c>
    </row>
    <row r="2178" spans="1:13">
      <c r="A2178" s="1">
        <f>HYPERLINK("http://www.twitter.com/NathanBLawrence/status/980044568551919616", "980044568551919616")</f>
        <v/>
      </c>
      <c r="B2178" s="2" t="n">
        <v>43190.47925925926</v>
      </c>
      <c r="C2178" t="n">
        <v>0</v>
      </c>
      <c r="D2178" t="n">
        <v>31</v>
      </c>
      <c r="E2178" t="s">
        <v>2189</v>
      </c>
      <c r="F2178" t="s"/>
      <c r="G2178" t="s"/>
      <c r="H2178" t="s"/>
      <c r="I2178" t="s"/>
      <c r="J2178" t="n">
        <v>-0.765</v>
      </c>
      <c r="K2178" t="n">
        <v>0.337</v>
      </c>
      <c r="L2178" t="n">
        <v>0.663</v>
      </c>
      <c r="M2178" t="n">
        <v>0</v>
      </c>
    </row>
    <row r="2179" spans="1:13">
      <c r="A2179" s="1">
        <f>HYPERLINK("http://www.twitter.com/NathanBLawrence/status/979869680595857409", "979869680595857409")</f>
        <v/>
      </c>
      <c r="B2179" s="2" t="n">
        <v>43189.99665509259</v>
      </c>
      <c r="C2179" t="n">
        <v>0</v>
      </c>
      <c r="D2179" t="n">
        <v>1879</v>
      </c>
      <c r="E2179" t="s">
        <v>2190</v>
      </c>
      <c r="F2179" t="s"/>
      <c r="G2179" t="s"/>
      <c r="H2179" t="s"/>
      <c r="I2179" t="s"/>
      <c r="J2179" t="n">
        <v>-0.6249</v>
      </c>
      <c r="K2179" t="n">
        <v>0.195</v>
      </c>
      <c r="L2179" t="n">
        <v>0.805</v>
      </c>
      <c r="M2179" t="n">
        <v>0</v>
      </c>
    </row>
    <row r="2180" spans="1:13">
      <c r="A2180" s="1">
        <f>HYPERLINK("http://www.twitter.com/NathanBLawrence/status/979869575675334656", "979869575675334656")</f>
        <v/>
      </c>
      <c r="B2180" s="2" t="n">
        <v>43189.99636574074</v>
      </c>
      <c r="C2180" t="n">
        <v>0</v>
      </c>
      <c r="D2180" t="n">
        <v>204</v>
      </c>
      <c r="E2180" t="s">
        <v>2191</v>
      </c>
      <c r="F2180" t="s"/>
      <c r="G2180" t="s"/>
      <c r="H2180" t="s"/>
      <c r="I2180" t="s"/>
      <c r="J2180" t="n">
        <v>-0.3818</v>
      </c>
      <c r="K2180" t="n">
        <v>0.252</v>
      </c>
      <c r="L2180" t="n">
        <v>0.619</v>
      </c>
      <c r="M2180" t="n">
        <v>0.129</v>
      </c>
    </row>
    <row r="2181" spans="1:13">
      <c r="A2181" s="1">
        <f>HYPERLINK("http://www.twitter.com/NathanBLawrence/status/979869454900322305", "979869454900322305")</f>
        <v/>
      </c>
      <c r="B2181" s="2" t="n">
        <v>43189.9960300926</v>
      </c>
      <c r="C2181" t="n">
        <v>0</v>
      </c>
      <c r="D2181" t="n">
        <v>217</v>
      </c>
      <c r="E2181" t="s">
        <v>2192</v>
      </c>
      <c r="F2181">
        <f>HYPERLINK("http://pbs.twimg.com/media/DZktTDuU0AEHYMA.jpg", "http://pbs.twimg.com/media/DZktTDuU0AEHYMA.jpg")</f>
        <v/>
      </c>
      <c r="G2181" t="s"/>
      <c r="H2181" t="s"/>
      <c r="I2181" t="s"/>
      <c r="J2181" t="n">
        <v>0.128</v>
      </c>
      <c r="K2181" t="n">
        <v>0.127</v>
      </c>
      <c r="L2181" t="n">
        <v>0.679</v>
      </c>
      <c r="M2181" t="n">
        <v>0.195</v>
      </c>
    </row>
    <row r="2182" spans="1:13">
      <c r="A2182" s="1">
        <f>HYPERLINK("http://www.twitter.com/NathanBLawrence/status/979869295344803846", "979869295344803846")</f>
        <v/>
      </c>
      <c r="B2182" s="2" t="n">
        <v>43189.99559027778</v>
      </c>
      <c r="C2182" t="n">
        <v>0</v>
      </c>
      <c r="D2182" t="n">
        <v>2243</v>
      </c>
      <c r="E2182" t="s">
        <v>2193</v>
      </c>
      <c r="F2182">
        <f>HYPERLINK("https://video.twimg.com/ext_tw_video/976857394054684672/pu/vid/1280x720/amiSWkJ29JP8o6ft.mp4", "https://video.twimg.com/ext_tw_video/976857394054684672/pu/vid/1280x720/amiSWkJ29JP8o6ft.mp4")</f>
        <v/>
      </c>
      <c r="G2182" t="s"/>
      <c r="H2182" t="s"/>
      <c r="I2182" t="s"/>
      <c r="J2182" t="n">
        <v>-0.5574</v>
      </c>
      <c r="K2182" t="n">
        <v>0.159</v>
      </c>
      <c r="L2182" t="n">
        <v>0.841</v>
      </c>
      <c r="M2182" t="n">
        <v>0</v>
      </c>
    </row>
    <row r="2183" spans="1:13">
      <c r="A2183" s="1">
        <f>HYPERLINK("http://www.twitter.com/NathanBLawrence/status/979751263658283008", "979751263658283008")</f>
        <v/>
      </c>
      <c r="B2183" s="2" t="n">
        <v>43189.66988425926</v>
      </c>
      <c r="C2183" t="n">
        <v>0</v>
      </c>
      <c r="D2183" t="n">
        <v>168</v>
      </c>
      <c r="E2183" t="s">
        <v>2194</v>
      </c>
      <c r="F2183" t="s"/>
      <c r="G2183" t="s"/>
      <c r="H2183" t="s"/>
      <c r="I2183" t="s"/>
      <c r="J2183" t="n">
        <v>0.7096</v>
      </c>
      <c r="K2183" t="n">
        <v>0</v>
      </c>
      <c r="L2183" t="n">
        <v>0.742</v>
      </c>
      <c r="M2183" t="n">
        <v>0.258</v>
      </c>
    </row>
    <row r="2184" spans="1:13">
      <c r="A2184" s="1">
        <f>HYPERLINK("http://www.twitter.com/NathanBLawrence/status/979751108053790720", "979751108053790720")</f>
        <v/>
      </c>
      <c r="B2184" s="2" t="n">
        <v>43189.66945601852</v>
      </c>
      <c r="C2184" t="n">
        <v>0</v>
      </c>
      <c r="D2184" t="n">
        <v>229</v>
      </c>
      <c r="E2184" t="s">
        <v>2195</v>
      </c>
      <c r="F2184">
        <f>HYPERLINK("http://pbs.twimg.com/media/DZiw9iSVwAE4EYQ.jpg", "http://pbs.twimg.com/media/DZiw9iSVwAE4EYQ.jpg")</f>
        <v/>
      </c>
      <c r="G2184" t="s"/>
      <c r="H2184" t="s"/>
      <c r="I2184" t="s"/>
      <c r="J2184" t="n">
        <v>0.8743</v>
      </c>
      <c r="K2184" t="n">
        <v>0</v>
      </c>
      <c r="L2184" t="n">
        <v>0.654</v>
      </c>
      <c r="M2184" t="n">
        <v>0.346</v>
      </c>
    </row>
    <row r="2185" spans="1:13">
      <c r="A2185" s="1">
        <f>HYPERLINK("http://www.twitter.com/NathanBLawrence/status/979735287059439616", "979735287059439616")</f>
        <v/>
      </c>
      <c r="B2185" s="2" t="n">
        <v>43189.62579861111</v>
      </c>
      <c r="C2185" t="n">
        <v>0</v>
      </c>
      <c r="D2185" t="n">
        <v>12</v>
      </c>
      <c r="E2185" t="s">
        <v>2196</v>
      </c>
      <c r="F2185" t="s"/>
      <c r="G2185" t="s"/>
      <c r="H2185" t="s"/>
      <c r="I2185" t="s"/>
      <c r="J2185" t="n">
        <v>0.5859</v>
      </c>
      <c r="K2185" t="n">
        <v>0</v>
      </c>
      <c r="L2185" t="n">
        <v>0.826</v>
      </c>
      <c r="M2185" t="n">
        <v>0.174</v>
      </c>
    </row>
    <row r="2186" spans="1:13">
      <c r="A2186" s="1">
        <f>HYPERLINK("http://www.twitter.com/NathanBLawrence/status/979733672235618304", "979733672235618304")</f>
        <v/>
      </c>
      <c r="B2186" s="2" t="n">
        <v>43189.6213425926</v>
      </c>
      <c r="C2186" t="n">
        <v>0</v>
      </c>
      <c r="D2186" t="n">
        <v>264</v>
      </c>
      <c r="E2186" t="s">
        <v>2197</v>
      </c>
      <c r="F2186" t="s"/>
      <c r="G2186" t="s"/>
      <c r="H2186" t="s"/>
      <c r="I2186" t="s"/>
      <c r="J2186" t="n">
        <v>0.3595</v>
      </c>
      <c r="K2186" t="n">
        <v>0</v>
      </c>
      <c r="L2186" t="n">
        <v>0.898</v>
      </c>
      <c r="M2186" t="n">
        <v>0.102</v>
      </c>
    </row>
    <row r="2187" spans="1:13">
      <c r="A2187" s="1">
        <f>HYPERLINK("http://www.twitter.com/NathanBLawrence/status/979733000530382849", "979733000530382849")</f>
        <v/>
      </c>
      <c r="B2187" s="2" t="n">
        <v>43189.61949074074</v>
      </c>
      <c r="C2187" t="n">
        <v>0</v>
      </c>
      <c r="D2187" t="n">
        <v>566</v>
      </c>
      <c r="E2187" t="s">
        <v>2198</v>
      </c>
      <c r="F2187" t="s"/>
      <c r="G2187" t="s"/>
      <c r="H2187" t="s"/>
      <c r="I2187" t="s"/>
      <c r="J2187" t="n">
        <v>0.296</v>
      </c>
      <c r="K2187" t="n">
        <v>0.117</v>
      </c>
      <c r="L2187" t="n">
        <v>0.6820000000000001</v>
      </c>
      <c r="M2187" t="n">
        <v>0.201</v>
      </c>
    </row>
    <row r="2188" spans="1:13">
      <c r="A2188" s="1">
        <f>HYPERLINK("http://www.twitter.com/NathanBLawrence/status/979731093829095424", "979731093829095424")</f>
        <v/>
      </c>
      <c r="B2188" s="2" t="n">
        <v>43189.61422453704</v>
      </c>
      <c r="C2188" t="n">
        <v>0</v>
      </c>
      <c r="D2188" t="n">
        <v>76</v>
      </c>
      <c r="E2188" t="s">
        <v>2199</v>
      </c>
      <c r="F2188">
        <f>HYPERLINK("http://pbs.twimg.com/media/DZivzBgXkAA6KbV.jpg", "http://pbs.twimg.com/media/DZivzBgXkAA6KbV.jpg")</f>
        <v/>
      </c>
      <c r="G2188" t="s"/>
      <c r="H2188" t="s"/>
      <c r="I2188" t="s"/>
      <c r="J2188" t="n">
        <v>0.5859</v>
      </c>
      <c r="K2188" t="n">
        <v>0</v>
      </c>
      <c r="L2188" t="n">
        <v>0.806</v>
      </c>
      <c r="M2188" t="n">
        <v>0.194</v>
      </c>
    </row>
    <row r="2189" spans="1:13">
      <c r="A2189" s="1">
        <f>HYPERLINK("http://www.twitter.com/NathanBLawrence/status/979730692530671616", "979730692530671616")</f>
        <v/>
      </c>
      <c r="B2189" s="2" t="n">
        <v>43189.613125</v>
      </c>
      <c r="C2189" t="n">
        <v>0</v>
      </c>
      <c r="D2189" t="n">
        <v>157</v>
      </c>
      <c r="E2189" t="s">
        <v>2200</v>
      </c>
      <c r="F2189">
        <f>HYPERLINK("http://pbs.twimg.com/media/DZiwKcHW4AIe_Ze.jpg", "http://pbs.twimg.com/media/DZiwKcHW4AIe_Ze.jpg")</f>
        <v/>
      </c>
      <c r="G2189" t="s"/>
      <c r="H2189" t="s"/>
      <c r="I2189" t="s"/>
      <c r="J2189" t="n">
        <v>0</v>
      </c>
      <c r="K2189" t="n">
        <v>0</v>
      </c>
      <c r="L2189" t="n">
        <v>1</v>
      </c>
      <c r="M2189" t="n">
        <v>0</v>
      </c>
    </row>
    <row r="2190" spans="1:13">
      <c r="A2190" s="1">
        <f>HYPERLINK("http://www.twitter.com/NathanBLawrence/status/979729414887018496", "979729414887018496")</f>
        <v/>
      </c>
      <c r="B2190" s="2" t="n">
        <v>43189.60959490741</v>
      </c>
      <c r="C2190" t="n">
        <v>0</v>
      </c>
      <c r="D2190" t="n">
        <v>205</v>
      </c>
      <c r="E2190" t="s">
        <v>2201</v>
      </c>
      <c r="F2190">
        <f>HYPERLINK("http://pbs.twimg.com/media/DZixUX4W4AATkQj.jpg", "http://pbs.twimg.com/media/DZixUX4W4AATkQj.jpg")</f>
        <v/>
      </c>
      <c r="G2190" t="s"/>
      <c r="H2190" t="s"/>
      <c r="I2190" t="s"/>
      <c r="J2190" t="n">
        <v>0</v>
      </c>
      <c r="K2190" t="n">
        <v>0</v>
      </c>
      <c r="L2190" t="n">
        <v>1</v>
      </c>
      <c r="M2190" t="n">
        <v>0</v>
      </c>
    </row>
    <row r="2191" spans="1:13">
      <c r="A2191" s="1">
        <f>HYPERLINK("http://www.twitter.com/NathanBLawrence/status/979728389564239873", "979728389564239873")</f>
        <v/>
      </c>
      <c r="B2191" s="2" t="n">
        <v>43189.60677083334</v>
      </c>
      <c r="C2191" t="n">
        <v>0</v>
      </c>
      <c r="D2191" t="n">
        <v>12</v>
      </c>
      <c r="E2191" t="s">
        <v>2202</v>
      </c>
      <c r="F2191">
        <f>HYPERLINK("http://pbs.twimg.com/media/DZiu39QXUAEHEfS.jpg", "http://pbs.twimg.com/media/DZiu39QXUAEHEfS.jpg")</f>
        <v/>
      </c>
      <c r="G2191" t="s"/>
      <c r="H2191" t="s"/>
      <c r="I2191" t="s"/>
      <c r="J2191" t="n">
        <v>0</v>
      </c>
      <c r="K2191" t="n">
        <v>0</v>
      </c>
      <c r="L2191" t="n">
        <v>1</v>
      </c>
      <c r="M2191" t="n">
        <v>0</v>
      </c>
    </row>
    <row r="2192" spans="1:13">
      <c r="A2192" s="1">
        <f>HYPERLINK("http://www.twitter.com/NathanBLawrence/status/979725786235236352", "979725786235236352")</f>
        <v/>
      </c>
      <c r="B2192" s="2" t="n">
        <v>43189.59958333334</v>
      </c>
      <c r="C2192" t="n">
        <v>0</v>
      </c>
      <c r="D2192" t="n">
        <v>6337</v>
      </c>
      <c r="E2192" t="s">
        <v>2203</v>
      </c>
      <c r="F2192">
        <f>HYPERLINK("https://video.twimg.com/amplify_video/979367535299592193/vid/1280x720/WWrfDV3xF1fHu6kH.mp4", "https://video.twimg.com/amplify_video/979367535299592193/vid/1280x720/WWrfDV3xF1fHu6kH.mp4")</f>
        <v/>
      </c>
      <c r="G2192" t="s"/>
      <c r="H2192" t="s"/>
      <c r="I2192" t="s"/>
      <c r="J2192" t="n">
        <v>0.9337</v>
      </c>
      <c r="K2192" t="n">
        <v>0</v>
      </c>
      <c r="L2192" t="n">
        <v>0.547</v>
      </c>
      <c r="M2192" t="n">
        <v>0.453</v>
      </c>
    </row>
    <row r="2193" spans="1:13">
      <c r="A2193" s="1">
        <f>HYPERLINK("http://www.twitter.com/NathanBLawrence/status/979723781353689088", "979723781353689088")</f>
        <v/>
      </c>
      <c r="B2193" s="2" t="n">
        <v>43189.59405092592</v>
      </c>
      <c r="C2193" t="n">
        <v>0</v>
      </c>
      <c r="D2193" t="n">
        <v>319</v>
      </c>
      <c r="E2193" t="s">
        <v>2204</v>
      </c>
      <c r="F2193">
        <f>HYPERLINK("http://pbs.twimg.com/media/DZirPqtWAAIoP6E.jpg", "http://pbs.twimg.com/media/DZirPqtWAAIoP6E.jpg")</f>
        <v/>
      </c>
      <c r="G2193" t="s"/>
      <c r="H2193" t="s"/>
      <c r="I2193" t="s"/>
      <c r="J2193" t="n">
        <v>0.296</v>
      </c>
      <c r="K2193" t="n">
        <v>0</v>
      </c>
      <c r="L2193" t="n">
        <v>0.872</v>
      </c>
      <c r="M2193" t="n">
        <v>0.128</v>
      </c>
    </row>
    <row r="2194" spans="1:13">
      <c r="A2194" s="1">
        <f>HYPERLINK("http://www.twitter.com/NathanBLawrence/status/979722713899110400", "979722713899110400")</f>
        <v/>
      </c>
      <c r="B2194" s="2" t="n">
        <v>43189.59111111111</v>
      </c>
      <c r="C2194" t="n">
        <v>0</v>
      </c>
      <c r="D2194" t="n">
        <v>957</v>
      </c>
      <c r="E2194" t="s">
        <v>2205</v>
      </c>
      <c r="F2194">
        <f>HYPERLINK("http://pbs.twimg.com/media/DZUZxiSU8AAnvxU.jpg", "http://pbs.twimg.com/media/DZUZxiSU8AAnvxU.jpg")</f>
        <v/>
      </c>
      <c r="G2194" t="s"/>
      <c r="H2194" t="s"/>
      <c r="I2194" t="s"/>
      <c r="J2194" t="n">
        <v>0</v>
      </c>
      <c r="K2194" t="n">
        <v>0</v>
      </c>
      <c r="L2194" t="n">
        <v>1</v>
      </c>
      <c r="M2194" t="n">
        <v>0</v>
      </c>
    </row>
    <row r="2195" spans="1:13">
      <c r="A2195" s="1">
        <f>HYPERLINK("http://www.twitter.com/NathanBLawrence/status/979721954595885056", "979721954595885056")</f>
        <v/>
      </c>
      <c r="B2195" s="2" t="n">
        <v>43189.58900462963</v>
      </c>
      <c r="C2195" t="n">
        <v>0</v>
      </c>
      <c r="D2195" t="n">
        <v>138</v>
      </c>
      <c r="E2195" t="s">
        <v>2206</v>
      </c>
      <c r="F2195">
        <f>HYPERLINK("http://pbs.twimg.com/media/DZintrlWkAARsGv.jpg", "http://pbs.twimg.com/media/DZintrlWkAARsGv.jpg")</f>
        <v/>
      </c>
      <c r="G2195" t="s"/>
      <c r="H2195" t="s"/>
      <c r="I2195" t="s"/>
      <c r="J2195" t="n">
        <v>-0.8434</v>
      </c>
      <c r="K2195" t="n">
        <v>0.335</v>
      </c>
      <c r="L2195" t="n">
        <v>0.665</v>
      </c>
      <c r="M2195" t="n">
        <v>0</v>
      </c>
    </row>
    <row r="2196" spans="1:13">
      <c r="A2196" s="1">
        <f>HYPERLINK("http://www.twitter.com/NathanBLawrence/status/979718003452448768", "979718003452448768")</f>
        <v/>
      </c>
      <c r="B2196" s="2" t="n">
        <v>43189.57810185185</v>
      </c>
      <c r="C2196" t="n">
        <v>0</v>
      </c>
      <c r="D2196" t="n">
        <v>6170</v>
      </c>
      <c r="E2196" t="s">
        <v>2207</v>
      </c>
      <c r="F2196">
        <f>HYPERLINK("http://pbs.twimg.com/media/DZVSZ2tVMAADYsB.jpg", "http://pbs.twimg.com/media/DZVSZ2tVMAADYsB.jpg")</f>
        <v/>
      </c>
      <c r="G2196">
        <f>HYPERLINK("http://pbs.twimg.com/media/DZVSZ2hU8AAcphC.jpg", "http://pbs.twimg.com/media/DZVSZ2hU8AAcphC.jpg")</f>
        <v/>
      </c>
      <c r="H2196" t="s"/>
      <c r="I2196" t="s"/>
      <c r="J2196" t="n">
        <v>0.802</v>
      </c>
      <c r="K2196" t="n">
        <v>0</v>
      </c>
      <c r="L2196" t="n">
        <v>0.709</v>
      </c>
      <c r="M2196" t="n">
        <v>0.291</v>
      </c>
    </row>
    <row r="2197" spans="1:13">
      <c r="A2197" s="1">
        <f>HYPERLINK("http://www.twitter.com/NathanBLawrence/status/979717841506185217", "979717841506185217")</f>
        <v/>
      </c>
      <c r="B2197" s="2" t="n">
        <v>43189.57766203704</v>
      </c>
      <c r="C2197" t="n">
        <v>0</v>
      </c>
      <c r="D2197" t="n">
        <v>58</v>
      </c>
      <c r="E2197" t="s">
        <v>2208</v>
      </c>
      <c r="F2197">
        <f>HYPERLINK("http://pbs.twimg.com/media/DZilOGSWkAAH3jA.jpg", "http://pbs.twimg.com/media/DZilOGSWkAAH3jA.jpg")</f>
        <v/>
      </c>
      <c r="G2197" t="s"/>
      <c r="H2197" t="s"/>
      <c r="I2197" t="s"/>
      <c r="J2197" t="n">
        <v>0.5473</v>
      </c>
      <c r="K2197" t="n">
        <v>0</v>
      </c>
      <c r="L2197" t="n">
        <v>0.822</v>
      </c>
      <c r="M2197" t="n">
        <v>0.178</v>
      </c>
    </row>
    <row r="2198" spans="1:13">
      <c r="A2198" s="1">
        <f>HYPERLINK("http://www.twitter.com/NathanBLawrence/status/979717739819528192", "979717739819528192")</f>
        <v/>
      </c>
      <c r="B2198" s="2" t="n">
        <v>43189.57738425926</v>
      </c>
      <c r="C2198" t="n">
        <v>0</v>
      </c>
      <c r="D2198" t="n">
        <v>118</v>
      </c>
      <c r="E2198" t="s">
        <v>2209</v>
      </c>
      <c r="F2198">
        <f>HYPERLINK("http://pbs.twimg.com/media/DZiPrt6XUAE1t3R.jpg", "http://pbs.twimg.com/media/DZiPrt6XUAE1t3R.jpg")</f>
        <v/>
      </c>
      <c r="G2198" t="s"/>
      <c r="H2198" t="s"/>
      <c r="I2198" t="s"/>
      <c r="J2198" t="n">
        <v>0</v>
      </c>
      <c r="K2198" t="n">
        <v>0</v>
      </c>
      <c r="L2198" t="n">
        <v>1</v>
      </c>
      <c r="M2198" t="n">
        <v>0</v>
      </c>
    </row>
    <row r="2199" spans="1:13">
      <c r="A2199" s="1">
        <f>HYPERLINK("http://www.twitter.com/NathanBLawrence/status/979716801474031618", "979716801474031618")</f>
        <v/>
      </c>
      <c r="B2199" s="2" t="n">
        <v>43189.57479166667</v>
      </c>
      <c r="C2199" t="n">
        <v>0</v>
      </c>
      <c r="D2199" t="n">
        <v>267</v>
      </c>
      <c r="E2199" t="s">
        <v>2210</v>
      </c>
      <c r="F2199">
        <f>HYPERLINK("http://pbs.twimg.com/media/DZil4p3W4AEQ3pN.jpg", "http://pbs.twimg.com/media/DZil4p3W4AEQ3pN.jpg")</f>
        <v/>
      </c>
      <c r="G2199" t="s"/>
      <c r="H2199" t="s"/>
      <c r="I2199" t="s"/>
      <c r="J2199" t="n">
        <v>-0.1027</v>
      </c>
      <c r="K2199" t="n">
        <v>0.07199999999999999</v>
      </c>
      <c r="L2199" t="n">
        <v>0.928</v>
      </c>
      <c r="M2199" t="n">
        <v>0</v>
      </c>
    </row>
    <row r="2200" spans="1:13">
      <c r="A2200" s="1">
        <f>HYPERLINK("http://www.twitter.com/NathanBLawrence/status/979715969282134018", "979715969282134018")</f>
        <v/>
      </c>
      <c r="B2200" s="2" t="n">
        <v>43189.57248842593</v>
      </c>
      <c r="C2200" t="n">
        <v>0</v>
      </c>
      <c r="D2200" t="n">
        <v>96</v>
      </c>
      <c r="E2200" t="s">
        <v>2211</v>
      </c>
      <c r="F2200">
        <f>HYPERLINK("http://pbs.twimg.com/media/DZidiZYXkAEuAa6.jpg", "http://pbs.twimg.com/media/DZidiZYXkAEuAa6.jpg")</f>
        <v/>
      </c>
      <c r="G2200" t="s"/>
      <c r="H2200" t="s"/>
      <c r="I2200" t="s"/>
      <c r="J2200" t="n">
        <v>-0.2023</v>
      </c>
      <c r="K2200" t="n">
        <v>0.22</v>
      </c>
      <c r="L2200" t="n">
        <v>0.6</v>
      </c>
      <c r="M2200" t="n">
        <v>0.18</v>
      </c>
    </row>
    <row r="2201" spans="1:13">
      <c r="A2201" s="1">
        <f>HYPERLINK("http://www.twitter.com/NathanBLawrence/status/979713508572127233", "979713508572127233")</f>
        <v/>
      </c>
      <c r="B2201" s="2" t="n">
        <v>43189.56570601852</v>
      </c>
      <c r="C2201" t="n">
        <v>0</v>
      </c>
      <c r="D2201" t="n">
        <v>152</v>
      </c>
      <c r="E2201" t="s">
        <v>2212</v>
      </c>
      <c r="F2201">
        <f>HYPERLINK("https://video.twimg.com/ext_tw_video/979706902362783744/pu/vid/640x360/OHMhDQZUvYajIsM4.mp4", "https://video.twimg.com/ext_tw_video/979706902362783744/pu/vid/640x360/OHMhDQZUvYajIsM4.mp4")</f>
        <v/>
      </c>
      <c r="G2201" t="s"/>
      <c r="H2201" t="s"/>
      <c r="I2201" t="s"/>
      <c r="J2201" t="n">
        <v>-0.8834</v>
      </c>
      <c r="K2201" t="n">
        <v>0.534</v>
      </c>
      <c r="L2201" t="n">
        <v>0.466</v>
      </c>
      <c r="M2201" t="n">
        <v>0</v>
      </c>
    </row>
    <row r="2202" spans="1:13">
      <c r="A2202" s="1">
        <f>HYPERLINK("http://www.twitter.com/NathanBLawrence/status/979712650446888960", "979712650446888960")</f>
        <v/>
      </c>
      <c r="B2202" s="2" t="n">
        <v>43189.56333333333</v>
      </c>
      <c r="C2202" t="n">
        <v>0</v>
      </c>
      <c r="D2202" t="n">
        <v>781</v>
      </c>
      <c r="E2202" t="s">
        <v>2213</v>
      </c>
      <c r="F2202">
        <f>HYPERLINK("http://pbs.twimg.com/media/DZigUxbVoAAz5fD.jpg", "http://pbs.twimg.com/media/DZigUxbVoAAz5fD.jpg")</f>
        <v/>
      </c>
      <c r="G2202" t="s"/>
      <c r="H2202" t="s"/>
      <c r="I2202" t="s"/>
      <c r="J2202" t="n">
        <v>0.9379</v>
      </c>
      <c r="K2202" t="n">
        <v>0</v>
      </c>
      <c r="L2202" t="n">
        <v>0.524</v>
      </c>
      <c r="M2202" t="n">
        <v>0.476</v>
      </c>
    </row>
    <row r="2203" spans="1:13">
      <c r="A2203" s="1">
        <f>HYPERLINK("http://www.twitter.com/NathanBLawrence/status/979710771172126720", "979710771172126720")</f>
        <v/>
      </c>
      <c r="B2203" s="2" t="n">
        <v>43189.55814814815</v>
      </c>
      <c r="C2203" t="n">
        <v>0</v>
      </c>
      <c r="D2203" t="n">
        <v>386</v>
      </c>
      <c r="E2203" t="s">
        <v>2214</v>
      </c>
      <c r="F2203">
        <f>HYPERLINK("https://video.twimg.com/amplify_video/979683508565225473/vid/1280x720/ZyqCLgzUOpKKv-FY.mp4", "https://video.twimg.com/amplify_video/979683508565225473/vid/1280x720/ZyqCLgzUOpKKv-FY.mp4")</f>
        <v/>
      </c>
      <c r="G2203" t="s"/>
      <c r="H2203" t="s"/>
      <c r="I2203" t="s"/>
      <c r="J2203" t="n">
        <v>0</v>
      </c>
      <c r="K2203" t="n">
        <v>0</v>
      </c>
      <c r="L2203" t="n">
        <v>1</v>
      </c>
      <c r="M2203" t="n">
        <v>0</v>
      </c>
    </row>
    <row r="2204" spans="1:13">
      <c r="A2204" s="1">
        <f>HYPERLINK("http://www.twitter.com/NathanBLawrence/status/979709628501188608", "979709628501188608")</f>
        <v/>
      </c>
      <c r="B2204" s="2" t="n">
        <v>43189.555</v>
      </c>
      <c r="C2204" t="n">
        <v>0</v>
      </c>
      <c r="D2204" t="n">
        <v>109</v>
      </c>
      <c r="E2204" t="s">
        <v>2215</v>
      </c>
      <c r="F2204">
        <f>HYPERLINK("http://pbs.twimg.com/media/DZhk7aJWAAAUYQT.jpg", "http://pbs.twimg.com/media/DZhk7aJWAAAUYQT.jpg")</f>
        <v/>
      </c>
      <c r="G2204" t="s"/>
      <c r="H2204" t="s"/>
      <c r="I2204" t="s"/>
      <c r="J2204" t="n">
        <v>-0.836</v>
      </c>
      <c r="K2204" t="n">
        <v>0.279</v>
      </c>
      <c r="L2204" t="n">
        <v>0.721</v>
      </c>
      <c r="M2204" t="n">
        <v>0</v>
      </c>
    </row>
    <row r="2205" spans="1:13">
      <c r="A2205" s="1">
        <f>HYPERLINK("http://www.twitter.com/NathanBLawrence/status/979566975147012096", "979566975147012096")</f>
        <v/>
      </c>
      <c r="B2205" s="2" t="n">
        <v>43189.16135416667</v>
      </c>
      <c r="C2205" t="n">
        <v>0</v>
      </c>
      <c r="D2205" t="n">
        <v>692</v>
      </c>
      <c r="E2205" t="s">
        <v>2216</v>
      </c>
      <c r="F2205" t="s"/>
      <c r="G2205" t="s"/>
      <c r="H2205" t="s"/>
      <c r="I2205" t="s"/>
      <c r="J2205" t="n">
        <v>-0.3818</v>
      </c>
      <c r="K2205" t="n">
        <v>0.206</v>
      </c>
      <c r="L2205" t="n">
        <v>0.794</v>
      </c>
      <c r="M2205" t="n">
        <v>0</v>
      </c>
    </row>
    <row r="2206" spans="1:13">
      <c r="A2206" s="1">
        <f>HYPERLINK("http://www.twitter.com/NathanBLawrence/status/979566065775718400", "979566065775718400")</f>
        <v/>
      </c>
      <c r="B2206" s="2" t="n">
        <v>43189.15884259259</v>
      </c>
      <c r="C2206" t="n">
        <v>0</v>
      </c>
      <c r="D2206" t="n">
        <v>307</v>
      </c>
      <c r="E2206" t="s">
        <v>2217</v>
      </c>
      <c r="F2206" t="s"/>
      <c r="G2206" t="s"/>
      <c r="H2206" t="s"/>
      <c r="I2206" t="s"/>
      <c r="J2206" t="n">
        <v>0.0521</v>
      </c>
      <c r="K2206" t="n">
        <v>0.119</v>
      </c>
      <c r="L2206" t="n">
        <v>0.754</v>
      </c>
      <c r="M2206" t="n">
        <v>0.127</v>
      </c>
    </row>
    <row r="2207" spans="1:13">
      <c r="A2207" s="1">
        <f>HYPERLINK("http://www.twitter.com/NathanBLawrence/status/979565692876976128", "979565692876976128")</f>
        <v/>
      </c>
      <c r="B2207" s="2" t="n">
        <v>43189.1578125</v>
      </c>
      <c r="C2207" t="n">
        <v>0</v>
      </c>
      <c r="D2207" t="n">
        <v>188</v>
      </c>
      <c r="E2207" t="s">
        <v>2218</v>
      </c>
      <c r="F2207">
        <f>HYPERLINK("http://pbs.twimg.com/media/DZfRQKnVoAA7XmL.jpg", "http://pbs.twimg.com/media/DZfRQKnVoAA7XmL.jpg")</f>
        <v/>
      </c>
      <c r="G2207" t="s"/>
      <c r="H2207" t="s"/>
      <c r="I2207" t="s"/>
      <c r="J2207" t="n">
        <v>0</v>
      </c>
      <c r="K2207" t="n">
        <v>0</v>
      </c>
      <c r="L2207" t="n">
        <v>1</v>
      </c>
      <c r="M2207" t="n">
        <v>0</v>
      </c>
    </row>
    <row r="2208" spans="1:13">
      <c r="A2208" s="1">
        <f>HYPERLINK("http://www.twitter.com/NathanBLawrence/status/979565157214015488", "979565157214015488")</f>
        <v/>
      </c>
      <c r="B2208" s="2" t="n">
        <v>43189.15633101852</v>
      </c>
      <c r="C2208" t="n">
        <v>0</v>
      </c>
      <c r="D2208" t="n">
        <v>2675</v>
      </c>
      <c r="E2208" t="s">
        <v>2219</v>
      </c>
      <c r="F2208" t="s"/>
      <c r="G2208" t="s"/>
      <c r="H2208" t="s"/>
      <c r="I2208" t="s"/>
      <c r="J2208" t="n">
        <v>-0.128</v>
      </c>
      <c r="K2208" t="n">
        <v>0.154</v>
      </c>
      <c r="L2208" t="n">
        <v>0.672</v>
      </c>
      <c r="M2208" t="n">
        <v>0.174</v>
      </c>
    </row>
    <row r="2209" spans="1:13">
      <c r="A2209" s="1">
        <f>HYPERLINK("http://www.twitter.com/NathanBLawrence/status/979564937617002496", "979564937617002496")</f>
        <v/>
      </c>
      <c r="B2209" s="2" t="n">
        <v>43189.15572916667</v>
      </c>
      <c r="C2209" t="n">
        <v>0</v>
      </c>
      <c r="D2209" t="n">
        <v>295</v>
      </c>
      <c r="E2209" t="s">
        <v>2220</v>
      </c>
      <c r="F2209" t="s"/>
      <c r="G2209" t="s"/>
      <c r="H2209" t="s"/>
      <c r="I2209" t="s"/>
      <c r="J2209" t="n">
        <v>0.6948</v>
      </c>
      <c r="K2209" t="n">
        <v>0</v>
      </c>
      <c r="L2209" t="n">
        <v>0.8</v>
      </c>
      <c r="M2209" t="n">
        <v>0.2</v>
      </c>
    </row>
    <row r="2210" spans="1:13">
      <c r="A2210" s="1">
        <f>HYPERLINK("http://www.twitter.com/NathanBLawrence/status/979564823439708160", "979564823439708160")</f>
        <v/>
      </c>
      <c r="B2210" s="2" t="n">
        <v>43189.15540509259</v>
      </c>
      <c r="C2210" t="n">
        <v>0</v>
      </c>
      <c r="D2210" t="n">
        <v>523</v>
      </c>
      <c r="E2210" t="s">
        <v>2221</v>
      </c>
      <c r="F2210" t="s"/>
      <c r="G2210" t="s"/>
      <c r="H2210" t="s"/>
      <c r="I2210" t="s"/>
      <c r="J2210" t="n">
        <v>0</v>
      </c>
      <c r="K2210" t="n">
        <v>0</v>
      </c>
      <c r="L2210" t="n">
        <v>1</v>
      </c>
      <c r="M2210" t="n">
        <v>0</v>
      </c>
    </row>
    <row r="2211" spans="1:13">
      <c r="A2211" s="1">
        <f>HYPERLINK("http://www.twitter.com/NathanBLawrence/status/979564100413018112", "979564100413018112")</f>
        <v/>
      </c>
      <c r="B2211" s="2" t="n">
        <v>43189.15341435185</v>
      </c>
      <c r="C2211" t="n">
        <v>0</v>
      </c>
      <c r="D2211" t="n">
        <v>15</v>
      </c>
      <c r="E2211" t="s">
        <v>2222</v>
      </c>
      <c r="F2211" t="s"/>
      <c r="G2211" t="s"/>
      <c r="H2211" t="s"/>
      <c r="I2211" t="s"/>
      <c r="J2211" t="n">
        <v>-0.4389</v>
      </c>
      <c r="K2211" t="n">
        <v>0.145</v>
      </c>
      <c r="L2211" t="n">
        <v>0.855</v>
      </c>
      <c r="M2211" t="n">
        <v>0</v>
      </c>
    </row>
    <row r="2212" spans="1:13">
      <c r="A2212" s="1">
        <f>HYPERLINK("http://www.twitter.com/NathanBLawrence/status/979563916194996224", "979563916194996224")</f>
        <v/>
      </c>
      <c r="B2212" s="2" t="n">
        <v>43189.15290509259</v>
      </c>
      <c r="C2212" t="n">
        <v>0</v>
      </c>
      <c r="D2212" t="n">
        <v>78</v>
      </c>
      <c r="E2212" t="s">
        <v>2223</v>
      </c>
      <c r="F2212">
        <f>HYPERLINK("http://pbs.twimg.com/media/DZgbQMmVQAEpQJo.jpg", "http://pbs.twimg.com/media/DZgbQMmVQAEpQJo.jpg")</f>
        <v/>
      </c>
      <c r="G2212" t="s"/>
      <c r="H2212" t="s"/>
      <c r="I2212" t="s"/>
      <c r="J2212" t="n">
        <v>0.4215</v>
      </c>
      <c r="K2212" t="n">
        <v>0</v>
      </c>
      <c r="L2212" t="n">
        <v>0.859</v>
      </c>
      <c r="M2212" t="n">
        <v>0.141</v>
      </c>
    </row>
    <row r="2213" spans="1:13">
      <c r="A2213" s="1">
        <f>HYPERLINK("http://www.twitter.com/NathanBLawrence/status/979562565457121283", "979562565457121283")</f>
        <v/>
      </c>
      <c r="B2213" s="2" t="n">
        <v>43189.14917824074</v>
      </c>
      <c r="C2213" t="n">
        <v>0</v>
      </c>
      <c r="D2213" t="n">
        <v>153</v>
      </c>
      <c r="E2213" t="s">
        <v>2224</v>
      </c>
      <c r="F2213" t="s"/>
      <c r="G2213" t="s"/>
      <c r="H2213" t="s"/>
      <c r="I2213" t="s"/>
      <c r="J2213" t="n">
        <v>0.9274</v>
      </c>
      <c r="K2213" t="n">
        <v>0</v>
      </c>
      <c r="L2213" t="n">
        <v>0.507</v>
      </c>
      <c r="M2213" t="n">
        <v>0.493</v>
      </c>
    </row>
    <row r="2214" spans="1:13">
      <c r="A2214" s="1">
        <f>HYPERLINK("http://www.twitter.com/NathanBLawrence/status/979562050019094529", "979562050019094529")</f>
        <v/>
      </c>
      <c r="B2214" s="2" t="n">
        <v>43189.14775462963</v>
      </c>
      <c r="C2214" t="n">
        <v>0</v>
      </c>
      <c r="D2214" t="n">
        <v>21</v>
      </c>
      <c r="E2214" t="s">
        <v>2225</v>
      </c>
      <c r="F2214">
        <f>HYPERLINK("http://pbs.twimg.com/media/DZdiUp-VAAEi0Jl.jpg", "http://pbs.twimg.com/media/DZdiUp-VAAEi0Jl.jpg")</f>
        <v/>
      </c>
      <c r="G2214" t="s"/>
      <c r="H2214" t="s"/>
      <c r="I2214" t="s"/>
      <c r="J2214" t="n">
        <v>-0.2359</v>
      </c>
      <c r="K2214" t="n">
        <v>0.177</v>
      </c>
      <c r="L2214" t="n">
        <v>0.6899999999999999</v>
      </c>
      <c r="M2214" t="n">
        <v>0.133</v>
      </c>
    </row>
    <row r="2215" spans="1:13">
      <c r="A2215" s="1">
        <f>HYPERLINK("http://www.twitter.com/NathanBLawrence/status/979561884117450757", "979561884117450757")</f>
        <v/>
      </c>
      <c r="B2215" s="2" t="n">
        <v>43189.14730324074</v>
      </c>
      <c r="C2215" t="n">
        <v>0</v>
      </c>
      <c r="D2215" t="n">
        <v>24</v>
      </c>
      <c r="E2215" t="s">
        <v>2226</v>
      </c>
      <c r="F2215" t="s"/>
      <c r="G2215" t="s"/>
      <c r="H2215" t="s"/>
      <c r="I2215" t="s"/>
      <c r="J2215" t="n">
        <v>-0.7506</v>
      </c>
      <c r="K2215" t="n">
        <v>0.299</v>
      </c>
      <c r="L2215" t="n">
        <v>0.701</v>
      </c>
      <c r="M2215" t="n">
        <v>0</v>
      </c>
    </row>
    <row r="2216" spans="1:13">
      <c r="A2216" s="1">
        <f>HYPERLINK("http://www.twitter.com/NathanBLawrence/status/979561338463817728", "979561338463817728")</f>
        <v/>
      </c>
      <c r="B2216" s="2" t="n">
        <v>43189.14579861111</v>
      </c>
      <c r="C2216" t="n">
        <v>0</v>
      </c>
      <c r="D2216" t="n">
        <v>645</v>
      </c>
      <c r="E2216" t="s">
        <v>2227</v>
      </c>
      <c r="F2216" t="s"/>
      <c r="G2216" t="s"/>
      <c r="H2216" t="s"/>
      <c r="I2216" t="s"/>
      <c r="J2216" t="n">
        <v>-0.25</v>
      </c>
      <c r="K2216" t="n">
        <v>0.118</v>
      </c>
      <c r="L2216" t="n">
        <v>0.882</v>
      </c>
      <c r="M2216" t="n">
        <v>0</v>
      </c>
    </row>
    <row r="2217" spans="1:13">
      <c r="A2217" s="1">
        <f>HYPERLINK("http://www.twitter.com/NathanBLawrence/status/979561077569703936", "979561077569703936")</f>
        <v/>
      </c>
      <c r="B2217" s="2" t="n">
        <v>43189.14506944444</v>
      </c>
      <c r="C2217" t="n">
        <v>0</v>
      </c>
      <c r="D2217" t="n">
        <v>927</v>
      </c>
      <c r="E2217" t="s">
        <v>2228</v>
      </c>
      <c r="F2217">
        <f>HYPERLINK("http://pbs.twimg.com/media/DZgVPq1X0AAKoZL.jpg", "http://pbs.twimg.com/media/DZgVPq1X0AAKoZL.jpg")</f>
        <v/>
      </c>
      <c r="G2217" t="s"/>
      <c r="H2217" t="s"/>
      <c r="I2217" t="s"/>
      <c r="J2217" t="n">
        <v>0.6369</v>
      </c>
      <c r="K2217" t="n">
        <v>0</v>
      </c>
      <c r="L2217" t="n">
        <v>0.781</v>
      </c>
      <c r="M2217" t="n">
        <v>0.219</v>
      </c>
    </row>
    <row r="2218" spans="1:13">
      <c r="A2218" s="1">
        <f>HYPERLINK("http://www.twitter.com/NathanBLawrence/status/979561020833370113", "979561020833370113")</f>
        <v/>
      </c>
      <c r="B2218" s="2" t="n">
        <v>43189.14491898148</v>
      </c>
      <c r="C2218" t="n">
        <v>0</v>
      </c>
      <c r="D2218" t="n">
        <v>266</v>
      </c>
      <c r="E2218" t="s">
        <v>2229</v>
      </c>
      <c r="F2218" t="s"/>
      <c r="G2218" t="s"/>
      <c r="H2218" t="s"/>
      <c r="I2218" t="s"/>
      <c r="J2218" t="n">
        <v>0</v>
      </c>
      <c r="K2218" t="n">
        <v>0</v>
      </c>
      <c r="L2218" t="n">
        <v>1</v>
      </c>
      <c r="M2218" t="n">
        <v>0</v>
      </c>
    </row>
    <row r="2219" spans="1:13">
      <c r="A2219" s="1">
        <f>HYPERLINK("http://www.twitter.com/NathanBLawrence/status/979560523900637184", "979560523900637184")</f>
        <v/>
      </c>
      <c r="B2219" s="2" t="n">
        <v>43189.14354166666</v>
      </c>
      <c r="C2219" t="n">
        <v>0</v>
      </c>
      <c r="D2219" t="n">
        <v>2974</v>
      </c>
      <c r="E2219" t="s">
        <v>2230</v>
      </c>
      <c r="F2219" t="s"/>
      <c r="G2219" t="s"/>
      <c r="H2219" t="s"/>
      <c r="I2219" t="s"/>
      <c r="J2219" t="n">
        <v>0</v>
      </c>
      <c r="K2219" t="n">
        <v>0</v>
      </c>
      <c r="L2219" t="n">
        <v>1</v>
      </c>
      <c r="M2219" t="n">
        <v>0</v>
      </c>
    </row>
    <row r="2220" spans="1:13">
      <c r="A2220" s="1">
        <f>HYPERLINK("http://www.twitter.com/NathanBLawrence/status/979560386134466560", "979560386134466560")</f>
        <v/>
      </c>
      <c r="B2220" s="2" t="n">
        <v>43189.14317129629</v>
      </c>
      <c r="C2220" t="n">
        <v>0</v>
      </c>
      <c r="D2220" t="n">
        <v>1667</v>
      </c>
      <c r="E2220" t="s">
        <v>2231</v>
      </c>
      <c r="F2220" t="s"/>
      <c r="G2220" t="s"/>
      <c r="H2220" t="s"/>
      <c r="I2220" t="s"/>
      <c r="J2220" t="n">
        <v>0</v>
      </c>
      <c r="K2220" t="n">
        <v>0</v>
      </c>
      <c r="L2220" t="n">
        <v>1</v>
      </c>
      <c r="M2220" t="n">
        <v>0</v>
      </c>
    </row>
    <row r="2221" spans="1:13">
      <c r="A2221" s="1">
        <f>HYPERLINK("http://www.twitter.com/NathanBLawrence/status/979560260749979650", "979560260749979650")</f>
        <v/>
      </c>
      <c r="B2221" s="2" t="n">
        <v>43189.14282407407</v>
      </c>
      <c r="C2221" t="n">
        <v>0</v>
      </c>
      <c r="D2221" t="n">
        <v>19</v>
      </c>
      <c r="E2221" t="s">
        <v>2232</v>
      </c>
      <c r="F2221" t="s"/>
      <c r="G2221" t="s"/>
      <c r="H2221" t="s"/>
      <c r="I2221" t="s"/>
      <c r="J2221" t="n">
        <v>-0.128</v>
      </c>
      <c r="K2221" t="n">
        <v>0.091</v>
      </c>
      <c r="L2221" t="n">
        <v>0.909</v>
      </c>
      <c r="M2221" t="n">
        <v>0</v>
      </c>
    </row>
    <row r="2222" spans="1:13">
      <c r="A2222" s="1">
        <f>HYPERLINK("http://www.twitter.com/NathanBLawrence/status/979559928078708736", "979559928078708736")</f>
        <v/>
      </c>
      <c r="B2222" s="2" t="n">
        <v>43189.14189814815</v>
      </c>
      <c r="C2222" t="n">
        <v>0</v>
      </c>
      <c r="D2222" t="n">
        <v>2195</v>
      </c>
      <c r="E2222" t="s">
        <v>2233</v>
      </c>
      <c r="F2222">
        <f>HYPERLINK("https://video.twimg.com/amplify_video/979520944304721920/vid/1280x720/sKdz5oO2n3H_emu0.mp4", "https://video.twimg.com/amplify_video/979520944304721920/vid/1280x720/sKdz5oO2n3H_emu0.mp4")</f>
        <v/>
      </c>
      <c r="G2222" t="s"/>
      <c r="H2222" t="s"/>
      <c r="I2222" t="s"/>
      <c r="J2222" t="n">
        <v>0.3612</v>
      </c>
      <c r="K2222" t="n">
        <v>0</v>
      </c>
      <c r="L2222" t="n">
        <v>0.894</v>
      </c>
      <c r="M2222" t="n">
        <v>0.106</v>
      </c>
    </row>
    <row r="2223" spans="1:13">
      <c r="A2223" s="1">
        <f>HYPERLINK("http://www.twitter.com/NathanBLawrence/status/979559829424496641", "979559829424496641")</f>
        <v/>
      </c>
      <c r="B2223" s="2" t="n">
        <v>43189.14163194445</v>
      </c>
      <c r="C2223" t="n">
        <v>0</v>
      </c>
      <c r="D2223" t="n">
        <v>324</v>
      </c>
      <c r="E2223" t="s">
        <v>2234</v>
      </c>
      <c r="F2223">
        <f>HYPERLINK("http://pbs.twimg.com/media/DZf1i0HV4AAo72o.jpg", "http://pbs.twimg.com/media/DZf1i0HV4AAo72o.jpg")</f>
        <v/>
      </c>
      <c r="G2223" t="s"/>
      <c r="H2223" t="s"/>
      <c r="I2223" t="s"/>
      <c r="J2223" t="n">
        <v>0</v>
      </c>
      <c r="K2223" t="n">
        <v>0</v>
      </c>
      <c r="L2223" t="n">
        <v>1</v>
      </c>
      <c r="M2223" t="n">
        <v>0</v>
      </c>
    </row>
    <row r="2224" spans="1:13">
      <c r="A2224" s="1">
        <f>HYPERLINK("http://www.twitter.com/NathanBLawrence/status/979559288652926976", "979559288652926976")</f>
        <v/>
      </c>
      <c r="B2224" s="2" t="n">
        <v>43189.14013888889</v>
      </c>
      <c r="C2224" t="n">
        <v>0</v>
      </c>
      <c r="D2224" t="n">
        <v>389</v>
      </c>
      <c r="E2224" t="s">
        <v>2235</v>
      </c>
      <c r="F2224">
        <f>HYPERLINK("http://pbs.twimg.com/media/DZfeXn2V4AAAc9Y.jpg", "http://pbs.twimg.com/media/DZfeXn2V4AAAc9Y.jpg")</f>
        <v/>
      </c>
      <c r="G2224" t="s"/>
      <c r="H2224" t="s"/>
      <c r="I2224" t="s"/>
      <c r="J2224" t="n">
        <v>0</v>
      </c>
      <c r="K2224" t="n">
        <v>0</v>
      </c>
      <c r="L2224" t="n">
        <v>1</v>
      </c>
      <c r="M2224" t="n">
        <v>0</v>
      </c>
    </row>
    <row r="2225" spans="1:13">
      <c r="A2225" s="1">
        <f>HYPERLINK("http://www.twitter.com/NathanBLawrence/status/979523387377643521", "979523387377643521")</f>
        <v/>
      </c>
      <c r="B2225" s="2" t="n">
        <v>43189.04106481482</v>
      </c>
      <c r="C2225" t="n">
        <v>0</v>
      </c>
      <c r="D2225" t="n">
        <v>10862</v>
      </c>
      <c r="E2225" t="s">
        <v>2236</v>
      </c>
      <c r="F2225" t="s"/>
      <c r="G2225" t="s"/>
      <c r="H2225" t="s"/>
      <c r="I2225" t="s"/>
      <c r="J2225" t="n">
        <v>-0.6486</v>
      </c>
      <c r="K2225" t="n">
        <v>0.163</v>
      </c>
      <c r="L2225" t="n">
        <v>0.837</v>
      </c>
      <c r="M2225" t="n">
        <v>0</v>
      </c>
    </row>
    <row r="2226" spans="1:13">
      <c r="A2226" s="1">
        <f>HYPERLINK("http://www.twitter.com/NathanBLawrence/status/979523012780273664", "979523012780273664")</f>
        <v/>
      </c>
      <c r="B2226" s="2" t="n">
        <v>43189.04003472222</v>
      </c>
      <c r="C2226" t="n">
        <v>0</v>
      </c>
      <c r="D2226" t="n">
        <v>108</v>
      </c>
      <c r="E2226" t="s">
        <v>2237</v>
      </c>
      <c r="F2226">
        <f>HYPERLINK("http://pbs.twimg.com/media/DZawGaCW4AEeiXh.jpg", "http://pbs.twimg.com/media/DZawGaCW4AEeiXh.jpg")</f>
        <v/>
      </c>
      <c r="G2226">
        <f>HYPERLINK("http://pbs.twimg.com/media/DZawGaGW4AEcsiC.jpg", "http://pbs.twimg.com/media/DZawGaGW4AEcsiC.jpg")</f>
        <v/>
      </c>
      <c r="H2226">
        <f>HYPERLINK("http://pbs.twimg.com/media/DZawGaDX0AAi2tr.jpg", "http://pbs.twimg.com/media/DZawGaDX0AAi2tr.jpg")</f>
        <v/>
      </c>
      <c r="I2226">
        <f>HYPERLINK("http://pbs.twimg.com/media/DZawGaEW0AAww07.jpg", "http://pbs.twimg.com/media/DZawGaEW0AAww07.jpg")</f>
        <v/>
      </c>
      <c r="J2226" t="n">
        <v>0.5574</v>
      </c>
      <c r="K2226" t="n">
        <v>0.066</v>
      </c>
      <c r="L2226" t="n">
        <v>0.752</v>
      </c>
      <c r="M2226" t="n">
        <v>0.181</v>
      </c>
    </row>
    <row r="2227" spans="1:13">
      <c r="A2227" s="1">
        <f>HYPERLINK("http://www.twitter.com/NathanBLawrence/status/979522507396075521", "979522507396075521")</f>
        <v/>
      </c>
      <c r="B2227" s="2" t="n">
        <v>43189.03864583333</v>
      </c>
      <c r="C2227" t="n">
        <v>0</v>
      </c>
      <c r="D2227" t="n">
        <v>301</v>
      </c>
      <c r="E2227" t="s">
        <v>2238</v>
      </c>
      <c r="F2227">
        <f>HYPERLINK("http://pbs.twimg.com/media/DZftuBYU8AY7wN3.jpg", "http://pbs.twimg.com/media/DZftuBYU8AY7wN3.jpg")</f>
        <v/>
      </c>
      <c r="G2227" t="s"/>
      <c r="H2227" t="s"/>
      <c r="I2227" t="s"/>
      <c r="J2227" t="n">
        <v>0.4019</v>
      </c>
      <c r="K2227" t="n">
        <v>0</v>
      </c>
      <c r="L2227" t="n">
        <v>0.886</v>
      </c>
      <c r="M2227" t="n">
        <v>0.114</v>
      </c>
    </row>
    <row r="2228" spans="1:13">
      <c r="A2228" s="1">
        <f>HYPERLINK("http://www.twitter.com/NathanBLawrence/status/979521655830704129", "979521655830704129")</f>
        <v/>
      </c>
      <c r="B2228" s="2" t="n">
        <v>43189.0362962963</v>
      </c>
      <c r="C2228" t="n">
        <v>0</v>
      </c>
      <c r="D2228" t="n">
        <v>1725</v>
      </c>
      <c r="E2228" t="s">
        <v>2239</v>
      </c>
      <c r="F2228" t="s"/>
      <c r="G2228" t="s"/>
      <c r="H2228" t="s"/>
      <c r="I2228" t="s"/>
      <c r="J2228" t="n">
        <v>0.5266999999999999</v>
      </c>
      <c r="K2228" t="n">
        <v>0</v>
      </c>
      <c r="L2228" t="n">
        <v>0.848</v>
      </c>
      <c r="M2228" t="n">
        <v>0.152</v>
      </c>
    </row>
    <row r="2229" spans="1:13">
      <c r="A2229" s="1">
        <f>HYPERLINK("http://www.twitter.com/NathanBLawrence/status/979513415290032128", "979513415290032128")</f>
        <v/>
      </c>
      <c r="B2229" s="2" t="n">
        <v>43189.01355324074</v>
      </c>
      <c r="C2229" t="n">
        <v>0</v>
      </c>
      <c r="D2229" t="n">
        <v>99</v>
      </c>
      <c r="E2229" t="s">
        <v>2240</v>
      </c>
      <c r="F2229" t="s"/>
      <c r="G2229" t="s"/>
      <c r="H2229" t="s"/>
      <c r="I2229" t="s"/>
      <c r="J2229" t="n">
        <v>0</v>
      </c>
      <c r="K2229" t="n">
        <v>0</v>
      </c>
      <c r="L2229" t="n">
        <v>1</v>
      </c>
      <c r="M2229" t="n">
        <v>0</v>
      </c>
    </row>
    <row r="2230" spans="1:13">
      <c r="A2230" s="1">
        <f>HYPERLINK("http://www.twitter.com/NathanBLawrence/status/979513043100098565", "979513043100098565")</f>
        <v/>
      </c>
      <c r="B2230" s="2" t="n">
        <v>43189.01252314815</v>
      </c>
      <c r="C2230" t="n">
        <v>0</v>
      </c>
      <c r="D2230" t="n">
        <v>582</v>
      </c>
      <c r="E2230" t="s">
        <v>2241</v>
      </c>
      <c r="F2230">
        <f>HYPERLINK("https://video.twimg.com/amplify_video/979443343565434882/vid/1280x720/liKogwTq1kxK37vq.mp4", "https://video.twimg.com/amplify_video/979443343565434882/vid/1280x720/liKogwTq1kxK37vq.mp4")</f>
        <v/>
      </c>
      <c r="G2230" t="s"/>
      <c r="H2230" t="s"/>
      <c r="I2230" t="s"/>
      <c r="J2230" t="n">
        <v>-0.34</v>
      </c>
      <c r="K2230" t="n">
        <v>0.103</v>
      </c>
      <c r="L2230" t="n">
        <v>0.897</v>
      </c>
      <c r="M2230" t="n">
        <v>0</v>
      </c>
    </row>
    <row r="2231" spans="1:13">
      <c r="A2231" s="1">
        <f>HYPERLINK("http://www.twitter.com/NathanBLawrence/status/979512932143902720", "979512932143902720")</f>
        <v/>
      </c>
      <c r="B2231" s="2" t="n">
        <v>43189.01222222222</v>
      </c>
      <c r="C2231" t="n">
        <v>0</v>
      </c>
      <c r="D2231" t="n">
        <v>465</v>
      </c>
      <c r="E2231" t="s">
        <v>2242</v>
      </c>
      <c r="F2231">
        <f>HYPERLINK("http://pbs.twimg.com/media/DZffYD_WkAEtQbf.jpg", "http://pbs.twimg.com/media/DZffYD_WkAEtQbf.jpg")</f>
        <v/>
      </c>
      <c r="G2231" t="s"/>
      <c r="H2231" t="s"/>
      <c r="I2231" t="s"/>
      <c r="J2231" t="n">
        <v>-0.3445</v>
      </c>
      <c r="K2231" t="n">
        <v>0.168</v>
      </c>
      <c r="L2231" t="n">
        <v>0.761</v>
      </c>
      <c r="M2231" t="n">
        <v>0.07099999999999999</v>
      </c>
    </row>
    <row r="2232" spans="1:13">
      <c r="A2232" s="1">
        <f>HYPERLINK("http://www.twitter.com/NathanBLawrence/status/979512772571619329", "979512772571619329")</f>
        <v/>
      </c>
      <c r="B2232" s="2" t="n">
        <v>43189.0117824074</v>
      </c>
      <c r="C2232" t="n">
        <v>0</v>
      </c>
      <c r="D2232" t="n">
        <v>170</v>
      </c>
      <c r="E2232" t="s">
        <v>2243</v>
      </c>
      <c r="F2232">
        <f>HYPERLINK("http://pbs.twimg.com/media/DZfsFv4U8AE293S.jpg", "http://pbs.twimg.com/media/DZfsFv4U8AE293S.jpg")</f>
        <v/>
      </c>
      <c r="G2232" t="s"/>
      <c r="H2232" t="s"/>
      <c r="I2232" t="s"/>
      <c r="J2232" t="n">
        <v>0</v>
      </c>
      <c r="K2232" t="n">
        <v>0</v>
      </c>
      <c r="L2232" t="n">
        <v>1</v>
      </c>
      <c r="M2232" t="n">
        <v>0</v>
      </c>
    </row>
    <row r="2233" spans="1:13">
      <c r="A2233" s="1">
        <f>HYPERLINK("http://www.twitter.com/NathanBLawrence/status/979512093409005568", "979512093409005568")</f>
        <v/>
      </c>
      <c r="B2233" s="2" t="n">
        <v>43189.00990740741</v>
      </c>
      <c r="C2233" t="n">
        <v>0</v>
      </c>
      <c r="D2233" t="n">
        <v>160</v>
      </c>
      <c r="E2233" t="s">
        <v>2244</v>
      </c>
      <c r="F2233" t="s"/>
      <c r="G2233" t="s"/>
      <c r="H2233" t="s"/>
      <c r="I2233" t="s"/>
      <c r="J2233" t="n">
        <v>-0.68</v>
      </c>
      <c r="K2233" t="n">
        <v>0.237</v>
      </c>
      <c r="L2233" t="n">
        <v>0.763</v>
      </c>
      <c r="M2233" t="n">
        <v>0</v>
      </c>
    </row>
    <row r="2234" spans="1:13">
      <c r="A2234" s="1">
        <f>HYPERLINK("http://www.twitter.com/NathanBLawrence/status/979511437570859008", "979511437570859008")</f>
        <v/>
      </c>
      <c r="B2234" s="2" t="n">
        <v>43189.00809027778</v>
      </c>
      <c r="C2234" t="n">
        <v>0</v>
      </c>
      <c r="D2234" t="n">
        <v>336</v>
      </c>
      <c r="E2234" t="s">
        <v>2245</v>
      </c>
      <c r="F2234">
        <f>HYPERLINK("http://pbs.twimg.com/media/DZer--WX0AAOFo7.jpg", "http://pbs.twimg.com/media/DZer--WX0AAOFo7.jpg")</f>
        <v/>
      </c>
      <c r="G2234">
        <f>HYPERLINK("http://pbs.twimg.com/media/DZer_SMW0AAxNqT.jpg", "http://pbs.twimg.com/media/DZer_SMW0AAxNqT.jpg")</f>
        <v/>
      </c>
      <c r="H2234" t="s"/>
      <c r="I2234" t="s"/>
      <c r="J2234" t="n">
        <v>0.7351</v>
      </c>
      <c r="K2234" t="n">
        <v>0</v>
      </c>
      <c r="L2234" t="n">
        <v>0.772</v>
      </c>
      <c r="M2234" t="n">
        <v>0.228</v>
      </c>
    </row>
    <row r="2235" spans="1:13">
      <c r="A2235" s="1">
        <f>HYPERLINK("http://www.twitter.com/NathanBLawrence/status/979509977932058626", "979509977932058626")</f>
        <v/>
      </c>
      <c r="B2235" s="2" t="n">
        <v>43189.0040625</v>
      </c>
      <c r="C2235" t="n">
        <v>0</v>
      </c>
      <c r="D2235" t="n">
        <v>17</v>
      </c>
      <c r="E2235" t="s">
        <v>2246</v>
      </c>
      <c r="F2235">
        <f>HYPERLINK("http://pbs.twimg.com/media/DZUQ_YuX0AEe0HH.jpg", "http://pbs.twimg.com/media/DZUQ_YuX0AEe0HH.jpg")</f>
        <v/>
      </c>
      <c r="G2235" t="s"/>
      <c r="H2235" t="s"/>
      <c r="I2235" t="s"/>
      <c r="J2235" t="n">
        <v>0</v>
      </c>
      <c r="K2235" t="n">
        <v>0</v>
      </c>
      <c r="L2235" t="n">
        <v>1</v>
      </c>
      <c r="M2235" t="n">
        <v>0</v>
      </c>
    </row>
    <row r="2236" spans="1:13">
      <c r="A2236" s="1">
        <f>HYPERLINK("http://www.twitter.com/NathanBLawrence/status/979509257346473984", "979509257346473984")</f>
        <v/>
      </c>
      <c r="B2236" s="2" t="n">
        <v>43189.00208333333</v>
      </c>
      <c r="C2236" t="n">
        <v>0</v>
      </c>
      <c r="D2236" t="n">
        <v>15</v>
      </c>
      <c r="E2236" t="s">
        <v>2247</v>
      </c>
      <c r="F2236" t="s"/>
      <c r="G2236" t="s"/>
      <c r="H2236" t="s"/>
      <c r="I2236" t="s"/>
      <c r="J2236" t="n">
        <v>-0.1779</v>
      </c>
      <c r="K2236" t="n">
        <v>0.134</v>
      </c>
      <c r="L2236" t="n">
        <v>0.756</v>
      </c>
      <c r="M2236" t="n">
        <v>0.11</v>
      </c>
    </row>
    <row r="2237" spans="1:13">
      <c r="A2237" s="1">
        <f>HYPERLINK("http://www.twitter.com/NathanBLawrence/status/979507951022026758", "979507951022026758")</f>
        <v/>
      </c>
      <c r="B2237" s="2" t="n">
        <v>43188.99847222222</v>
      </c>
      <c r="C2237" t="n">
        <v>2</v>
      </c>
      <c r="D2237" t="n">
        <v>1</v>
      </c>
      <c r="E2237" t="s">
        <v>2248</v>
      </c>
      <c r="F2237">
        <f>HYPERLINK("http://pbs.twimg.com/media/DZfpSdjUMAA5z_1.jpg", "http://pbs.twimg.com/media/DZfpSdjUMAA5z_1.jpg")</f>
        <v/>
      </c>
      <c r="G2237" t="s"/>
      <c r="H2237" t="s"/>
      <c r="I2237" t="s"/>
      <c r="J2237" t="n">
        <v>0.4019</v>
      </c>
      <c r="K2237" t="n">
        <v>0</v>
      </c>
      <c r="L2237" t="n">
        <v>0.8159999999999999</v>
      </c>
      <c r="M2237" t="n">
        <v>0.184</v>
      </c>
    </row>
    <row r="2238" spans="1:13">
      <c r="A2238" s="1">
        <f>HYPERLINK("http://www.twitter.com/NathanBLawrence/status/979507260090089473", "979507260090089473")</f>
        <v/>
      </c>
      <c r="B2238" s="2" t="n">
        <v>43188.9965625</v>
      </c>
      <c r="C2238" t="n">
        <v>0</v>
      </c>
      <c r="D2238" t="n">
        <v>225</v>
      </c>
      <c r="E2238" t="s">
        <v>2249</v>
      </c>
      <c r="F2238">
        <f>HYPERLINK("http://pbs.twimg.com/media/DZfk7qlWsAAjFvX.jpg", "http://pbs.twimg.com/media/DZfk7qlWsAAjFvX.jpg")</f>
        <v/>
      </c>
      <c r="G2238" t="s"/>
      <c r="H2238" t="s"/>
      <c r="I2238" t="s"/>
      <c r="J2238" t="n">
        <v>0</v>
      </c>
      <c r="K2238" t="n">
        <v>0</v>
      </c>
      <c r="L2238" t="n">
        <v>1</v>
      </c>
      <c r="M2238" t="n">
        <v>0</v>
      </c>
    </row>
    <row r="2239" spans="1:13">
      <c r="A2239" s="1">
        <f>HYPERLINK("http://www.twitter.com/NathanBLawrence/status/979506925309255680", "979506925309255680")</f>
        <v/>
      </c>
      <c r="B2239" s="2" t="n">
        <v>43188.99564814815</v>
      </c>
      <c r="C2239" t="n">
        <v>0</v>
      </c>
      <c r="D2239" t="n">
        <v>2910</v>
      </c>
      <c r="E2239" t="s">
        <v>2250</v>
      </c>
      <c r="F2239">
        <f>HYPERLINK("https://video.twimg.com/ext_tw_video/979502649119830016/pu/vid/1280x720/mor8pa7vBIXlpu5P.mp4", "https://video.twimg.com/ext_tw_video/979502649119830016/pu/vid/1280x720/mor8pa7vBIXlpu5P.mp4")</f>
        <v/>
      </c>
      <c r="G2239" t="s"/>
      <c r="H2239" t="s"/>
      <c r="I2239" t="s"/>
      <c r="J2239" t="n">
        <v>-0.3595</v>
      </c>
      <c r="K2239" t="n">
        <v>0.162</v>
      </c>
      <c r="L2239" t="n">
        <v>0.734</v>
      </c>
      <c r="M2239" t="n">
        <v>0.104</v>
      </c>
    </row>
    <row r="2240" spans="1:13">
      <c r="A2240" s="1">
        <f>HYPERLINK("http://www.twitter.com/NathanBLawrence/status/979506683092316161", "979506683092316161")</f>
        <v/>
      </c>
      <c r="B2240" s="2" t="n">
        <v>43188.99497685185</v>
      </c>
      <c r="C2240" t="n">
        <v>0</v>
      </c>
      <c r="D2240" t="n">
        <v>1300</v>
      </c>
      <c r="E2240" t="s">
        <v>2251</v>
      </c>
      <c r="F2240">
        <f>HYPERLINK("http://pbs.twimg.com/media/DJbJVbMXcAAs4e7.jpg", "http://pbs.twimg.com/media/DJbJVbMXcAAs4e7.jpg")</f>
        <v/>
      </c>
      <c r="G2240" t="s"/>
      <c r="H2240" t="s"/>
      <c r="I2240" t="s"/>
      <c r="J2240" t="n">
        <v>0</v>
      </c>
      <c r="K2240" t="n">
        <v>0</v>
      </c>
      <c r="L2240" t="n">
        <v>1</v>
      </c>
      <c r="M2240" t="n">
        <v>0</v>
      </c>
    </row>
    <row r="2241" spans="1:13">
      <c r="A2241" s="1">
        <f>HYPERLINK("http://www.twitter.com/NathanBLawrence/status/979505114707873793", "979505114707873793")</f>
        <v/>
      </c>
      <c r="B2241" s="2" t="n">
        <v>43188.99064814814</v>
      </c>
      <c r="C2241" t="n">
        <v>0</v>
      </c>
      <c r="D2241" t="n">
        <v>6</v>
      </c>
      <c r="E2241" t="s">
        <v>2252</v>
      </c>
      <c r="F2241" t="s"/>
      <c r="G2241" t="s"/>
      <c r="H2241" t="s"/>
      <c r="I2241" t="s"/>
      <c r="J2241" t="n">
        <v>0</v>
      </c>
      <c r="K2241" t="n">
        <v>0</v>
      </c>
      <c r="L2241" t="n">
        <v>1</v>
      </c>
      <c r="M2241" t="n">
        <v>0</v>
      </c>
    </row>
    <row r="2242" spans="1:13">
      <c r="A2242" s="1">
        <f>HYPERLINK("http://www.twitter.com/NathanBLawrence/status/979503551708790789", "979503551708790789")</f>
        <v/>
      </c>
      <c r="B2242" s="2" t="n">
        <v>43188.98633101852</v>
      </c>
      <c r="C2242" t="n">
        <v>0</v>
      </c>
      <c r="D2242" t="n">
        <v>151</v>
      </c>
      <c r="E2242" t="s">
        <v>2253</v>
      </c>
      <c r="F2242">
        <f>HYPERLINK("http://pbs.twimg.com/media/DZek3RDWAAEk_Qu.jpg", "http://pbs.twimg.com/media/DZek3RDWAAEk_Qu.jpg")</f>
        <v/>
      </c>
      <c r="G2242" t="s"/>
      <c r="H2242" t="s"/>
      <c r="I2242" t="s"/>
      <c r="J2242" t="n">
        <v>0.4019</v>
      </c>
      <c r="K2242" t="n">
        <v>0.047</v>
      </c>
      <c r="L2242" t="n">
        <v>0.847</v>
      </c>
      <c r="M2242" t="n">
        <v>0.105</v>
      </c>
    </row>
    <row r="2243" spans="1:13">
      <c r="A2243" s="1">
        <f>HYPERLINK("http://www.twitter.com/NathanBLawrence/status/979501214630113280", "979501214630113280")</f>
        <v/>
      </c>
      <c r="B2243" s="2" t="n">
        <v>43188.97988425926</v>
      </c>
      <c r="C2243" t="n">
        <v>0</v>
      </c>
      <c r="D2243" t="n">
        <v>311</v>
      </c>
      <c r="E2243" t="s">
        <v>2254</v>
      </c>
      <c r="F2243">
        <f>HYPERLINK("http://pbs.twimg.com/media/DZer3d2XkAMktJU.jpg", "http://pbs.twimg.com/media/DZer3d2XkAMktJU.jpg")</f>
        <v/>
      </c>
      <c r="G2243" t="s"/>
      <c r="H2243" t="s"/>
      <c r="I2243" t="s"/>
      <c r="J2243" t="n">
        <v>0</v>
      </c>
      <c r="K2243" t="n">
        <v>0</v>
      </c>
      <c r="L2243" t="n">
        <v>1</v>
      </c>
      <c r="M2243" t="n">
        <v>0</v>
      </c>
    </row>
    <row r="2244" spans="1:13">
      <c r="A2244" s="1">
        <f>HYPERLINK("http://www.twitter.com/NathanBLawrence/status/979501009142763520", "979501009142763520")</f>
        <v/>
      </c>
      <c r="B2244" s="2" t="n">
        <v>43188.97931712963</v>
      </c>
      <c r="C2244" t="n">
        <v>0</v>
      </c>
      <c r="D2244" t="n">
        <v>222</v>
      </c>
      <c r="E2244" t="s">
        <v>2255</v>
      </c>
      <c r="F2244">
        <f>HYPERLINK("http://pbs.twimg.com/media/DZesVt5VMAAduxB.jpg", "http://pbs.twimg.com/media/DZesVt5VMAAduxB.jpg")</f>
        <v/>
      </c>
      <c r="G2244" t="s"/>
      <c r="H2244" t="s"/>
      <c r="I2244" t="s"/>
      <c r="J2244" t="n">
        <v>-0.5574</v>
      </c>
      <c r="K2244" t="n">
        <v>0.219</v>
      </c>
      <c r="L2244" t="n">
        <v>0.664</v>
      </c>
      <c r="M2244" t="n">
        <v>0.117</v>
      </c>
    </row>
    <row r="2245" spans="1:13">
      <c r="A2245" s="1">
        <f>HYPERLINK("http://www.twitter.com/NathanBLawrence/status/979500152313524224", "979500152313524224")</f>
        <v/>
      </c>
      <c r="B2245" s="2" t="n">
        <v>43188.97695601852</v>
      </c>
      <c r="C2245" t="n">
        <v>0</v>
      </c>
      <c r="D2245" t="n">
        <v>23</v>
      </c>
      <c r="E2245" t="s">
        <v>2256</v>
      </c>
      <c r="F2245">
        <f>HYPERLINK("http://pbs.twimg.com/media/DZfg4PdUQAAIu3l.jpg", "http://pbs.twimg.com/media/DZfg4PdUQAAIu3l.jpg")</f>
        <v/>
      </c>
      <c r="G2245" t="s"/>
      <c r="H2245" t="s"/>
      <c r="I2245" t="s"/>
      <c r="J2245" t="n">
        <v>0.7003</v>
      </c>
      <c r="K2245" t="n">
        <v>0</v>
      </c>
      <c r="L2245" t="n">
        <v>0.6909999999999999</v>
      </c>
      <c r="M2245" t="n">
        <v>0.309</v>
      </c>
    </row>
    <row r="2246" spans="1:13">
      <c r="A2246" s="1">
        <f>HYPERLINK("http://www.twitter.com/NathanBLawrence/status/979498999924314112", "979498999924314112")</f>
        <v/>
      </c>
      <c r="B2246" s="2" t="n">
        <v>43188.97377314815</v>
      </c>
      <c r="C2246" t="n">
        <v>0</v>
      </c>
      <c r="D2246" t="n">
        <v>2216</v>
      </c>
      <c r="E2246" t="s">
        <v>2257</v>
      </c>
      <c r="F2246" t="s"/>
      <c r="G2246" t="s"/>
      <c r="H2246" t="s"/>
      <c r="I2246" t="s"/>
      <c r="J2246" t="n">
        <v>0.6808</v>
      </c>
      <c r="K2246" t="n">
        <v>0</v>
      </c>
      <c r="L2246" t="n">
        <v>0.789</v>
      </c>
      <c r="M2246" t="n">
        <v>0.211</v>
      </c>
    </row>
    <row r="2247" spans="1:13">
      <c r="A2247" s="1">
        <f>HYPERLINK("http://www.twitter.com/NathanBLawrence/status/979498693345923077", "979498693345923077")</f>
        <v/>
      </c>
      <c r="B2247" s="2" t="n">
        <v>43188.97292824074</v>
      </c>
      <c r="C2247" t="n">
        <v>0</v>
      </c>
      <c r="D2247" t="n">
        <v>170</v>
      </c>
      <c r="E2247" t="s">
        <v>2258</v>
      </c>
      <c r="F2247" t="s"/>
      <c r="G2247" t="s"/>
      <c r="H2247" t="s"/>
      <c r="I2247" t="s"/>
      <c r="J2247" t="n">
        <v>0.0601</v>
      </c>
      <c r="K2247" t="n">
        <v>0.147</v>
      </c>
      <c r="L2247" t="n">
        <v>0.699</v>
      </c>
      <c r="M2247" t="n">
        <v>0.154</v>
      </c>
    </row>
    <row r="2248" spans="1:13">
      <c r="A2248" s="1">
        <f>HYPERLINK("http://www.twitter.com/NathanBLawrence/status/979498202830426113", "979498202830426113")</f>
        <v/>
      </c>
      <c r="B2248" s="2" t="n">
        <v>43188.97157407407</v>
      </c>
      <c r="C2248" t="n">
        <v>0</v>
      </c>
      <c r="D2248" t="n">
        <v>368</v>
      </c>
      <c r="E2248" t="s">
        <v>2259</v>
      </c>
      <c r="F2248">
        <f>HYPERLINK("https://video.twimg.com/amplify_video/979485375038181376/vid/1280x720/NU8sC86EKtgMz8T9.mp4", "https://video.twimg.com/amplify_video/979485375038181376/vid/1280x720/NU8sC86EKtgMz8T9.mp4")</f>
        <v/>
      </c>
      <c r="G2248" t="s"/>
      <c r="H2248" t="s"/>
      <c r="I2248" t="s"/>
      <c r="J2248" t="n">
        <v>0.5994</v>
      </c>
      <c r="K2248" t="n">
        <v>0</v>
      </c>
      <c r="L2248" t="n">
        <v>0.824</v>
      </c>
      <c r="M2248" t="n">
        <v>0.176</v>
      </c>
    </row>
    <row r="2249" spans="1:13">
      <c r="A2249" s="1">
        <f>HYPERLINK("http://www.twitter.com/NathanBLawrence/status/979497603468587008", "979497603468587008")</f>
        <v/>
      </c>
      <c r="B2249" s="2" t="n">
        <v>43188.96991898148</v>
      </c>
      <c r="C2249" t="n">
        <v>0</v>
      </c>
      <c r="D2249" t="n">
        <v>3296</v>
      </c>
      <c r="E2249" t="s">
        <v>2260</v>
      </c>
      <c r="F2249">
        <f>HYPERLINK("http://pbs.twimg.com/media/DZaY9b4WsAAIo54.jpg", "http://pbs.twimg.com/media/DZaY9b4WsAAIo54.jpg")</f>
        <v/>
      </c>
      <c r="G2249" t="s"/>
      <c r="H2249" t="s"/>
      <c r="I2249" t="s"/>
      <c r="J2249" t="n">
        <v>0</v>
      </c>
      <c r="K2249" t="n">
        <v>0</v>
      </c>
      <c r="L2249" t="n">
        <v>1</v>
      </c>
      <c r="M2249" t="n">
        <v>0</v>
      </c>
    </row>
    <row r="2250" spans="1:13">
      <c r="A2250" s="1">
        <f>HYPERLINK("http://www.twitter.com/NathanBLawrence/status/979496071104692232", "979496071104692232")</f>
        <v/>
      </c>
      <c r="B2250" s="2" t="n">
        <v>43188.96569444444</v>
      </c>
      <c r="C2250" t="n">
        <v>0</v>
      </c>
      <c r="D2250" t="n">
        <v>17</v>
      </c>
      <c r="E2250" t="s">
        <v>2261</v>
      </c>
      <c r="F2250">
        <f>HYPERLINK("http://pbs.twimg.com/media/DZfcXbgW0AIsInO.jpg", "http://pbs.twimg.com/media/DZfcXbgW0AIsInO.jpg")</f>
        <v/>
      </c>
      <c r="G2250" t="s"/>
      <c r="H2250" t="s"/>
      <c r="I2250" t="s"/>
      <c r="J2250" t="n">
        <v>0</v>
      </c>
      <c r="K2250" t="n">
        <v>0</v>
      </c>
      <c r="L2250" t="n">
        <v>1</v>
      </c>
      <c r="M2250" t="n">
        <v>0</v>
      </c>
    </row>
    <row r="2251" spans="1:13">
      <c r="A2251" s="1">
        <f>HYPERLINK("http://www.twitter.com/NathanBLawrence/status/979495443385155584", "979495443385155584")</f>
        <v/>
      </c>
      <c r="B2251" s="2" t="n">
        <v>43188.96395833333</v>
      </c>
      <c r="C2251" t="n">
        <v>0</v>
      </c>
      <c r="D2251" t="n">
        <v>563</v>
      </c>
      <c r="E2251" t="s">
        <v>2262</v>
      </c>
      <c r="F2251">
        <f>HYPERLINK("https://video.twimg.com/ext_tw_video/979489574639595520/pu/vid/720x1280/WZnePPnqjZcqHcLg.mp4", "https://video.twimg.com/ext_tw_video/979489574639595520/pu/vid/720x1280/WZnePPnqjZcqHcLg.mp4")</f>
        <v/>
      </c>
      <c r="G2251" t="s"/>
      <c r="H2251" t="s"/>
      <c r="I2251" t="s"/>
      <c r="J2251" t="n">
        <v>-0.3506</v>
      </c>
      <c r="K2251" t="n">
        <v>0.093</v>
      </c>
      <c r="L2251" t="n">
        <v>0.907</v>
      </c>
      <c r="M2251" t="n">
        <v>0</v>
      </c>
    </row>
    <row r="2252" spans="1:13">
      <c r="A2252" s="1">
        <f>HYPERLINK("http://www.twitter.com/NathanBLawrence/status/979495270512840705", "979495270512840705")</f>
        <v/>
      </c>
      <c r="B2252" s="2" t="n">
        <v>43188.96348379629</v>
      </c>
      <c r="C2252" t="n">
        <v>0</v>
      </c>
      <c r="D2252" t="n">
        <v>481</v>
      </c>
      <c r="E2252" t="s">
        <v>2263</v>
      </c>
      <c r="F2252" t="s"/>
      <c r="G2252" t="s"/>
      <c r="H2252" t="s"/>
      <c r="I2252" t="s"/>
      <c r="J2252" t="n">
        <v>0.0772</v>
      </c>
      <c r="K2252" t="n">
        <v>0.15</v>
      </c>
      <c r="L2252" t="n">
        <v>0.607</v>
      </c>
      <c r="M2252" t="n">
        <v>0.243</v>
      </c>
    </row>
    <row r="2253" spans="1:13">
      <c r="A2253" s="1">
        <f>HYPERLINK("http://www.twitter.com/NathanBLawrence/status/979495177797734400", "979495177797734400")</f>
        <v/>
      </c>
      <c r="B2253" s="2" t="n">
        <v>43188.96322916666</v>
      </c>
      <c r="C2253" t="n">
        <v>0</v>
      </c>
      <c r="D2253" t="n">
        <v>1079</v>
      </c>
      <c r="E2253" t="s">
        <v>2264</v>
      </c>
      <c r="F2253" t="s"/>
      <c r="G2253" t="s"/>
      <c r="H2253" t="s"/>
      <c r="I2253" t="s"/>
      <c r="J2253" t="n">
        <v>0</v>
      </c>
      <c r="K2253" t="n">
        <v>0</v>
      </c>
      <c r="L2253" t="n">
        <v>1</v>
      </c>
      <c r="M2253" t="n">
        <v>0</v>
      </c>
    </row>
    <row r="2254" spans="1:13">
      <c r="A2254" s="1">
        <f>HYPERLINK("http://www.twitter.com/NathanBLawrence/status/979493149625208832", "979493149625208832")</f>
        <v/>
      </c>
      <c r="B2254" s="2" t="n">
        <v>43188.95762731481</v>
      </c>
      <c r="C2254" t="n">
        <v>0</v>
      </c>
      <c r="D2254" t="n">
        <v>5634</v>
      </c>
      <c r="E2254" t="s">
        <v>2265</v>
      </c>
      <c r="F2254" t="s"/>
      <c r="G2254" t="s"/>
      <c r="H2254" t="s"/>
      <c r="I2254" t="s"/>
      <c r="J2254" t="n">
        <v>0.9078000000000001</v>
      </c>
      <c r="K2254" t="n">
        <v>0</v>
      </c>
      <c r="L2254" t="n">
        <v>0.613</v>
      </c>
      <c r="M2254" t="n">
        <v>0.387</v>
      </c>
    </row>
    <row r="2255" spans="1:13">
      <c r="A2255" s="1">
        <f>HYPERLINK("http://www.twitter.com/NathanBLawrence/status/979493052065681409", "979493052065681409")</f>
        <v/>
      </c>
      <c r="B2255" s="2" t="n">
        <v>43188.95736111111</v>
      </c>
      <c r="C2255" t="n">
        <v>0</v>
      </c>
      <c r="D2255" t="n">
        <v>258</v>
      </c>
      <c r="E2255" t="s">
        <v>2266</v>
      </c>
      <c r="F2255">
        <f>HYPERLINK("http://pbs.twimg.com/media/DZepL-tVMAAce2J.jpg", "http://pbs.twimg.com/media/DZepL-tVMAAce2J.jpg")</f>
        <v/>
      </c>
      <c r="G2255" t="s"/>
      <c r="H2255" t="s"/>
      <c r="I2255" t="s"/>
      <c r="J2255" t="n">
        <v>-0.4563</v>
      </c>
      <c r="K2255" t="n">
        <v>0.124</v>
      </c>
      <c r="L2255" t="n">
        <v>0.876</v>
      </c>
      <c r="M2255" t="n">
        <v>0</v>
      </c>
    </row>
    <row r="2256" spans="1:13">
      <c r="A2256" s="1">
        <f>HYPERLINK("http://www.twitter.com/NathanBLawrence/status/979440089876123648", "979440089876123648")</f>
        <v/>
      </c>
      <c r="B2256" s="2" t="n">
        <v>43188.81121527778</v>
      </c>
      <c r="C2256" t="n">
        <v>0</v>
      </c>
      <c r="D2256" t="n">
        <v>3</v>
      </c>
      <c r="E2256" t="s">
        <v>2267</v>
      </c>
      <c r="F2256">
        <f>HYPERLINK("http://pbs.twimg.com/media/DZepuijX0AAXE-B.jpg", "http://pbs.twimg.com/media/DZepuijX0AAXE-B.jpg")</f>
        <v/>
      </c>
      <c r="G2256" t="s"/>
      <c r="H2256" t="s"/>
      <c r="I2256" t="s"/>
      <c r="J2256" t="n">
        <v>0.7506</v>
      </c>
      <c r="K2256" t="n">
        <v>0</v>
      </c>
      <c r="L2256" t="n">
        <v>0.72</v>
      </c>
      <c r="M2256" t="n">
        <v>0.28</v>
      </c>
    </row>
    <row r="2257" spans="1:13">
      <c r="A2257" s="1">
        <f>HYPERLINK("http://www.twitter.com/NathanBLawrence/status/979440034293145602", "979440034293145602")</f>
        <v/>
      </c>
      <c r="B2257" s="2" t="n">
        <v>43188.81105324074</v>
      </c>
      <c r="C2257" t="n">
        <v>0</v>
      </c>
      <c r="D2257" t="n">
        <v>255</v>
      </c>
      <c r="E2257" t="s">
        <v>2268</v>
      </c>
      <c r="F2257">
        <f>HYPERLINK("http://pbs.twimg.com/media/DZeiqrGVAAAqD0r.jpg", "http://pbs.twimg.com/media/DZeiqrGVAAAqD0r.jpg")</f>
        <v/>
      </c>
      <c r="G2257" t="s"/>
      <c r="H2257" t="s"/>
      <c r="I2257" t="s"/>
      <c r="J2257" t="n">
        <v>0.0325</v>
      </c>
      <c r="K2257" t="n">
        <v>0.346</v>
      </c>
      <c r="L2257" t="n">
        <v>0.305</v>
      </c>
      <c r="M2257" t="n">
        <v>0.349</v>
      </c>
    </row>
    <row r="2258" spans="1:13">
      <c r="A2258" s="1">
        <f>HYPERLINK("http://www.twitter.com/NathanBLawrence/status/979439515382185984", "979439515382185984")</f>
        <v/>
      </c>
      <c r="B2258" s="2" t="n">
        <v>43188.80962962963</v>
      </c>
      <c r="C2258" t="n">
        <v>0</v>
      </c>
      <c r="D2258" t="n">
        <v>1142</v>
      </c>
      <c r="E2258" t="s">
        <v>2269</v>
      </c>
      <c r="F2258" t="s"/>
      <c r="G2258" t="s"/>
      <c r="H2258" t="s"/>
      <c r="I2258" t="s"/>
      <c r="J2258" t="n">
        <v>-0.2944</v>
      </c>
      <c r="K2258" t="n">
        <v>0.159</v>
      </c>
      <c r="L2258" t="n">
        <v>0.733</v>
      </c>
      <c r="M2258" t="n">
        <v>0.108</v>
      </c>
    </row>
    <row r="2259" spans="1:13">
      <c r="A2259" s="1">
        <f>HYPERLINK("http://www.twitter.com/NathanBLawrence/status/979438735090769921", "979438735090769921")</f>
        <v/>
      </c>
      <c r="B2259" s="2" t="n">
        <v>43188.80747685185</v>
      </c>
      <c r="C2259" t="n">
        <v>0</v>
      </c>
      <c r="D2259" t="n">
        <v>459</v>
      </c>
      <c r="E2259" t="s">
        <v>2270</v>
      </c>
      <c r="F2259" t="s"/>
      <c r="G2259" t="s"/>
      <c r="H2259" t="s"/>
      <c r="I2259" t="s"/>
      <c r="J2259" t="n">
        <v>-0.296</v>
      </c>
      <c r="K2259" t="n">
        <v>0.176</v>
      </c>
      <c r="L2259" t="n">
        <v>0.824</v>
      </c>
      <c r="M2259" t="n">
        <v>0</v>
      </c>
    </row>
    <row r="2260" spans="1:13">
      <c r="A2260" s="1">
        <f>HYPERLINK("http://www.twitter.com/NathanBLawrence/status/979438559278092288", "979438559278092288")</f>
        <v/>
      </c>
      <c r="B2260" s="2" t="n">
        <v>43188.80699074074</v>
      </c>
      <c r="C2260" t="n">
        <v>0</v>
      </c>
      <c r="D2260" t="n">
        <v>3427</v>
      </c>
      <c r="E2260" t="s">
        <v>2271</v>
      </c>
      <c r="F2260">
        <f>HYPERLINK("http://pbs.twimg.com/media/DZZON6IX4AEcfvM.jpg", "http://pbs.twimg.com/media/DZZON6IX4AEcfvM.jpg")</f>
        <v/>
      </c>
      <c r="G2260" t="s"/>
      <c r="H2260" t="s"/>
      <c r="I2260" t="s"/>
      <c r="J2260" t="n">
        <v>0.5411</v>
      </c>
      <c r="K2260" t="n">
        <v>0</v>
      </c>
      <c r="L2260" t="n">
        <v>0.8</v>
      </c>
      <c r="M2260" t="n">
        <v>0.2</v>
      </c>
    </row>
    <row r="2261" spans="1:13">
      <c r="A2261" s="1">
        <f>HYPERLINK("http://www.twitter.com/NathanBLawrence/status/979438375714344961", "979438375714344961")</f>
        <v/>
      </c>
      <c r="B2261" s="2" t="n">
        <v>43188.80648148148</v>
      </c>
      <c r="C2261" t="n">
        <v>0</v>
      </c>
      <c r="D2261" t="n">
        <v>193</v>
      </c>
      <c r="E2261" t="s">
        <v>2272</v>
      </c>
      <c r="F2261" t="s"/>
      <c r="G2261" t="s"/>
      <c r="H2261" t="s"/>
      <c r="I2261" t="s"/>
      <c r="J2261" t="n">
        <v>0</v>
      </c>
      <c r="K2261" t="n">
        <v>0</v>
      </c>
      <c r="L2261" t="n">
        <v>1</v>
      </c>
      <c r="M2261" t="n">
        <v>0</v>
      </c>
    </row>
    <row r="2262" spans="1:13">
      <c r="A2262" s="1">
        <f>HYPERLINK("http://www.twitter.com/NathanBLawrence/status/979437784812474368", "979437784812474368")</f>
        <v/>
      </c>
      <c r="B2262" s="2" t="n">
        <v>43188.80484953704</v>
      </c>
      <c r="C2262" t="n">
        <v>1</v>
      </c>
      <c r="D2262" t="n">
        <v>0</v>
      </c>
      <c r="E2262" t="s">
        <v>2273</v>
      </c>
      <c r="F2262" t="s"/>
      <c r="G2262" t="s"/>
      <c r="H2262" t="s"/>
      <c r="I2262" t="s"/>
      <c r="J2262" t="n">
        <v>0.1513</v>
      </c>
      <c r="K2262" t="n">
        <v>0</v>
      </c>
      <c r="L2262" t="n">
        <v>0.834</v>
      </c>
      <c r="M2262" t="n">
        <v>0.166</v>
      </c>
    </row>
    <row r="2263" spans="1:13">
      <c r="A2263" s="1">
        <f>HYPERLINK("http://www.twitter.com/NathanBLawrence/status/979437184389349382", "979437184389349382")</f>
        <v/>
      </c>
      <c r="B2263" s="2" t="n">
        <v>43188.80319444444</v>
      </c>
      <c r="C2263" t="n">
        <v>0</v>
      </c>
      <c r="D2263" t="n">
        <v>207</v>
      </c>
      <c r="E2263" t="s">
        <v>2274</v>
      </c>
      <c r="F2263" t="s"/>
      <c r="G2263" t="s"/>
      <c r="H2263" t="s"/>
      <c r="I2263" t="s"/>
      <c r="J2263" t="n">
        <v>0.4753</v>
      </c>
      <c r="K2263" t="n">
        <v>0</v>
      </c>
      <c r="L2263" t="n">
        <v>0.872</v>
      </c>
      <c r="M2263" t="n">
        <v>0.128</v>
      </c>
    </row>
    <row r="2264" spans="1:13">
      <c r="A2264" s="1">
        <f>HYPERLINK("http://www.twitter.com/NathanBLawrence/status/979437066013564929", "979437066013564929")</f>
        <v/>
      </c>
      <c r="B2264" s="2" t="n">
        <v>43188.80287037037</v>
      </c>
      <c r="C2264" t="n">
        <v>0</v>
      </c>
      <c r="D2264" t="n">
        <v>2</v>
      </c>
      <c r="E2264" t="s">
        <v>2275</v>
      </c>
      <c r="F2264">
        <f>HYPERLINK("http://pbs.twimg.com/media/DZenxNEV4AAdjnH.jpg", "http://pbs.twimg.com/media/DZenxNEV4AAdjnH.jpg")</f>
        <v/>
      </c>
      <c r="G2264" t="s"/>
      <c r="H2264" t="s"/>
      <c r="I2264" t="s"/>
      <c r="J2264" t="n">
        <v>0.5622</v>
      </c>
      <c r="K2264" t="n">
        <v>0</v>
      </c>
      <c r="L2264" t="n">
        <v>0.8149999999999999</v>
      </c>
      <c r="M2264" t="n">
        <v>0.185</v>
      </c>
    </row>
    <row r="2265" spans="1:13">
      <c r="A2265" s="1">
        <f>HYPERLINK("http://www.twitter.com/NathanBLawrence/status/979436674362036225", "979436674362036225")</f>
        <v/>
      </c>
      <c r="B2265" s="2" t="n">
        <v>43188.8017824074</v>
      </c>
      <c r="C2265" t="n">
        <v>0</v>
      </c>
      <c r="D2265" t="n">
        <v>5526</v>
      </c>
      <c r="E2265" t="s">
        <v>2276</v>
      </c>
      <c r="F2265" t="s"/>
      <c r="G2265" t="s"/>
      <c r="H2265" t="s"/>
      <c r="I2265" t="s"/>
      <c r="J2265" t="n">
        <v>0.1166</v>
      </c>
      <c r="K2265" t="n">
        <v>0.094</v>
      </c>
      <c r="L2265" t="n">
        <v>0.795</v>
      </c>
      <c r="M2265" t="n">
        <v>0.111</v>
      </c>
    </row>
    <row r="2266" spans="1:13">
      <c r="A2266" s="1">
        <f>HYPERLINK("http://www.twitter.com/NathanBLawrence/status/979436354038915072", "979436354038915072")</f>
        <v/>
      </c>
      <c r="B2266" s="2" t="n">
        <v>43188.80090277778</v>
      </c>
      <c r="C2266" t="n">
        <v>0</v>
      </c>
      <c r="D2266" t="n">
        <v>194</v>
      </c>
      <c r="E2266" t="s">
        <v>2277</v>
      </c>
      <c r="F2266">
        <f>HYPERLINK("http://pbs.twimg.com/media/DZenyUKWsAEA_5h.jpg", "http://pbs.twimg.com/media/DZenyUKWsAEA_5h.jpg")</f>
        <v/>
      </c>
      <c r="G2266" t="s"/>
      <c r="H2266" t="s"/>
      <c r="I2266" t="s"/>
      <c r="J2266" t="n">
        <v>0.3818</v>
      </c>
      <c r="K2266" t="n">
        <v>0</v>
      </c>
      <c r="L2266" t="n">
        <v>0.89</v>
      </c>
      <c r="M2266" t="n">
        <v>0.11</v>
      </c>
    </row>
    <row r="2267" spans="1:13">
      <c r="A2267" s="1">
        <f>HYPERLINK("http://www.twitter.com/NathanBLawrence/status/979435511105376256", "979435511105376256")</f>
        <v/>
      </c>
      <c r="B2267" s="2" t="n">
        <v>43188.79857638889</v>
      </c>
      <c r="C2267" t="n">
        <v>0</v>
      </c>
      <c r="D2267" t="n">
        <v>2</v>
      </c>
      <c r="E2267" t="s">
        <v>2278</v>
      </c>
      <c r="F2267">
        <f>HYPERLINK("http://pbs.twimg.com/media/DZeUHwaUMAA0cyv.jpg", "http://pbs.twimg.com/media/DZeUHwaUMAA0cyv.jpg")</f>
        <v/>
      </c>
      <c r="G2267" t="s"/>
      <c r="H2267" t="s"/>
      <c r="I2267" t="s"/>
      <c r="J2267" t="n">
        <v>-0.5423</v>
      </c>
      <c r="K2267" t="n">
        <v>0.184</v>
      </c>
      <c r="L2267" t="n">
        <v>0.8159999999999999</v>
      </c>
      <c r="M2267" t="n">
        <v>0</v>
      </c>
    </row>
    <row r="2268" spans="1:13">
      <c r="A2268" s="1">
        <f>HYPERLINK("http://www.twitter.com/NathanBLawrence/status/979435140853194752", "979435140853194752")</f>
        <v/>
      </c>
      <c r="B2268" s="2" t="n">
        <v>43188.79755787037</v>
      </c>
      <c r="C2268" t="n">
        <v>0</v>
      </c>
      <c r="D2268" t="n">
        <v>1</v>
      </c>
      <c r="E2268" t="s">
        <v>2279</v>
      </c>
      <c r="F2268" t="s"/>
      <c r="G2268" t="s"/>
      <c r="H2268" t="s"/>
      <c r="I2268" t="s"/>
      <c r="J2268" t="n">
        <v>-0.7351</v>
      </c>
      <c r="K2268" t="n">
        <v>0.237</v>
      </c>
      <c r="L2268" t="n">
        <v>0.763</v>
      </c>
      <c r="M2268" t="n">
        <v>0</v>
      </c>
    </row>
    <row r="2269" spans="1:13">
      <c r="A2269" s="1">
        <f>HYPERLINK("http://www.twitter.com/NathanBLawrence/status/979416079280869377", "979416079280869377")</f>
        <v/>
      </c>
      <c r="B2269" s="2" t="n">
        <v>43188.7449537037</v>
      </c>
      <c r="C2269" t="n">
        <v>0</v>
      </c>
      <c r="D2269" t="n">
        <v>6</v>
      </c>
      <c r="E2269" t="s">
        <v>2280</v>
      </c>
      <c r="F2269" t="s"/>
      <c r="G2269" t="s"/>
      <c r="H2269" t="s"/>
      <c r="I2269" t="s"/>
      <c r="J2269" t="n">
        <v>0</v>
      </c>
      <c r="K2269" t="n">
        <v>0</v>
      </c>
      <c r="L2269" t="n">
        <v>1</v>
      </c>
      <c r="M2269" t="n">
        <v>0</v>
      </c>
    </row>
    <row r="2270" spans="1:13">
      <c r="A2270" s="1">
        <f>HYPERLINK("http://www.twitter.com/NathanBLawrence/status/979415297458307072", "979415297458307072")</f>
        <v/>
      </c>
      <c r="B2270" s="2" t="n">
        <v>43188.74280092592</v>
      </c>
      <c r="C2270" t="n">
        <v>0</v>
      </c>
      <c r="D2270" t="n">
        <v>2</v>
      </c>
      <c r="E2270" t="s">
        <v>2281</v>
      </c>
      <c r="F2270" t="s"/>
      <c r="G2270" t="s"/>
      <c r="H2270" t="s"/>
      <c r="I2270" t="s"/>
      <c r="J2270" t="n">
        <v>-0.8625</v>
      </c>
      <c r="K2270" t="n">
        <v>0.375</v>
      </c>
      <c r="L2270" t="n">
        <v>0.625</v>
      </c>
      <c r="M2270" t="n">
        <v>0</v>
      </c>
    </row>
    <row r="2271" spans="1:13">
      <c r="A2271" s="1">
        <f>HYPERLINK("http://www.twitter.com/NathanBLawrence/status/979414983581847552", "979414983581847552")</f>
        <v/>
      </c>
      <c r="B2271" s="2" t="n">
        <v>43188.74193287037</v>
      </c>
      <c r="C2271" t="n">
        <v>0</v>
      </c>
      <c r="D2271" t="n">
        <v>171</v>
      </c>
      <c r="E2271" t="s">
        <v>2282</v>
      </c>
      <c r="F2271" t="s"/>
      <c r="G2271" t="s"/>
      <c r="H2271" t="s"/>
      <c r="I2271" t="s"/>
      <c r="J2271" t="n">
        <v>0.4404</v>
      </c>
      <c r="K2271" t="n">
        <v>0</v>
      </c>
      <c r="L2271" t="n">
        <v>0.879</v>
      </c>
      <c r="M2271" t="n">
        <v>0.121</v>
      </c>
    </row>
    <row r="2272" spans="1:13">
      <c r="A2272" s="1">
        <f>HYPERLINK("http://www.twitter.com/NathanBLawrence/status/979414469410545665", "979414469410545665")</f>
        <v/>
      </c>
      <c r="B2272" s="2" t="n">
        <v>43188.74050925926</v>
      </c>
      <c r="C2272" t="n">
        <v>0</v>
      </c>
      <c r="D2272" t="n">
        <v>40</v>
      </c>
      <c r="E2272" t="s">
        <v>2283</v>
      </c>
      <c r="F2272">
        <f>HYPERLINK("https://video.twimg.com/ext_tw_video/979411550376112128/pu/vid/320x180/9GyQjA5_QMnQlrYh.mp4", "https://video.twimg.com/ext_tw_video/979411550376112128/pu/vid/320x180/9GyQjA5_QMnQlrYh.mp4")</f>
        <v/>
      </c>
      <c r="G2272" t="s"/>
      <c r="H2272" t="s"/>
      <c r="I2272" t="s"/>
      <c r="J2272" t="n">
        <v>0.4648</v>
      </c>
      <c r="K2272" t="n">
        <v>0</v>
      </c>
      <c r="L2272" t="n">
        <v>0.832</v>
      </c>
      <c r="M2272" t="n">
        <v>0.168</v>
      </c>
    </row>
    <row r="2273" spans="1:13">
      <c r="A2273" s="1">
        <f>HYPERLINK("http://www.twitter.com/NathanBLawrence/status/979413307051397120", "979413307051397120")</f>
        <v/>
      </c>
      <c r="B2273" s="2" t="n">
        <v>43188.73730324074</v>
      </c>
      <c r="C2273" t="n">
        <v>0</v>
      </c>
      <c r="D2273" t="n">
        <v>4989</v>
      </c>
      <c r="E2273" t="s">
        <v>2284</v>
      </c>
      <c r="F2273">
        <f>HYPERLINK("http://pbs.twimg.com/media/DZd1WVpWAAEpwJd.jpg", "http://pbs.twimg.com/media/DZd1WVpWAAEpwJd.jpg")</f>
        <v/>
      </c>
      <c r="G2273" t="s"/>
      <c r="H2273" t="s"/>
      <c r="I2273" t="s"/>
      <c r="J2273" t="n">
        <v>-0.7003</v>
      </c>
      <c r="K2273" t="n">
        <v>0.264</v>
      </c>
      <c r="L2273" t="n">
        <v>0.736</v>
      </c>
      <c r="M2273" t="n">
        <v>0</v>
      </c>
    </row>
    <row r="2274" spans="1:13">
      <c r="A2274" s="1">
        <f>HYPERLINK("http://www.twitter.com/NathanBLawrence/status/979412809795727363", "979412809795727363")</f>
        <v/>
      </c>
      <c r="B2274" s="2" t="n">
        <v>43188.7359375</v>
      </c>
      <c r="C2274" t="n">
        <v>0</v>
      </c>
      <c r="D2274" t="n">
        <v>179</v>
      </c>
      <c r="E2274" t="s">
        <v>2285</v>
      </c>
      <c r="F2274">
        <f>HYPERLINK("http://pbs.twimg.com/media/DZd8yLRVMAA4xem.jpg", "http://pbs.twimg.com/media/DZd8yLRVMAA4xem.jpg")</f>
        <v/>
      </c>
      <c r="G2274" t="s"/>
      <c r="H2274" t="s"/>
      <c r="I2274" t="s"/>
      <c r="J2274" t="n">
        <v>0</v>
      </c>
      <c r="K2274" t="n">
        <v>0</v>
      </c>
      <c r="L2274" t="n">
        <v>1</v>
      </c>
      <c r="M2274" t="n">
        <v>0</v>
      </c>
    </row>
    <row r="2275" spans="1:13">
      <c r="A2275" s="1">
        <f>HYPERLINK("http://www.twitter.com/NathanBLawrence/status/979411565186375680", "979411565186375680")</f>
        <v/>
      </c>
      <c r="B2275" s="2" t="n">
        <v>43188.7325</v>
      </c>
      <c r="C2275" t="n">
        <v>0</v>
      </c>
      <c r="D2275" t="n">
        <v>159</v>
      </c>
      <c r="E2275" t="s">
        <v>2286</v>
      </c>
      <c r="F2275">
        <f>HYPERLINK("http://pbs.twimg.com/media/DYmJpE9X0AAmhvq.jpg", "http://pbs.twimg.com/media/DYmJpE9X0AAmhvq.jpg")</f>
        <v/>
      </c>
      <c r="G2275" t="s"/>
      <c r="H2275" t="s"/>
      <c r="I2275" t="s"/>
      <c r="J2275" t="n">
        <v>0</v>
      </c>
      <c r="K2275" t="n">
        <v>0</v>
      </c>
      <c r="L2275" t="n">
        <v>1</v>
      </c>
      <c r="M2275" t="n">
        <v>0</v>
      </c>
    </row>
    <row r="2276" spans="1:13">
      <c r="A2276" s="1">
        <f>HYPERLINK("http://www.twitter.com/NathanBLawrence/status/979410714531127297", "979410714531127297")</f>
        <v/>
      </c>
      <c r="B2276" s="2" t="n">
        <v>43188.73015046296</v>
      </c>
      <c r="C2276" t="n">
        <v>0</v>
      </c>
      <c r="D2276" t="n">
        <v>88</v>
      </c>
      <c r="E2276" t="s">
        <v>2287</v>
      </c>
      <c r="F2276">
        <f>HYPERLINK("http://pbs.twimg.com/media/DZeOrHtWkAADYFP.jpg", "http://pbs.twimg.com/media/DZeOrHtWkAADYFP.jpg")</f>
        <v/>
      </c>
      <c r="G2276" t="s"/>
      <c r="H2276" t="s"/>
      <c r="I2276" t="s"/>
      <c r="J2276" t="n">
        <v>0.6249</v>
      </c>
      <c r="K2276" t="n">
        <v>0</v>
      </c>
      <c r="L2276" t="n">
        <v>0.746</v>
      </c>
      <c r="M2276" t="n">
        <v>0.254</v>
      </c>
    </row>
    <row r="2277" spans="1:13">
      <c r="A2277" s="1">
        <f>HYPERLINK("http://www.twitter.com/NathanBLawrence/status/979410536617140224", "979410536617140224")</f>
        <v/>
      </c>
      <c r="B2277" s="2" t="n">
        <v>43188.72966435185</v>
      </c>
      <c r="C2277" t="n">
        <v>0</v>
      </c>
      <c r="D2277" t="n">
        <v>125</v>
      </c>
      <c r="E2277" t="s">
        <v>2288</v>
      </c>
      <c r="F2277">
        <f>HYPERLINK("http://pbs.twimg.com/media/DZeOjP4X0AAzNXM.jpg", "http://pbs.twimg.com/media/DZeOjP4X0AAzNXM.jpg")</f>
        <v/>
      </c>
      <c r="G2277" t="s"/>
      <c r="H2277" t="s"/>
      <c r="I2277" t="s"/>
      <c r="J2277" t="n">
        <v>0</v>
      </c>
      <c r="K2277" t="n">
        <v>0</v>
      </c>
      <c r="L2277" t="n">
        <v>1</v>
      </c>
      <c r="M2277" t="n">
        <v>0</v>
      </c>
    </row>
    <row r="2278" spans="1:13">
      <c r="A2278" s="1">
        <f>HYPERLINK("http://www.twitter.com/NathanBLawrence/status/979409585126760458", "979409585126760458")</f>
        <v/>
      </c>
      <c r="B2278" s="2" t="n">
        <v>43188.72703703704</v>
      </c>
      <c r="C2278" t="n">
        <v>0</v>
      </c>
      <c r="D2278" t="n">
        <v>168</v>
      </c>
      <c r="E2278" t="s">
        <v>2289</v>
      </c>
      <c r="F2278" t="s"/>
      <c r="G2278" t="s"/>
      <c r="H2278" t="s"/>
      <c r="I2278" t="s"/>
      <c r="J2278" t="n">
        <v>0.5473</v>
      </c>
      <c r="K2278" t="n">
        <v>0.07000000000000001</v>
      </c>
      <c r="L2278" t="n">
        <v>0.732</v>
      </c>
      <c r="M2278" t="n">
        <v>0.199</v>
      </c>
    </row>
    <row r="2279" spans="1:13">
      <c r="A2279" s="1">
        <f>HYPERLINK("http://www.twitter.com/NathanBLawrence/status/979409055969087488", "979409055969087488")</f>
        <v/>
      </c>
      <c r="B2279" s="2" t="n">
        <v>43188.72557870371</v>
      </c>
      <c r="C2279" t="n">
        <v>0</v>
      </c>
      <c r="D2279" t="n">
        <v>460</v>
      </c>
      <c r="E2279" t="s">
        <v>2290</v>
      </c>
      <c r="F2279" t="s"/>
      <c r="G2279" t="s"/>
      <c r="H2279" t="s"/>
      <c r="I2279" t="s"/>
      <c r="J2279" t="n">
        <v>0</v>
      </c>
      <c r="K2279" t="n">
        <v>0</v>
      </c>
      <c r="L2279" t="n">
        <v>1</v>
      </c>
      <c r="M2279" t="n">
        <v>0</v>
      </c>
    </row>
    <row r="2280" spans="1:13">
      <c r="A2280" s="1">
        <f>HYPERLINK("http://www.twitter.com/NathanBLawrence/status/979408822652604421", "979408822652604421")</f>
        <v/>
      </c>
      <c r="B2280" s="2" t="n">
        <v>43188.72493055555</v>
      </c>
      <c r="C2280" t="n">
        <v>0</v>
      </c>
      <c r="D2280" t="n">
        <v>36</v>
      </c>
      <c r="E2280" t="s">
        <v>2291</v>
      </c>
      <c r="F2280">
        <f>HYPERLINK("http://pbs.twimg.com/media/DZeLE2LW4AYm-57.jpg", "http://pbs.twimg.com/media/DZeLE2LW4AYm-57.jpg")</f>
        <v/>
      </c>
      <c r="G2280" t="s"/>
      <c r="H2280" t="s"/>
      <c r="I2280" t="s"/>
      <c r="J2280" t="n">
        <v>-0.296</v>
      </c>
      <c r="K2280" t="n">
        <v>0.145</v>
      </c>
      <c r="L2280" t="n">
        <v>0.855</v>
      </c>
      <c r="M2280" t="n">
        <v>0</v>
      </c>
    </row>
    <row r="2281" spans="1:13">
      <c r="A2281" s="1">
        <f>HYPERLINK("http://www.twitter.com/NathanBLawrence/status/979408774917173249", "979408774917173249")</f>
        <v/>
      </c>
      <c r="B2281" s="2" t="n">
        <v>43188.72480324074</v>
      </c>
      <c r="C2281" t="n">
        <v>0</v>
      </c>
      <c r="D2281" t="n">
        <v>2431</v>
      </c>
      <c r="E2281" t="s">
        <v>2292</v>
      </c>
      <c r="F2281" t="s"/>
      <c r="G2281" t="s"/>
      <c r="H2281" t="s"/>
      <c r="I2281" t="s"/>
      <c r="J2281" t="n">
        <v>0.6369</v>
      </c>
      <c r="K2281" t="n">
        <v>0</v>
      </c>
      <c r="L2281" t="n">
        <v>0.754</v>
      </c>
      <c r="M2281" t="n">
        <v>0.246</v>
      </c>
    </row>
    <row r="2282" spans="1:13">
      <c r="A2282" s="1">
        <f>HYPERLINK("http://www.twitter.com/NathanBLawrence/status/979408668314783744", "979408668314783744")</f>
        <v/>
      </c>
      <c r="B2282" s="2" t="n">
        <v>43188.72450231481</v>
      </c>
      <c r="C2282" t="n">
        <v>0</v>
      </c>
      <c r="D2282" t="n">
        <v>230</v>
      </c>
      <c r="E2282" t="s">
        <v>2293</v>
      </c>
      <c r="F2282" t="s"/>
      <c r="G2282" t="s"/>
      <c r="H2282" t="s"/>
      <c r="I2282" t="s"/>
      <c r="J2282" t="n">
        <v>-0.4753</v>
      </c>
      <c r="K2282" t="n">
        <v>0.147</v>
      </c>
      <c r="L2282" t="n">
        <v>0.853</v>
      </c>
      <c r="M2282" t="n">
        <v>0</v>
      </c>
    </row>
    <row r="2283" spans="1:13">
      <c r="A2283" s="1">
        <f>HYPERLINK("http://www.twitter.com/NathanBLawrence/status/979404026235314176", "979404026235314176")</f>
        <v/>
      </c>
      <c r="B2283" s="2" t="n">
        <v>43188.71168981482</v>
      </c>
      <c r="C2283" t="n">
        <v>0</v>
      </c>
      <c r="D2283" t="n">
        <v>21</v>
      </c>
      <c r="E2283" t="s">
        <v>2294</v>
      </c>
      <c r="F2283">
        <f>HYPERLINK("https://video.twimg.com/ext_tw_video/979071192211496960/pu/vid/1280x720/ZG1kdUxyu7Uy1Nwa.mp4", "https://video.twimg.com/ext_tw_video/979071192211496960/pu/vid/1280x720/ZG1kdUxyu7Uy1Nwa.mp4")</f>
        <v/>
      </c>
      <c r="G2283" t="s"/>
      <c r="H2283" t="s"/>
      <c r="I2283" t="s"/>
      <c r="J2283" t="n">
        <v>-0.2732</v>
      </c>
      <c r="K2283" t="n">
        <v>0.095</v>
      </c>
      <c r="L2283" t="n">
        <v>0.905</v>
      </c>
      <c r="M2283" t="n">
        <v>0</v>
      </c>
    </row>
    <row r="2284" spans="1:13">
      <c r="A2284" s="1">
        <f>HYPERLINK("http://www.twitter.com/NathanBLawrence/status/979387973358833664", "979387973358833664")</f>
        <v/>
      </c>
      <c r="B2284" s="2" t="n">
        <v>43188.66739583333</v>
      </c>
      <c r="C2284" t="n">
        <v>0</v>
      </c>
      <c r="D2284" t="n">
        <v>421</v>
      </c>
      <c r="E2284" t="s">
        <v>2295</v>
      </c>
      <c r="F2284" t="s"/>
      <c r="G2284" t="s"/>
      <c r="H2284" t="s"/>
      <c r="I2284" t="s"/>
      <c r="J2284" t="n">
        <v>0</v>
      </c>
      <c r="K2284" t="n">
        <v>0</v>
      </c>
      <c r="L2284" t="n">
        <v>1</v>
      </c>
      <c r="M2284" t="n">
        <v>0</v>
      </c>
    </row>
    <row r="2285" spans="1:13">
      <c r="A2285" s="1">
        <f>HYPERLINK("http://www.twitter.com/NathanBLawrence/status/979383051468886016", "979383051468886016")</f>
        <v/>
      </c>
      <c r="B2285" s="2" t="n">
        <v>43188.65381944444</v>
      </c>
      <c r="C2285" t="n">
        <v>0</v>
      </c>
      <c r="D2285" t="n">
        <v>299</v>
      </c>
      <c r="E2285" t="s">
        <v>2296</v>
      </c>
      <c r="F2285" t="s"/>
      <c r="G2285" t="s"/>
      <c r="H2285" t="s"/>
      <c r="I2285" t="s"/>
      <c r="J2285" t="n">
        <v>-0.8316</v>
      </c>
      <c r="K2285" t="n">
        <v>0.317</v>
      </c>
      <c r="L2285" t="n">
        <v>0.6830000000000001</v>
      </c>
      <c r="M2285" t="n">
        <v>0</v>
      </c>
    </row>
    <row r="2286" spans="1:13">
      <c r="A2286" s="1">
        <f>HYPERLINK("http://www.twitter.com/NathanBLawrence/status/979382719548395520", "979382719548395520")</f>
        <v/>
      </c>
      <c r="B2286" s="2" t="n">
        <v>43188.65290509259</v>
      </c>
      <c r="C2286" t="n">
        <v>0</v>
      </c>
      <c r="D2286" t="n">
        <v>73</v>
      </c>
      <c r="E2286" t="s">
        <v>2297</v>
      </c>
      <c r="F2286" t="s"/>
      <c r="G2286" t="s"/>
      <c r="H2286" t="s"/>
      <c r="I2286" t="s"/>
      <c r="J2286" t="n">
        <v>0.25</v>
      </c>
      <c r="K2286" t="n">
        <v>0.145</v>
      </c>
      <c r="L2286" t="n">
        <v>0.645</v>
      </c>
      <c r="M2286" t="n">
        <v>0.21</v>
      </c>
    </row>
    <row r="2287" spans="1:13">
      <c r="A2287" s="1">
        <f>HYPERLINK("http://www.twitter.com/NathanBLawrence/status/979382641282682880", "979382641282682880")</f>
        <v/>
      </c>
      <c r="B2287" s="2" t="n">
        <v>43188.65268518519</v>
      </c>
      <c r="C2287" t="n">
        <v>0</v>
      </c>
      <c r="D2287" t="n">
        <v>490</v>
      </c>
      <c r="E2287" t="s">
        <v>2298</v>
      </c>
      <c r="F2287">
        <f>HYPERLINK("http://pbs.twimg.com/media/DZdwLr2VMAAJZxv.jpg", "http://pbs.twimg.com/media/DZdwLr2VMAAJZxv.jpg")</f>
        <v/>
      </c>
      <c r="G2287" t="s"/>
      <c r="H2287" t="s"/>
      <c r="I2287" t="s"/>
      <c r="J2287" t="n">
        <v>0.0772</v>
      </c>
      <c r="K2287" t="n">
        <v>0</v>
      </c>
      <c r="L2287" t="n">
        <v>0.9419999999999999</v>
      </c>
      <c r="M2287" t="n">
        <v>0.058</v>
      </c>
    </row>
    <row r="2288" spans="1:13">
      <c r="A2288" s="1">
        <f>HYPERLINK("http://www.twitter.com/NathanBLawrence/status/979382448789381127", "979382448789381127")</f>
        <v/>
      </c>
      <c r="B2288" s="2" t="n">
        <v>43188.65215277778</v>
      </c>
      <c r="C2288" t="n">
        <v>0</v>
      </c>
      <c r="D2288" t="n">
        <v>4924</v>
      </c>
      <c r="E2288" t="s">
        <v>2299</v>
      </c>
      <c r="F2288" t="s"/>
      <c r="G2288" t="s"/>
      <c r="H2288" t="s"/>
      <c r="I2288" t="s"/>
      <c r="J2288" t="n">
        <v>-0.5859</v>
      </c>
      <c r="K2288" t="n">
        <v>0.186</v>
      </c>
      <c r="L2288" t="n">
        <v>0.8139999999999999</v>
      </c>
      <c r="M2288" t="n">
        <v>0</v>
      </c>
    </row>
    <row r="2289" spans="1:13">
      <c r="A2289" s="1">
        <f>HYPERLINK("http://www.twitter.com/NathanBLawrence/status/979382216802361344", "979382216802361344")</f>
        <v/>
      </c>
      <c r="B2289" s="2" t="n">
        <v>43188.6515162037</v>
      </c>
      <c r="C2289" t="n">
        <v>0</v>
      </c>
      <c r="D2289" t="n">
        <v>55</v>
      </c>
      <c r="E2289" t="s">
        <v>2300</v>
      </c>
      <c r="F2289">
        <f>HYPERLINK("http://pbs.twimg.com/media/DZSRfvcW4AAZVrQ.jpg", "http://pbs.twimg.com/media/DZSRfvcW4AAZVrQ.jpg")</f>
        <v/>
      </c>
      <c r="G2289" t="s"/>
      <c r="H2289" t="s"/>
      <c r="I2289" t="s"/>
      <c r="J2289" t="n">
        <v>0.4588</v>
      </c>
      <c r="K2289" t="n">
        <v>0</v>
      </c>
      <c r="L2289" t="n">
        <v>0.789</v>
      </c>
      <c r="M2289" t="n">
        <v>0.211</v>
      </c>
    </row>
    <row r="2290" spans="1:13">
      <c r="A2290" s="1">
        <f>HYPERLINK("http://www.twitter.com/NathanBLawrence/status/979382028788469760", "979382028788469760")</f>
        <v/>
      </c>
      <c r="B2290" s="2" t="n">
        <v>43188.65099537037</v>
      </c>
      <c r="C2290" t="n">
        <v>0</v>
      </c>
      <c r="D2290" t="n">
        <v>13</v>
      </c>
      <c r="E2290" t="s">
        <v>2301</v>
      </c>
      <c r="F2290">
        <f>HYPERLINK("http://pbs.twimg.com/media/DZd0rPHVMAAl8_Y.jpg", "http://pbs.twimg.com/media/DZd0rPHVMAAl8_Y.jpg")</f>
        <v/>
      </c>
      <c r="G2290" t="s"/>
      <c r="H2290" t="s"/>
      <c r="I2290" t="s"/>
      <c r="J2290" t="n">
        <v>0.6027</v>
      </c>
      <c r="K2290" t="n">
        <v>0</v>
      </c>
      <c r="L2290" t="n">
        <v>0.505</v>
      </c>
      <c r="M2290" t="n">
        <v>0.495</v>
      </c>
    </row>
    <row r="2291" spans="1:13">
      <c r="A2291" s="1">
        <f>HYPERLINK("http://www.twitter.com/NathanBLawrence/status/979381323373703168", "979381323373703168")</f>
        <v/>
      </c>
      <c r="B2291" s="2" t="n">
        <v>43188.64905092592</v>
      </c>
      <c r="C2291" t="n">
        <v>0</v>
      </c>
      <c r="D2291" t="n">
        <v>21</v>
      </c>
      <c r="E2291" t="s">
        <v>2302</v>
      </c>
      <c r="F2291">
        <f>HYPERLINK("http://pbs.twimg.com/media/DZd0lAlVQAAMLmS.jpg", "http://pbs.twimg.com/media/DZd0lAlVQAAMLmS.jpg")</f>
        <v/>
      </c>
      <c r="G2291" t="s"/>
      <c r="H2291" t="s"/>
      <c r="I2291" t="s"/>
      <c r="J2291" t="n">
        <v>-0.6983</v>
      </c>
      <c r="K2291" t="n">
        <v>0.242</v>
      </c>
      <c r="L2291" t="n">
        <v>0.758</v>
      </c>
      <c r="M2291" t="n">
        <v>0</v>
      </c>
    </row>
    <row r="2292" spans="1:13">
      <c r="A2292" s="1">
        <f>HYPERLINK("http://www.twitter.com/NathanBLawrence/status/979380724531892224", "979380724531892224")</f>
        <v/>
      </c>
      <c r="B2292" s="2" t="n">
        <v>43188.64739583333</v>
      </c>
      <c r="C2292" t="n">
        <v>0</v>
      </c>
      <c r="D2292" t="n">
        <v>68</v>
      </c>
      <c r="E2292" t="s">
        <v>2303</v>
      </c>
      <c r="F2292" t="s"/>
      <c r="G2292" t="s"/>
      <c r="H2292" t="s"/>
      <c r="I2292" t="s"/>
      <c r="J2292" t="n">
        <v>0</v>
      </c>
      <c r="K2292" t="n">
        <v>0</v>
      </c>
      <c r="L2292" t="n">
        <v>1</v>
      </c>
      <c r="M2292" t="n">
        <v>0</v>
      </c>
    </row>
    <row r="2293" spans="1:13">
      <c r="A2293" s="1">
        <f>HYPERLINK("http://www.twitter.com/NathanBLawrence/status/979380490565312512", "979380490565312512")</f>
        <v/>
      </c>
      <c r="B2293" s="2" t="n">
        <v>43188.64674768518</v>
      </c>
      <c r="C2293" t="n">
        <v>0</v>
      </c>
      <c r="D2293" t="n">
        <v>224</v>
      </c>
      <c r="E2293" t="s">
        <v>2304</v>
      </c>
      <c r="F2293" t="s"/>
      <c r="G2293" t="s"/>
      <c r="H2293" t="s"/>
      <c r="I2293" t="s"/>
      <c r="J2293" t="n">
        <v>0</v>
      </c>
      <c r="K2293" t="n">
        <v>0</v>
      </c>
      <c r="L2293" t="n">
        <v>1</v>
      </c>
      <c r="M2293" t="n">
        <v>0</v>
      </c>
    </row>
    <row r="2294" spans="1:13">
      <c r="A2294" s="1">
        <f>HYPERLINK("http://www.twitter.com/NathanBLawrence/status/979380428074311683", "979380428074311683")</f>
        <v/>
      </c>
      <c r="B2294" s="2" t="n">
        <v>43188.64657407408</v>
      </c>
      <c r="C2294" t="n">
        <v>0</v>
      </c>
      <c r="D2294" t="n">
        <v>445</v>
      </c>
      <c r="E2294" t="s">
        <v>2305</v>
      </c>
      <c r="F2294">
        <f>HYPERLINK("https://video.twimg.com/amplify_video/979019637676363777/vid/1280x720/42Pchj6FVoTdYzxa.mp4", "https://video.twimg.com/amplify_video/979019637676363777/vid/1280x720/42Pchj6FVoTdYzxa.mp4")</f>
        <v/>
      </c>
      <c r="G2294" t="s"/>
      <c r="H2294" t="s"/>
      <c r="I2294" t="s"/>
      <c r="J2294" t="n">
        <v>-0.6369</v>
      </c>
      <c r="K2294" t="n">
        <v>0.281</v>
      </c>
      <c r="L2294" t="n">
        <v>0.616</v>
      </c>
      <c r="M2294" t="n">
        <v>0.103</v>
      </c>
    </row>
    <row r="2295" spans="1:13">
      <c r="A2295" s="1">
        <f>HYPERLINK("http://www.twitter.com/NathanBLawrence/status/979379806587539459", "979379806587539459")</f>
        <v/>
      </c>
      <c r="B2295" s="2" t="n">
        <v>43188.64486111111</v>
      </c>
      <c r="C2295" t="n">
        <v>0</v>
      </c>
      <c r="D2295" t="n">
        <v>483</v>
      </c>
      <c r="E2295" t="s">
        <v>2306</v>
      </c>
      <c r="F2295">
        <f>HYPERLINK("http://pbs.twimg.com/media/DZdviDXU0AEl0ow.jpg", "http://pbs.twimg.com/media/DZdviDXU0AEl0ow.jpg")</f>
        <v/>
      </c>
      <c r="G2295">
        <f>HYPERLINK("http://pbs.twimg.com/media/DZdviDZU8AclJ_s.jpg", "http://pbs.twimg.com/media/DZdviDZU8AclJ_s.jpg")</f>
        <v/>
      </c>
      <c r="H2295">
        <f>HYPERLINK("http://pbs.twimg.com/media/DZdviDXU0AIcOwY.jpg", "http://pbs.twimg.com/media/DZdviDXU0AIcOwY.jpg")</f>
        <v/>
      </c>
      <c r="I2295">
        <f>HYPERLINK("http://pbs.twimg.com/media/DZdviDZU8AAcKDV.jpg", "http://pbs.twimg.com/media/DZdviDZU8AAcKDV.jpg")</f>
        <v/>
      </c>
      <c r="J2295" t="n">
        <v>-0.7096</v>
      </c>
      <c r="K2295" t="n">
        <v>0.296</v>
      </c>
      <c r="L2295" t="n">
        <v>0.704</v>
      </c>
      <c r="M2295" t="n">
        <v>0</v>
      </c>
    </row>
    <row r="2296" spans="1:13">
      <c r="A2296" s="1">
        <f>HYPERLINK("http://www.twitter.com/NathanBLawrence/status/979379770596253696", "979379770596253696")</f>
        <v/>
      </c>
      <c r="B2296" s="2" t="n">
        <v>43188.64475694444</v>
      </c>
      <c r="C2296" t="n">
        <v>0</v>
      </c>
      <c r="D2296" t="n">
        <v>12</v>
      </c>
      <c r="E2296" t="s">
        <v>2307</v>
      </c>
      <c r="F2296" t="s"/>
      <c r="G2296" t="s"/>
      <c r="H2296" t="s"/>
      <c r="I2296" t="s"/>
      <c r="J2296" t="n">
        <v>0.2732</v>
      </c>
      <c r="K2296" t="n">
        <v>0</v>
      </c>
      <c r="L2296" t="n">
        <v>0.896</v>
      </c>
      <c r="M2296" t="n">
        <v>0.104</v>
      </c>
    </row>
    <row r="2297" spans="1:13">
      <c r="A2297" s="1">
        <f>HYPERLINK("http://www.twitter.com/NathanBLawrence/status/979378930280026114", "979378930280026114")</f>
        <v/>
      </c>
      <c r="B2297" s="2" t="n">
        <v>43188.64244212963</v>
      </c>
      <c r="C2297" t="n">
        <v>0</v>
      </c>
      <c r="D2297" t="n">
        <v>661</v>
      </c>
      <c r="E2297" t="s">
        <v>2308</v>
      </c>
      <c r="F2297" t="s"/>
      <c r="G2297" t="s"/>
      <c r="H2297" t="s"/>
      <c r="I2297" t="s"/>
      <c r="J2297" t="n">
        <v>0.6808</v>
      </c>
      <c r="K2297" t="n">
        <v>0</v>
      </c>
      <c r="L2297" t="n">
        <v>0.789</v>
      </c>
      <c r="M2297" t="n">
        <v>0.211</v>
      </c>
    </row>
    <row r="2298" spans="1:13">
      <c r="A2298" s="1">
        <f>HYPERLINK("http://www.twitter.com/NathanBLawrence/status/979378882410438656", "979378882410438656")</f>
        <v/>
      </c>
      <c r="B2298" s="2" t="n">
        <v>43188.64231481482</v>
      </c>
      <c r="C2298" t="n">
        <v>0</v>
      </c>
      <c r="D2298" t="n">
        <v>48</v>
      </c>
      <c r="E2298" t="s">
        <v>2309</v>
      </c>
      <c r="F2298" t="s"/>
      <c r="G2298" t="s"/>
      <c r="H2298" t="s"/>
      <c r="I2298" t="s"/>
      <c r="J2298" t="n">
        <v>0.0377</v>
      </c>
      <c r="K2298" t="n">
        <v>0.094</v>
      </c>
      <c r="L2298" t="n">
        <v>0.8070000000000001</v>
      </c>
      <c r="M2298" t="n">
        <v>0.099</v>
      </c>
    </row>
    <row r="2299" spans="1:13">
      <c r="A2299" s="1">
        <f>HYPERLINK("http://www.twitter.com/NathanBLawrence/status/979377300859949056", "979377300859949056")</f>
        <v/>
      </c>
      <c r="B2299" s="2" t="n">
        <v>43188.63795138889</v>
      </c>
      <c r="C2299" t="n">
        <v>0</v>
      </c>
      <c r="D2299" t="n">
        <v>1391</v>
      </c>
      <c r="E2299" t="s">
        <v>2310</v>
      </c>
      <c r="F2299" t="s"/>
      <c r="G2299" t="s"/>
      <c r="H2299" t="s"/>
      <c r="I2299" t="s"/>
      <c r="J2299" t="n">
        <v>0</v>
      </c>
      <c r="K2299" t="n">
        <v>0</v>
      </c>
      <c r="L2299" t="n">
        <v>1</v>
      </c>
      <c r="M2299" t="n">
        <v>0</v>
      </c>
    </row>
    <row r="2300" spans="1:13">
      <c r="A2300" s="1">
        <f>HYPERLINK("http://www.twitter.com/NathanBLawrence/status/979375838595551232", "979375838595551232")</f>
        <v/>
      </c>
      <c r="B2300" s="2" t="n">
        <v>43188.63391203704</v>
      </c>
      <c r="C2300" t="n">
        <v>0</v>
      </c>
      <c r="D2300" t="n">
        <v>555</v>
      </c>
      <c r="E2300" t="s">
        <v>2311</v>
      </c>
      <c r="F2300" t="s"/>
      <c r="G2300" t="s"/>
      <c r="H2300" t="s"/>
      <c r="I2300" t="s"/>
      <c r="J2300" t="n">
        <v>0</v>
      </c>
      <c r="K2300" t="n">
        <v>0</v>
      </c>
      <c r="L2300" t="n">
        <v>1</v>
      </c>
      <c r="M2300" t="n">
        <v>0</v>
      </c>
    </row>
    <row r="2301" spans="1:13">
      <c r="A2301" s="1">
        <f>HYPERLINK("http://www.twitter.com/NathanBLawrence/status/979375456804851713", "979375456804851713")</f>
        <v/>
      </c>
      <c r="B2301" s="2" t="n">
        <v>43188.6328587963</v>
      </c>
      <c r="C2301" t="n">
        <v>0</v>
      </c>
      <c r="D2301" t="n">
        <v>1109</v>
      </c>
      <c r="E2301" t="s">
        <v>2312</v>
      </c>
      <c r="F2301">
        <f>HYPERLINK("https://video.twimg.com/amplify_video/979171791703871489/vid/1280x720/YjX9hHrgbwALigjC.mp4", "https://video.twimg.com/amplify_video/979171791703871489/vid/1280x720/YjX9hHrgbwALigjC.mp4")</f>
        <v/>
      </c>
      <c r="G2301" t="s"/>
      <c r="H2301" t="s"/>
      <c r="I2301" t="s"/>
      <c r="J2301" t="n">
        <v>0.2732</v>
      </c>
      <c r="K2301" t="n">
        <v>0</v>
      </c>
      <c r="L2301" t="n">
        <v>0.909</v>
      </c>
      <c r="M2301" t="n">
        <v>0.091</v>
      </c>
    </row>
    <row r="2302" spans="1:13">
      <c r="A2302" s="1">
        <f>HYPERLINK("http://www.twitter.com/NathanBLawrence/status/979374491208994816", "979374491208994816")</f>
        <v/>
      </c>
      <c r="B2302" s="2" t="n">
        <v>43188.63019675926</v>
      </c>
      <c r="C2302" t="n">
        <v>0</v>
      </c>
      <c r="D2302" t="n">
        <v>701</v>
      </c>
      <c r="E2302" t="s">
        <v>2313</v>
      </c>
      <c r="F2302">
        <f>HYPERLINK("http://pbs.twimg.com/media/DZb-7jMVwAAOJB1.jpg", "http://pbs.twimg.com/media/DZb-7jMVwAAOJB1.jpg")</f>
        <v/>
      </c>
      <c r="G2302" t="s"/>
      <c r="H2302" t="s"/>
      <c r="I2302" t="s"/>
      <c r="J2302" t="n">
        <v>0.4939</v>
      </c>
      <c r="K2302" t="n">
        <v>0</v>
      </c>
      <c r="L2302" t="n">
        <v>0.856</v>
      </c>
      <c r="M2302" t="n">
        <v>0.144</v>
      </c>
    </row>
    <row r="2303" spans="1:13">
      <c r="A2303" s="1">
        <f>HYPERLINK("http://www.twitter.com/NathanBLawrence/status/979374139822804993", "979374139822804993")</f>
        <v/>
      </c>
      <c r="B2303" s="2" t="n">
        <v>43188.62922453704</v>
      </c>
      <c r="C2303" t="n">
        <v>0</v>
      </c>
      <c r="D2303" t="n">
        <v>75</v>
      </c>
      <c r="E2303" t="s">
        <v>2314</v>
      </c>
      <c r="F2303" t="s"/>
      <c r="G2303" t="s"/>
      <c r="H2303" t="s"/>
      <c r="I2303" t="s"/>
      <c r="J2303" t="n">
        <v>0</v>
      </c>
      <c r="K2303" t="n">
        <v>0</v>
      </c>
      <c r="L2303" t="n">
        <v>1</v>
      </c>
      <c r="M2303" t="n">
        <v>0</v>
      </c>
    </row>
    <row r="2304" spans="1:13">
      <c r="A2304" s="1">
        <f>HYPERLINK("http://www.twitter.com/NathanBLawrence/status/979373759831461889", "979373759831461889")</f>
        <v/>
      </c>
      <c r="B2304" s="2" t="n">
        <v>43188.6281712963</v>
      </c>
      <c r="C2304" t="n">
        <v>0</v>
      </c>
      <c r="D2304" t="n">
        <v>29</v>
      </c>
      <c r="E2304" t="s">
        <v>2315</v>
      </c>
      <c r="F2304" t="s"/>
      <c r="G2304" t="s"/>
      <c r="H2304" t="s"/>
      <c r="I2304" t="s"/>
      <c r="J2304" t="n">
        <v>0.5399</v>
      </c>
      <c r="K2304" t="n">
        <v>0</v>
      </c>
      <c r="L2304" t="n">
        <v>0.789</v>
      </c>
      <c r="M2304" t="n">
        <v>0.211</v>
      </c>
    </row>
    <row r="2305" spans="1:13">
      <c r="A2305" s="1">
        <f>HYPERLINK("http://www.twitter.com/NathanBLawrence/status/979373721092870144", "979373721092870144")</f>
        <v/>
      </c>
      <c r="B2305" s="2" t="n">
        <v>43188.62806712963</v>
      </c>
      <c r="C2305" t="n">
        <v>0</v>
      </c>
      <c r="D2305" t="n">
        <v>847</v>
      </c>
      <c r="E2305" t="s">
        <v>2316</v>
      </c>
      <c r="F2305" t="s"/>
      <c r="G2305" t="s"/>
      <c r="H2305" t="s"/>
      <c r="I2305" t="s"/>
      <c r="J2305" t="n">
        <v>0</v>
      </c>
      <c r="K2305" t="n">
        <v>0</v>
      </c>
      <c r="L2305" t="n">
        <v>1</v>
      </c>
      <c r="M2305" t="n">
        <v>0</v>
      </c>
    </row>
    <row r="2306" spans="1:13">
      <c r="A2306" s="1">
        <f>HYPERLINK("http://www.twitter.com/NathanBLawrence/status/979372962481623040", "979372962481623040")</f>
        <v/>
      </c>
      <c r="B2306" s="2" t="n">
        <v>43188.62597222222</v>
      </c>
      <c r="C2306" t="n">
        <v>0</v>
      </c>
      <c r="D2306" t="n">
        <v>523</v>
      </c>
      <c r="E2306" t="s">
        <v>2317</v>
      </c>
      <c r="F2306" t="s"/>
      <c r="G2306" t="s"/>
      <c r="H2306" t="s"/>
      <c r="I2306" t="s"/>
      <c r="J2306" t="n">
        <v>-0.6486</v>
      </c>
      <c r="K2306" t="n">
        <v>0.241</v>
      </c>
      <c r="L2306" t="n">
        <v>0.66</v>
      </c>
      <c r="M2306" t="n">
        <v>0.099</v>
      </c>
    </row>
    <row r="2307" spans="1:13">
      <c r="A2307" s="1">
        <f>HYPERLINK("http://www.twitter.com/NathanBLawrence/status/979372729706123266", "979372729706123266")</f>
        <v/>
      </c>
      <c r="B2307" s="2" t="n">
        <v>43188.62533564815</v>
      </c>
      <c r="C2307" t="n">
        <v>0</v>
      </c>
      <c r="D2307" t="n">
        <v>73</v>
      </c>
      <c r="E2307" t="s">
        <v>2318</v>
      </c>
      <c r="F2307" t="s"/>
      <c r="G2307" t="s"/>
      <c r="H2307" t="s"/>
      <c r="I2307" t="s"/>
      <c r="J2307" t="n">
        <v>0</v>
      </c>
      <c r="K2307" t="n">
        <v>0</v>
      </c>
      <c r="L2307" t="n">
        <v>1</v>
      </c>
      <c r="M2307" t="n">
        <v>0</v>
      </c>
    </row>
    <row r="2308" spans="1:13">
      <c r="A2308" s="1">
        <f>HYPERLINK("http://www.twitter.com/NathanBLawrence/status/979368134372098049", "979368134372098049")</f>
        <v/>
      </c>
      <c r="B2308" s="2" t="n">
        <v>43188.61265046296</v>
      </c>
      <c r="C2308" t="n">
        <v>0</v>
      </c>
      <c r="D2308" t="n">
        <v>159</v>
      </c>
      <c r="E2308" t="s">
        <v>2319</v>
      </c>
      <c r="F2308">
        <f>HYPERLINK("http://pbs.twimg.com/media/DZdoQVlW4AA6VPM.jpg", "http://pbs.twimg.com/media/DZdoQVlW4AA6VPM.jpg")</f>
        <v/>
      </c>
      <c r="G2308" t="s"/>
      <c r="H2308" t="s"/>
      <c r="I2308" t="s"/>
      <c r="J2308" t="n">
        <v>0</v>
      </c>
      <c r="K2308" t="n">
        <v>0</v>
      </c>
      <c r="L2308" t="n">
        <v>1</v>
      </c>
      <c r="M2308" t="n">
        <v>0</v>
      </c>
    </row>
    <row r="2309" spans="1:13">
      <c r="A2309" s="1">
        <f>HYPERLINK("http://www.twitter.com/NathanBLawrence/status/979367397504241666", "979367397504241666")</f>
        <v/>
      </c>
      <c r="B2309" s="2" t="n">
        <v>43188.61061342592</v>
      </c>
      <c r="C2309" t="n">
        <v>0</v>
      </c>
      <c r="D2309" t="n">
        <v>90</v>
      </c>
      <c r="E2309" t="s">
        <v>2320</v>
      </c>
      <c r="F2309" t="s"/>
      <c r="G2309" t="s"/>
      <c r="H2309" t="s"/>
      <c r="I2309" t="s"/>
      <c r="J2309" t="n">
        <v>-0.296</v>
      </c>
      <c r="K2309" t="n">
        <v>0.136</v>
      </c>
      <c r="L2309" t="n">
        <v>0.775</v>
      </c>
      <c r="M2309" t="n">
        <v>0.089</v>
      </c>
    </row>
    <row r="2310" spans="1:13">
      <c r="A2310" s="1">
        <f>HYPERLINK("http://www.twitter.com/NathanBLawrence/status/979367140133306369", "979367140133306369")</f>
        <v/>
      </c>
      <c r="B2310" s="2" t="n">
        <v>43188.60990740741</v>
      </c>
      <c r="C2310" t="n">
        <v>0</v>
      </c>
      <c r="D2310" t="n">
        <v>3568</v>
      </c>
      <c r="E2310" t="s">
        <v>2321</v>
      </c>
      <c r="F2310">
        <f>HYPERLINK("http://pbs.twimg.com/media/DZBP3eyVwAAug9u.jpg", "http://pbs.twimg.com/media/DZBP3eyVwAAug9u.jpg")</f>
        <v/>
      </c>
      <c r="G2310" t="s"/>
      <c r="H2310" t="s"/>
      <c r="I2310" t="s"/>
      <c r="J2310" t="n">
        <v>0.5423</v>
      </c>
      <c r="K2310" t="n">
        <v>0</v>
      </c>
      <c r="L2310" t="n">
        <v>0.863</v>
      </c>
      <c r="M2310" t="n">
        <v>0.137</v>
      </c>
    </row>
    <row r="2311" spans="1:13">
      <c r="A2311" s="1">
        <f>HYPERLINK("http://www.twitter.com/NathanBLawrence/status/979367053294473222", "979367053294473222")</f>
        <v/>
      </c>
      <c r="B2311" s="2" t="n">
        <v>43188.60966435185</v>
      </c>
      <c r="C2311" t="n">
        <v>0</v>
      </c>
      <c r="D2311" t="n">
        <v>3433</v>
      </c>
      <c r="E2311" t="s">
        <v>2322</v>
      </c>
      <c r="F2311">
        <f>HYPERLINK("http://pbs.twimg.com/media/DZdnnmUUMAIklJq.jpg", "http://pbs.twimg.com/media/DZdnnmUUMAIklJq.jpg")</f>
        <v/>
      </c>
      <c r="G2311" t="s"/>
      <c r="H2311" t="s"/>
      <c r="I2311" t="s"/>
      <c r="J2311" t="n">
        <v>0.8252</v>
      </c>
      <c r="K2311" t="n">
        <v>0</v>
      </c>
      <c r="L2311" t="n">
        <v>0.733</v>
      </c>
      <c r="M2311" t="n">
        <v>0.267</v>
      </c>
    </row>
    <row r="2312" spans="1:13">
      <c r="A2312" s="1">
        <f>HYPERLINK("http://www.twitter.com/NathanBLawrence/status/979366765930131456", "979366765930131456")</f>
        <v/>
      </c>
      <c r="B2312" s="2" t="n">
        <v>43188.60887731481</v>
      </c>
      <c r="C2312" t="n">
        <v>0</v>
      </c>
      <c r="D2312" t="n">
        <v>21</v>
      </c>
      <c r="E2312" t="s">
        <v>2323</v>
      </c>
      <c r="F2312">
        <f>HYPERLINK("http://pbs.twimg.com/media/DZdjRl7W0AAXnfh.jpg", "http://pbs.twimg.com/media/DZdjRl7W0AAXnfh.jpg")</f>
        <v/>
      </c>
      <c r="G2312" t="s"/>
      <c r="H2312" t="s"/>
      <c r="I2312" t="s"/>
      <c r="J2312" t="n">
        <v>-0.296</v>
      </c>
      <c r="K2312" t="n">
        <v>0.155</v>
      </c>
      <c r="L2312" t="n">
        <v>0.845</v>
      </c>
      <c r="M2312" t="n">
        <v>0</v>
      </c>
    </row>
    <row r="2313" spans="1:13">
      <c r="A2313" s="1">
        <f>HYPERLINK("http://www.twitter.com/NathanBLawrence/status/979365559828664327", "979365559828664327")</f>
        <v/>
      </c>
      <c r="B2313" s="2" t="n">
        <v>43188.60554398148</v>
      </c>
      <c r="C2313" t="n">
        <v>0</v>
      </c>
      <c r="D2313" t="n">
        <v>118</v>
      </c>
      <c r="E2313" t="s">
        <v>2324</v>
      </c>
      <c r="F2313">
        <f>HYPERLINK("http://pbs.twimg.com/media/DZbOGVoXUAA2tlr.jpg", "http://pbs.twimg.com/media/DZbOGVoXUAA2tlr.jpg")</f>
        <v/>
      </c>
      <c r="G2313" t="s"/>
      <c r="H2313" t="s"/>
      <c r="I2313" t="s"/>
      <c r="J2313" t="n">
        <v>0</v>
      </c>
      <c r="K2313" t="n">
        <v>0</v>
      </c>
      <c r="L2313" t="n">
        <v>1</v>
      </c>
      <c r="M2313" t="n">
        <v>0</v>
      </c>
    </row>
    <row r="2314" spans="1:13">
      <c r="A2314" s="1">
        <f>HYPERLINK("http://www.twitter.com/NathanBLawrence/status/979364681117704192", "979364681117704192")</f>
        <v/>
      </c>
      <c r="B2314" s="2" t="n">
        <v>43188.603125</v>
      </c>
      <c r="C2314" t="n">
        <v>0</v>
      </c>
      <c r="D2314" t="n">
        <v>4870</v>
      </c>
      <c r="E2314" t="s">
        <v>2325</v>
      </c>
      <c r="F2314" t="s"/>
      <c r="G2314" t="s"/>
      <c r="H2314" t="s"/>
      <c r="I2314" t="s"/>
      <c r="J2314" t="n">
        <v>-0.5859</v>
      </c>
      <c r="K2314" t="n">
        <v>0.33</v>
      </c>
      <c r="L2314" t="n">
        <v>0.549</v>
      </c>
      <c r="M2314" t="n">
        <v>0.121</v>
      </c>
    </row>
    <row r="2315" spans="1:13">
      <c r="A2315" s="1">
        <f>HYPERLINK("http://www.twitter.com/NathanBLawrence/status/979364607428055046", "979364607428055046")</f>
        <v/>
      </c>
      <c r="B2315" s="2" t="n">
        <v>43188.60291666666</v>
      </c>
      <c r="C2315" t="n">
        <v>0</v>
      </c>
      <c r="D2315" t="n">
        <v>229</v>
      </c>
      <c r="E2315" t="s">
        <v>2326</v>
      </c>
      <c r="F2315">
        <f>HYPERLINK("http://pbs.twimg.com/media/DZdk9a-W4AAUrW1.jpg", "http://pbs.twimg.com/media/DZdk9a-W4AAUrW1.jpg")</f>
        <v/>
      </c>
      <c r="G2315" t="s"/>
      <c r="H2315" t="s"/>
      <c r="I2315" t="s"/>
      <c r="J2315" t="n">
        <v>-0.5859</v>
      </c>
      <c r="K2315" t="n">
        <v>0.16</v>
      </c>
      <c r="L2315" t="n">
        <v>0.84</v>
      </c>
      <c r="M2315" t="n">
        <v>0</v>
      </c>
    </row>
    <row r="2316" spans="1:13">
      <c r="A2316" s="1">
        <f>HYPERLINK("http://www.twitter.com/NathanBLawrence/status/979364407041028097", "979364407041028097")</f>
        <v/>
      </c>
      <c r="B2316" s="2" t="n">
        <v>43188.60237268519</v>
      </c>
      <c r="C2316" t="n">
        <v>0</v>
      </c>
      <c r="D2316" t="n">
        <v>540</v>
      </c>
      <c r="E2316" t="s">
        <v>2327</v>
      </c>
      <c r="F2316" t="s"/>
      <c r="G2316" t="s"/>
      <c r="H2316" t="s"/>
      <c r="I2316" t="s"/>
      <c r="J2316" t="n">
        <v>0.7418</v>
      </c>
      <c r="K2316" t="n">
        <v>0</v>
      </c>
      <c r="L2316" t="n">
        <v>0.73</v>
      </c>
      <c r="M2316" t="n">
        <v>0.27</v>
      </c>
    </row>
    <row r="2317" spans="1:13">
      <c r="A2317" s="1">
        <f>HYPERLINK("http://www.twitter.com/NathanBLawrence/status/979363279842742273", "979363279842742273")</f>
        <v/>
      </c>
      <c r="B2317" s="2" t="n">
        <v>43188.59925925926</v>
      </c>
      <c r="C2317" t="n">
        <v>0</v>
      </c>
      <c r="D2317" t="n">
        <v>1440</v>
      </c>
      <c r="E2317" t="s">
        <v>2328</v>
      </c>
      <c r="F2317">
        <f>HYPERLINK("https://video.twimg.com/ext_tw_video/979361327792644096/pu/vid/480x480/dBBxpmiegcgnSxK4.mp4", "https://video.twimg.com/ext_tw_video/979361327792644096/pu/vid/480x480/dBBxpmiegcgnSxK4.mp4")</f>
        <v/>
      </c>
      <c r="G2317" t="s"/>
      <c r="H2317" t="s"/>
      <c r="I2317" t="s"/>
      <c r="J2317" t="n">
        <v>-0.25</v>
      </c>
      <c r="K2317" t="n">
        <v>0.143</v>
      </c>
      <c r="L2317" t="n">
        <v>0.754</v>
      </c>
      <c r="M2317" t="n">
        <v>0.103</v>
      </c>
    </row>
    <row r="2318" spans="1:13">
      <c r="A2318" s="1">
        <f>HYPERLINK("http://www.twitter.com/NathanBLawrence/status/979362953068728320", "979362953068728320")</f>
        <v/>
      </c>
      <c r="B2318" s="2" t="n">
        <v>43188.59835648148</v>
      </c>
      <c r="C2318" t="n">
        <v>0</v>
      </c>
      <c r="D2318" t="n">
        <v>28</v>
      </c>
      <c r="E2318" t="s">
        <v>2329</v>
      </c>
      <c r="F2318" t="s"/>
      <c r="G2318" t="s"/>
      <c r="H2318" t="s"/>
      <c r="I2318" t="s"/>
      <c r="J2318" t="n">
        <v>0.34</v>
      </c>
      <c r="K2318" t="n">
        <v>0</v>
      </c>
      <c r="L2318" t="n">
        <v>0.888</v>
      </c>
      <c r="M2318" t="n">
        <v>0.112</v>
      </c>
    </row>
    <row r="2319" spans="1:13">
      <c r="A2319" s="1">
        <f>HYPERLINK("http://www.twitter.com/NathanBLawrence/status/979361865842221056", "979361865842221056")</f>
        <v/>
      </c>
      <c r="B2319" s="2" t="n">
        <v>43188.59535879629</v>
      </c>
      <c r="C2319" t="n">
        <v>0</v>
      </c>
      <c r="D2319" t="n">
        <v>164</v>
      </c>
      <c r="E2319" t="s">
        <v>2330</v>
      </c>
      <c r="F2319" t="s"/>
      <c r="G2319" t="s"/>
      <c r="H2319" t="s"/>
      <c r="I2319" t="s"/>
      <c r="J2319" t="n">
        <v>0</v>
      </c>
      <c r="K2319" t="n">
        <v>0</v>
      </c>
      <c r="L2319" t="n">
        <v>1</v>
      </c>
      <c r="M2319" t="n">
        <v>0</v>
      </c>
    </row>
    <row r="2320" spans="1:13">
      <c r="A2320" s="1">
        <f>HYPERLINK("http://www.twitter.com/NathanBLawrence/status/979361492700160002", "979361492700160002")</f>
        <v/>
      </c>
      <c r="B2320" s="2" t="n">
        <v>43188.5943287037</v>
      </c>
      <c r="C2320" t="n">
        <v>0</v>
      </c>
      <c r="D2320" t="n">
        <v>38</v>
      </c>
      <c r="E2320" t="s">
        <v>2331</v>
      </c>
      <c r="F2320">
        <f>HYPERLINK("http://pbs.twimg.com/media/DZdeTvpVwAA1By9.jpg", "http://pbs.twimg.com/media/DZdeTvpVwAA1By9.jpg")</f>
        <v/>
      </c>
      <c r="G2320" t="s"/>
      <c r="H2320" t="s"/>
      <c r="I2320" t="s"/>
      <c r="J2320" t="n">
        <v>0.4374</v>
      </c>
      <c r="K2320" t="n">
        <v>0</v>
      </c>
      <c r="L2320" t="n">
        <v>0.855</v>
      </c>
      <c r="M2320" t="n">
        <v>0.145</v>
      </c>
    </row>
    <row r="2321" spans="1:13">
      <c r="A2321" s="1">
        <f>HYPERLINK("http://www.twitter.com/NathanBLawrence/status/979361300659744770", "979361300659744770")</f>
        <v/>
      </c>
      <c r="B2321" s="2" t="n">
        <v>43188.5937962963</v>
      </c>
      <c r="C2321" t="n">
        <v>0</v>
      </c>
      <c r="D2321" t="n">
        <v>282</v>
      </c>
      <c r="E2321" t="s">
        <v>2332</v>
      </c>
      <c r="F2321">
        <f>HYPERLINK("https://video.twimg.com/amplify_video/979348969116569601/vid/720x720/Fr_laDJxFncKL0g4.mp4", "https://video.twimg.com/amplify_video/979348969116569601/vid/720x720/Fr_laDJxFncKL0g4.mp4")</f>
        <v/>
      </c>
      <c r="G2321" t="s"/>
      <c r="H2321" t="s"/>
      <c r="I2321" t="s"/>
      <c r="J2321" t="n">
        <v>0</v>
      </c>
      <c r="K2321" t="n">
        <v>0</v>
      </c>
      <c r="L2321" t="n">
        <v>1</v>
      </c>
      <c r="M2321" t="n">
        <v>0</v>
      </c>
    </row>
    <row r="2322" spans="1:13">
      <c r="A2322" s="1">
        <f>HYPERLINK("http://www.twitter.com/NathanBLawrence/status/979360465754181633", "979360465754181633")</f>
        <v/>
      </c>
      <c r="B2322" s="2" t="n">
        <v>43188.59149305556</v>
      </c>
      <c r="C2322" t="n">
        <v>0</v>
      </c>
      <c r="D2322" t="n">
        <v>1547</v>
      </c>
      <c r="E2322" t="s">
        <v>2333</v>
      </c>
      <c r="F2322" t="s"/>
      <c r="G2322" t="s"/>
      <c r="H2322" t="s"/>
      <c r="I2322" t="s"/>
      <c r="J2322" t="n">
        <v>0</v>
      </c>
      <c r="K2322" t="n">
        <v>0</v>
      </c>
      <c r="L2322" t="n">
        <v>1</v>
      </c>
      <c r="M2322" t="n">
        <v>0</v>
      </c>
    </row>
    <row r="2323" spans="1:13">
      <c r="A2323" s="1">
        <f>HYPERLINK("http://www.twitter.com/NathanBLawrence/status/979360381511651328", "979360381511651328")</f>
        <v/>
      </c>
      <c r="B2323" s="2" t="n">
        <v>43188.59126157407</v>
      </c>
      <c r="C2323" t="n">
        <v>0</v>
      </c>
      <c r="D2323" t="n">
        <v>43</v>
      </c>
      <c r="E2323" t="s">
        <v>2334</v>
      </c>
      <c r="F2323" t="s"/>
      <c r="G2323" t="s"/>
      <c r="H2323" t="s"/>
      <c r="I2323" t="s"/>
      <c r="J2323" t="n">
        <v>0.4019</v>
      </c>
      <c r="K2323" t="n">
        <v>0</v>
      </c>
      <c r="L2323" t="n">
        <v>0.863</v>
      </c>
      <c r="M2323" t="n">
        <v>0.137</v>
      </c>
    </row>
    <row r="2324" spans="1:13">
      <c r="A2324" s="1">
        <f>HYPERLINK("http://www.twitter.com/NathanBLawrence/status/979360226230128640", "979360226230128640")</f>
        <v/>
      </c>
      <c r="B2324" s="2" t="n">
        <v>43188.59083333334</v>
      </c>
      <c r="C2324" t="n">
        <v>0</v>
      </c>
      <c r="D2324" t="n">
        <v>43</v>
      </c>
      <c r="E2324" t="s">
        <v>2335</v>
      </c>
      <c r="F2324">
        <f>HYPERLINK("http://pbs.twimg.com/media/DZddvZ5UMAIWEam.jpg", "http://pbs.twimg.com/media/DZddvZ5UMAIWEam.jpg")</f>
        <v/>
      </c>
      <c r="G2324" t="s"/>
      <c r="H2324" t="s"/>
      <c r="I2324" t="s"/>
      <c r="J2324" t="n">
        <v>0.4374</v>
      </c>
      <c r="K2324" t="n">
        <v>0</v>
      </c>
      <c r="L2324" t="n">
        <v>0.855</v>
      </c>
      <c r="M2324" t="n">
        <v>0.145</v>
      </c>
    </row>
    <row r="2325" spans="1:13">
      <c r="A2325" s="1">
        <f>HYPERLINK("http://www.twitter.com/NathanBLawrence/status/979360163248377856", "979360163248377856")</f>
        <v/>
      </c>
      <c r="B2325" s="2" t="n">
        <v>43188.59065972222</v>
      </c>
      <c r="C2325" t="n">
        <v>0</v>
      </c>
      <c r="D2325" t="n">
        <v>863</v>
      </c>
      <c r="E2325" t="s">
        <v>2336</v>
      </c>
      <c r="F2325" t="s"/>
      <c r="G2325" t="s"/>
      <c r="H2325" t="s"/>
      <c r="I2325" t="s"/>
      <c r="J2325" t="n">
        <v>-0.6705</v>
      </c>
      <c r="K2325" t="n">
        <v>0.268</v>
      </c>
      <c r="L2325" t="n">
        <v>0.732</v>
      </c>
      <c r="M2325" t="n">
        <v>0</v>
      </c>
    </row>
    <row r="2326" spans="1:13">
      <c r="A2326" s="1">
        <f>HYPERLINK("http://www.twitter.com/NathanBLawrence/status/979353631035154433", "979353631035154433")</f>
        <v/>
      </c>
      <c r="B2326" s="2" t="n">
        <v>43188.57262731482</v>
      </c>
      <c r="C2326" t="n">
        <v>0</v>
      </c>
      <c r="D2326" t="n">
        <v>2536</v>
      </c>
      <c r="E2326" t="s">
        <v>2337</v>
      </c>
      <c r="F2326" t="s"/>
      <c r="G2326" t="s"/>
      <c r="H2326" t="s"/>
      <c r="I2326" t="s"/>
      <c r="J2326" t="n">
        <v>0</v>
      </c>
      <c r="K2326" t="n">
        <v>0</v>
      </c>
      <c r="L2326" t="n">
        <v>1</v>
      </c>
      <c r="M2326" t="n">
        <v>0</v>
      </c>
    </row>
    <row r="2327" spans="1:13">
      <c r="A2327" s="1">
        <f>HYPERLINK("http://www.twitter.com/NathanBLawrence/status/979353006444597248", "979353006444597248")</f>
        <v/>
      </c>
      <c r="B2327" s="2" t="n">
        <v>43188.57090277778</v>
      </c>
      <c r="C2327" t="n">
        <v>0</v>
      </c>
      <c r="D2327" t="n">
        <v>269</v>
      </c>
      <c r="E2327" t="s">
        <v>2338</v>
      </c>
      <c r="F2327" t="s"/>
      <c r="G2327" t="s"/>
      <c r="H2327" t="s"/>
      <c r="I2327" t="s"/>
      <c r="J2327" t="n">
        <v>0.5423</v>
      </c>
      <c r="K2327" t="n">
        <v>0</v>
      </c>
      <c r="L2327" t="n">
        <v>0.744</v>
      </c>
      <c r="M2327" t="n">
        <v>0.256</v>
      </c>
    </row>
    <row r="2328" spans="1:13">
      <c r="A2328" s="1">
        <f>HYPERLINK("http://www.twitter.com/NathanBLawrence/status/979352277403230209", "979352277403230209")</f>
        <v/>
      </c>
      <c r="B2328" s="2" t="n">
        <v>43188.56890046296</v>
      </c>
      <c r="C2328" t="n">
        <v>0</v>
      </c>
      <c r="D2328" t="n">
        <v>802</v>
      </c>
      <c r="E2328" t="s">
        <v>2339</v>
      </c>
      <c r="F2328">
        <f>HYPERLINK("https://video.twimg.com/amplify_video/979278291067658242/vid/1280x720/uRfylF8UHn16wLaF.mp4", "https://video.twimg.com/amplify_video/979278291067658242/vid/1280x720/uRfylF8UHn16wLaF.mp4")</f>
        <v/>
      </c>
      <c r="G2328" t="s"/>
      <c r="H2328" t="s"/>
      <c r="I2328" t="s"/>
      <c r="J2328" t="n">
        <v>0</v>
      </c>
      <c r="K2328" t="n">
        <v>0</v>
      </c>
      <c r="L2328" t="n">
        <v>1</v>
      </c>
      <c r="M2328" t="n">
        <v>0</v>
      </c>
    </row>
    <row r="2329" spans="1:13">
      <c r="A2329" s="1">
        <f>HYPERLINK("http://www.twitter.com/NathanBLawrence/status/979351610609623047", "979351610609623047")</f>
        <v/>
      </c>
      <c r="B2329" s="2" t="n">
        <v>43188.56706018518</v>
      </c>
      <c r="C2329" t="n">
        <v>0</v>
      </c>
      <c r="D2329" t="n">
        <v>72</v>
      </c>
      <c r="E2329" t="s">
        <v>2340</v>
      </c>
      <c r="F2329">
        <f>HYPERLINK("http://pbs.twimg.com/media/DZcu16lVoAMfl6l.jpg", "http://pbs.twimg.com/media/DZcu16lVoAMfl6l.jpg")</f>
        <v/>
      </c>
      <c r="G2329" t="s"/>
      <c r="H2329" t="s"/>
      <c r="I2329" t="s"/>
      <c r="J2329" t="n">
        <v>0.4199</v>
      </c>
      <c r="K2329" t="n">
        <v>0</v>
      </c>
      <c r="L2329" t="n">
        <v>0.892</v>
      </c>
      <c r="M2329" t="n">
        <v>0.108</v>
      </c>
    </row>
    <row r="2330" spans="1:13">
      <c r="A2330" s="1">
        <f>HYPERLINK("http://www.twitter.com/NathanBLawrence/status/979351509216395264", "979351509216395264")</f>
        <v/>
      </c>
      <c r="B2330" s="2" t="n">
        <v>43188.56677083333</v>
      </c>
      <c r="C2330" t="n">
        <v>0</v>
      </c>
      <c r="D2330" t="n">
        <v>411</v>
      </c>
      <c r="E2330" t="s">
        <v>2341</v>
      </c>
      <c r="F2330">
        <f>HYPERLINK("https://video.twimg.com/amplify_video/979018494342782980/vid/1280x720/Q7HcMYvoZk2F0Zud.mp4", "https://video.twimg.com/amplify_video/979018494342782980/vid/1280x720/Q7HcMYvoZk2F0Zud.mp4")</f>
        <v/>
      </c>
      <c r="G2330" t="s"/>
      <c r="H2330" t="s"/>
      <c r="I2330" t="s"/>
      <c r="J2330" t="n">
        <v>-0.2732</v>
      </c>
      <c r="K2330" t="n">
        <v>0.08</v>
      </c>
      <c r="L2330" t="n">
        <v>0.92</v>
      </c>
      <c r="M2330" t="n">
        <v>0</v>
      </c>
    </row>
    <row r="2331" spans="1:13">
      <c r="A2331" s="1">
        <f>HYPERLINK("http://www.twitter.com/NathanBLawrence/status/979350570950692864", "979350570950692864")</f>
        <v/>
      </c>
      <c r="B2331" s="2" t="n">
        <v>43188.56418981482</v>
      </c>
      <c r="C2331" t="n">
        <v>0</v>
      </c>
      <c r="D2331" t="n">
        <v>0</v>
      </c>
      <c r="E2331" t="s">
        <v>2342</v>
      </c>
      <c r="F2331" t="s"/>
      <c r="G2331" t="s"/>
      <c r="H2331" t="s"/>
      <c r="I2331" t="s"/>
      <c r="J2331" t="n">
        <v>0.4019</v>
      </c>
      <c r="K2331" t="n">
        <v>0</v>
      </c>
      <c r="L2331" t="n">
        <v>0.649</v>
      </c>
      <c r="M2331" t="n">
        <v>0.351</v>
      </c>
    </row>
    <row r="2332" spans="1:13">
      <c r="A2332" s="1">
        <f>HYPERLINK("http://www.twitter.com/NathanBLawrence/status/979349741921333248", "979349741921333248")</f>
        <v/>
      </c>
      <c r="B2332" s="2" t="n">
        <v>43188.56189814815</v>
      </c>
      <c r="C2332" t="n">
        <v>0</v>
      </c>
      <c r="D2332" t="n">
        <v>12</v>
      </c>
      <c r="E2332" t="s">
        <v>2343</v>
      </c>
      <c r="F2332">
        <f>HYPERLINK("https://video.twimg.com/ext_tw_video/979330110695395328/pu/vid/1280x720/3LdZZeQIyzETi8c6.mp4", "https://video.twimg.com/ext_tw_video/979330110695395328/pu/vid/1280x720/3LdZZeQIyzETi8c6.mp4")</f>
        <v/>
      </c>
      <c r="G2332" t="s"/>
      <c r="H2332" t="s"/>
      <c r="I2332" t="s"/>
      <c r="J2332" t="n">
        <v>0.8316</v>
      </c>
      <c r="K2332" t="n">
        <v>0</v>
      </c>
      <c r="L2332" t="n">
        <v>0.645</v>
      </c>
      <c r="M2332" t="n">
        <v>0.355</v>
      </c>
    </row>
    <row r="2333" spans="1:13">
      <c r="A2333" s="1">
        <f>HYPERLINK("http://www.twitter.com/NathanBLawrence/status/979348665323188224", "979348665323188224")</f>
        <v/>
      </c>
      <c r="B2333" s="2" t="n">
        <v>43188.55892361111</v>
      </c>
      <c r="C2333" t="n">
        <v>0</v>
      </c>
      <c r="D2333" t="n">
        <v>18</v>
      </c>
      <c r="E2333" t="s">
        <v>2344</v>
      </c>
      <c r="F2333">
        <f>HYPERLINK("http://pbs.twimg.com/media/DZdXjZQX0AA8Nfa.jpg", "http://pbs.twimg.com/media/DZdXjZQX0AA8Nfa.jpg")</f>
        <v/>
      </c>
      <c r="G2333" t="s"/>
      <c r="H2333" t="s"/>
      <c r="I2333" t="s"/>
      <c r="J2333" t="n">
        <v>0</v>
      </c>
      <c r="K2333" t="n">
        <v>0</v>
      </c>
      <c r="L2333" t="n">
        <v>1</v>
      </c>
      <c r="M2333" t="n">
        <v>0</v>
      </c>
    </row>
    <row r="2334" spans="1:13">
      <c r="A2334" s="1">
        <f>HYPERLINK("http://www.twitter.com/NathanBLawrence/status/979348473752489985", "979348473752489985")</f>
        <v/>
      </c>
      <c r="B2334" s="2" t="n">
        <v>43188.55840277778</v>
      </c>
      <c r="C2334" t="n">
        <v>0</v>
      </c>
      <c r="D2334" t="n">
        <v>6009</v>
      </c>
      <c r="E2334" t="s">
        <v>2345</v>
      </c>
      <c r="F2334">
        <f>HYPERLINK("https://video.twimg.com/amplify_video/978743716696481792/vid/720x720/kahsNFwZsgP6R4QP.mp4", "https://video.twimg.com/amplify_video/978743716696481792/vid/720x720/kahsNFwZsgP6R4QP.mp4")</f>
        <v/>
      </c>
      <c r="G2334" t="s"/>
      <c r="H2334" t="s"/>
      <c r="I2334" t="s"/>
      <c r="J2334" t="n">
        <v>-0.5994</v>
      </c>
      <c r="K2334" t="n">
        <v>0.182</v>
      </c>
      <c r="L2334" t="n">
        <v>0.8179999999999999</v>
      </c>
      <c r="M2334" t="n">
        <v>0</v>
      </c>
    </row>
    <row r="2335" spans="1:13">
      <c r="A2335" s="1">
        <f>HYPERLINK("http://www.twitter.com/NathanBLawrence/status/979345712730267649", "979345712730267649")</f>
        <v/>
      </c>
      <c r="B2335" s="2" t="n">
        <v>43188.55077546297</v>
      </c>
      <c r="C2335" t="n">
        <v>0</v>
      </c>
      <c r="D2335" t="n">
        <v>162</v>
      </c>
      <c r="E2335" t="s">
        <v>2346</v>
      </c>
      <c r="F2335" t="s"/>
      <c r="G2335" t="s"/>
      <c r="H2335" t="s"/>
      <c r="I2335" t="s"/>
      <c r="J2335" t="n">
        <v>0</v>
      </c>
      <c r="K2335" t="n">
        <v>0</v>
      </c>
      <c r="L2335" t="n">
        <v>1</v>
      </c>
      <c r="M2335" t="n">
        <v>0</v>
      </c>
    </row>
    <row r="2336" spans="1:13">
      <c r="A2336" s="1">
        <f>HYPERLINK("http://www.twitter.com/NathanBLawrence/status/979345423973474305", "979345423973474305")</f>
        <v/>
      </c>
      <c r="B2336" s="2" t="n">
        <v>43188.54998842593</v>
      </c>
      <c r="C2336" t="n">
        <v>0</v>
      </c>
      <c r="D2336" t="n">
        <v>429</v>
      </c>
      <c r="E2336" t="s">
        <v>2347</v>
      </c>
      <c r="F2336">
        <f>HYPERLINK("http://pbs.twimg.com/media/DZaHrnZW0AAPhhJ.jpg", "http://pbs.twimg.com/media/DZaHrnZW0AAPhhJ.jpg")</f>
        <v/>
      </c>
      <c r="G2336">
        <f>HYPERLINK("http://pbs.twimg.com/media/DZaH0luX0AAmyde.jpg", "http://pbs.twimg.com/media/DZaH0luX0AAmyde.jpg")</f>
        <v/>
      </c>
      <c r="H2336">
        <f>HYPERLINK("http://pbs.twimg.com/media/DZaH_gEWsAAEEJa.jpg", "http://pbs.twimg.com/media/DZaH_gEWsAAEEJa.jpg")</f>
        <v/>
      </c>
      <c r="I2336">
        <f>HYPERLINK("http://pbs.twimg.com/media/DZaIiZbW4AAADwG.jpg", "http://pbs.twimg.com/media/DZaIiZbW4AAADwG.jpg")</f>
        <v/>
      </c>
      <c r="J2336" t="n">
        <v>0.3182</v>
      </c>
      <c r="K2336" t="n">
        <v>0</v>
      </c>
      <c r="L2336" t="n">
        <v>0.839</v>
      </c>
      <c r="M2336" t="n">
        <v>0.161</v>
      </c>
    </row>
    <row r="2337" spans="1:13">
      <c r="A2337" s="1">
        <f>HYPERLINK("http://www.twitter.com/NathanBLawrence/status/979343105966182400", "979343105966182400")</f>
        <v/>
      </c>
      <c r="B2337" s="2" t="n">
        <v>43188.54358796297</v>
      </c>
      <c r="C2337" t="n">
        <v>0</v>
      </c>
      <c r="D2337" t="n">
        <v>376</v>
      </c>
      <c r="E2337" t="s">
        <v>2348</v>
      </c>
      <c r="F2337" t="s"/>
      <c r="G2337" t="s"/>
      <c r="H2337" t="s"/>
      <c r="I2337" t="s"/>
      <c r="J2337" t="n">
        <v>-0.4588</v>
      </c>
      <c r="K2337" t="n">
        <v>0.13</v>
      </c>
      <c r="L2337" t="n">
        <v>0.87</v>
      </c>
      <c r="M2337" t="n">
        <v>0</v>
      </c>
    </row>
    <row r="2338" spans="1:13">
      <c r="A2338" s="1">
        <f>HYPERLINK("http://www.twitter.com/NathanBLawrence/status/979342944481132546", "979342944481132546")</f>
        <v/>
      </c>
      <c r="B2338" s="2" t="n">
        <v>43188.54313657407</v>
      </c>
      <c r="C2338" t="n">
        <v>0</v>
      </c>
      <c r="D2338" t="n">
        <v>4606</v>
      </c>
      <c r="E2338" t="s">
        <v>2349</v>
      </c>
      <c r="F2338">
        <f>HYPERLINK("https://video.twimg.com/ext_tw_video/976987390773403649/pu/vid/720x720/qlkG4YAwHmPiQ4X3.mp4", "https://video.twimg.com/ext_tw_video/976987390773403649/pu/vid/720x720/qlkG4YAwHmPiQ4X3.mp4")</f>
        <v/>
      </c>
      <c r="G2338" t="s"/>
      <c r="H2338" t="s"/>
      <c r="I2338" t="s"/>
      <c r="J2338" t="n">
        <v>-0.5266999999999999</v>
      </c>
      <c r="K2338" t="n">
        <v>0.188</v>
      </c>
      <c r="L2338" t="n">
        <v>0.8120000000000001</v>
      </c>
      <c r="M2338" t="n">
        <v>0</v>
      </c>
    </row>
    <row r="2339" spans="1:13">
      <c r="A2339" s="1">
        <f>HYPERLINK("http://www.twitter.com/NathanBLawrence/status/979342359354888193", "979342359354888193")</f>
        <v/>
      </c>
      <c r="B2339" s="2" t="n">
        <v>43188.54152777778</v>
      </c>
      <c r="C2339" t="n">
        <v>0</v>
      </c>
      <c r="D2339" t="n">
        <v>288</v>
      </c>
      <c r="E2339" t="s">
        <v>2350</v>
      </c>
      <c r="F2339">
        <f>HYPERLINK("https://video.twimg.com/ext_tw_video/937529306154131456/pu/vid/1280x720/6E-qGhS-O_IcX98m.mp4", "https://video.twimg.com/ext_tw_video/937529306154131456/pu/vid/1280x720/6E-qGhS-O_IcX98m.mp4")</f>
        <v/>
      </c>
      <c r="G2339" t="s"/>
      <c r="H2339" t="s"/>
      <c r="I2339" t="s"/>
      <c r="J2339" t="n">
        <v>0</v>
      </c>
      <c r="K2339" t="n">
        <v>0</v>
      </c>
      <c r="L2339" t="n">
        <v>1</v>
      </c>
      <c r="M2339" t="n">
        <v>0</v>
      </c>
    </row>
    <row r="2340" spans="1:13">
      <c r="A2340" s="1">
        <f>HYPERLINK("http://www.twitter.com/NathanBLawrence/status/979340858154782722", "979340858154782722")</f>
        <v/>
      </c>
      <c r="B2340" s="2" t="n">
        <v>43188.53738425926</v>
      </c>
      <c r="C2340" t="n">
        <v>0</v>
      </c>
      <c r="D2340" t="n">
        <v>1248</v>
      </c>
      <c r="E2340" t="s">
        <v>2351</v>
      </c>
      <c r="F2340" t="s"/>
      <c r="G2340" t="s"/>
      <c r="H2340" t="s"/>
      <c r="I2340" t="s"/>
      <c r="J2340" t="n">
        <v>0.3612</v>
      </c>
      <c r="K2340" t="n">
        <v>0</v>
      </c>
      <c r="L2340" t="n">
        <v>0.898</v>
      </c>
      <c r="M2340" t="n">
        <v>0.102</v>
      </c>
    </row>
    <row r="2341" spans="1:13">
      <c r="A2341" s="1">
        <f>HYPERLINK("http://www.twitter.com/NathanBLawrence/status/979340669016854529", "979340669016854529")</f>
        <v/>
      </c>
      <c r="B2341" s="2" t="n">
        <v>43188.53686342593</v>
      </c>
      <c r="C2341" t="n">
        <v>0</v>
      </c>
      <c r="D2341" t="n">
        <v>60</v>
      </c>
      <c r="E2341" t="s">
        <v>2352</v>
      </c>
      <c r="F2341">
        <f>HYPERLINK("https://video.twimg.com/ext_tw_video/979076133781094400/pu/vid/1280x720/Iu1RHdIsgNtWr79o.mp4", "https://video.twimg.com/ext_tw_video/979076133781094400/pu/vid/1280x720/Iu1RHdIsgNtWr79o.mp4")</f>
        <v/>
      </c>
      <c r="G2341" t="s"/>
      <c r="H2341" t="s"/>
      <c r="I2341" t="s"/>
      <c r="J2341" t="n">
        <v>-0.3034</v>
      </c>
      <c r="K2341" t="n">
        <v>0.096</v>
      </c>
      <c r="L2341" t="n">
        <v>0.904</v>
      </c>
      <c r="M2341" t="n">
        <v>0</v>
      </c>
    </row>
    <row r="2342" spans="1:13">
      <c r="A2342" s="1">
        <f>HYPERLINK("http://www.twitter.com/NathanBLawrence/status/979339379478089728", "979339379478089728")</f>
        <v/>
      </c>
      <c r="B2342" s="2" t="n">
        <v>43188.53329861111</v>
      </c>
      <c r="C2342" t="n">
        <v>0</v>
      </c>
      <c r="D2342" t="n">
        <v>2424</v>
      </c>
      <c r="E2342" t="s">
        <v>2353</v>
      </c>
      <c r="F2342">
        <f>HYPERLINK("https://video.twimg.com/amplify_video/979327676405239808/vid/1280x720/HBc0JDXgiVyJ9pB3.mp4", "https://video.twimg.com/amplify_video/979327676405239808/vid/1280x720/HBc0JDXgiVyJ9pB3.mp4")</f>
        <v/>
      </c>
      <c r="G2342" t="s"/>
      <c r="H2342" t="s"/>
      <c r="I2342" t="s"/>
      <c r="J2342" t="n">
        <v>-0.5574</v>
      </c>
      <c r="K2342" t="n">
        <v>0.195</v>
      </c>
      <c r="L2342" t="n">
        <v>0.805</v>
      </c>
      <c r="M2342" t="n">
        <v>0</v>
      </c>
    </row>
    <row r="2343" spans="1:13">
      <c r="A2343" s="1">
        <f>HYPERLINK("http://www.twitter.com/NathanBLawrence/status/979336938107949056", "979336938107949056")</f>
        <v/>
      </c>
      <c r="B2343" s="2" t="n">
        <v>43188.5265625</v>
      </c>
      <c r="C2343" t="n">
        <v>0</v>
      </c>
      <c r="D2343" t="n">
        <v>133</v>
      </c>
      <c r="E2343" t="s">
        <v>2354</v>
      </c>
      <c r="F2343">
        <f>HYPERLINK("http://pbs.twimg.com/media/DZa0YJoXUAE6FDa.jpg", "http://pbs.twimg.com/media/DZa0YJoXUAE6FDa.jpg")</f>
        <v/>
      </c>
      <c r="G2343" t="s"/>
      <c r="H2343" t="s"/>
      <c r="I2343" t="s"/>
      <c r="J2343" t="n">
        <v>0.6588000000000001</v>
      </c>
      <c r="K2343" t="n">
        <v>0</v>
      </c>
      <c r="L2343" t="n">
        <v>0.672</v>
      </c>
      <c r="M2343" t="n">
        <v>0.328</v>
      </c>
    </row>
    <row r="2344" spans="1:13">
      <c r="A2344" s="1">
        <f>HYPERLINK("http://www.twitter.com/NathanBLawrence/status/979204052067209216", "979204052067209216")</f>
        <v/>
      </c>
      <c r="B2344" s="2" t="n">
        <v>43188.15987268519</v>
      </c>
      <c r="C2344" t="n">
        <v>0</v>
      </c>
      <c r="D2344" t="n">
        <v>848</v>
      </c>
      <c r="E2344" t="s">
        <v>2355</v>
      </c>
      <c r="F2344" t="s"/>
      <c r="G2344" t="s"/>
      <c r="H2344" t="s"/>
      <c r="I2344" t="s"/>
      <c r="J2344" t="n">
        <v>0</v>
      </c>
      <c r="K2344" t="n">
        <v>0</v>
      </c>
      <c r="L2344" t="n">
        <v>1</v>
      </c>
      <c r="M2344" t="n">
        <v>0</v>
      </c>
    </row>
    <row r="2345" spans="1:13">
      <c r="A2345" s="1">
        <f>HYPERLINK("http://www.twitter.com/NathanBLawrence/status/979203476549971969", "979203476549971969")</f>
        <v/>
      </c>
      <c r="B2345" s="2" t="n">
        <v>43188.15828703704</v>
      </c>
      <c r="C2345" t="n">
        <v>0</v>
      </c>
      <c r="D2345" t="n">
        <v>2</v>
      </c>
      <c r="E2345" t="s">
        <v>2356</v>
      </c>
      <c r="F2345" t="s"/>
      <c r="G2345" t="s"/>
      <c r="H2345" t="s"/>
      <c r="I2345" t="s"/>
      <c r="J2345" t="n">
        <v>0</v>
      </c>
      <c r="K2345" t="n">
        <v>0</v>
      </c>
      <c r="L2345" t="n">
        <v>1</v>
      </c>
      <c r="M2345" t="n">
        <v>0</v>
      </c>
    </row>
    <row r="2346" spans="1:13">
      <c r="A2346" s="1">
        <f>HYPERLINK("http://www.twitter.com/NathanBLawrence/status/979203250967674881", "979203250967674881")</f>
        <v/>
      </c>
      <c r="B2346" s="2" t="n">
        <v>43188.15766203704</v>
      </c>
      <c r="C2346" t="n">
        <v>0</v>
      </c>
      <c r="D2346" t="n">
        <v>645</v>
      </c>
      <c r="E2346" t="s">
        <v>2357</v>
      </c>
      <c r="F2346" t="s"/>
      <c r="G2346" t="s"/>
      <c r="H2346" t="s"/>
      <c r="I2346" t="s"/>
      <c r="J2346" t="n">
        <v>0.5266999999999999</v>
      </c>
      <c r="K2346" t="n">
        <v>0</v>
      </c>
      <c r="L2346" t="n">
        <v>0.804</v>
      </c>
      <c r="M2346" t="n">
        <v>0.196</v>
      </c>
    </row>
    <row r="2347" spans="1:13">
      <c r="A2347" s="1">
        <f>HYPERLINK("http://www.twitter.com/NathanBLawrence/status/979202741192019968", "979202741192019968")</f>
        <v/>
      </c>
      <c r="B2347" s="2" t="n">
        <v>43188.15625</v>
      </c>
      <c r="C2347" t="n">
        <v>0</v>
      </c>
      <c r="D2347" t="n">
        <v>511</v>
      </c>
      <c r="E2347" t="s">
        <v>2358</v>
      </c>
      <c r="F2347" t="s"/>
      <c r="G2347" t="s"/>
      <c r="H2347" t="s"/>
      <c r="I2347" t="s"/>
      <c r="J2347" t="n">
        <v>0.3612</v>
      </c>
      <c r="K2347" t="n">
        <v>0</v>
      </c>
      <c r="L2347" t="n">
        <v>0.878</v>
      </c>
      <c r="M2347" t="n">
        <v>0.122</v>
      </c>
    </row>
    <row r="2348" spans="1:13">
      <c r="A2348" s="1">
        <f>HYPERLINK("http://www.twitter.com/NathanBLawrence/status/979202219965845504", "979202219965845504")</f>
        <v/>
      </c>
      <c r="B2348" s="2" t="n">
        <v>43188.15481481481</v>
      </c>
      <c r="C2348" t="n">
        <v>0</v>
      </c>
      <c r="D2348" t="n">
        <v>566</v>
      </c>
      <c r="E2348" t="s">
        <v>2359</v>
      </c>
      <c r="F2348">
        <f>HYPERLINK("http://pbs.twimg.com/media/DZS2-i0W0AIF7hM.jpg", "http://pbs.twimg.com/media/DZS2-i0W0AIF7hM.jpg")</f>
        <v/>
      </c>
      <c r="G2348" t="s"/>
      <c r="H2348" t="s"/>
      <c r="I2348" t="s"/>
      <c r="J2348" t="n">
        <v>0</v>
      </c>
      <c r="K2348" t="n">
        <v>0</v>
      </c>
      <c r="L2348" t="n">
        <v>1</v>
      </c>
      <c r="M2348" t="n">
        <v>0</v>
      </c>
    </row>
    <row r="2349" spans="1:13">
      <c r="A2349" s="1">
        <f>HYPERLINK("http://www.twitter.com/NathanBLawrence/status/979201573313241088", "979201573313241088")</f>
        <v/>
      </c>
      <c r="B2349" s="2" t="n">
        <v>43188.1530324074</v>
      </c>
      <c r="C2349" t="n">
        <v>0</v>
      </c>
      <c r="D2349" t="n">
        <v>183</v>
      </c>
      <c r="E2349" t="s">
        <v>2360</v>
      </c>
      <c r="F2349">
        <f>HYPERLINK("http://pbs.twimg.com/media/DZbM87WVoAAiFB_.jpg", "http://pbs.twimg.com/media/DZbM87WVoAAiFB_.jpg")</f>
        <v/>
      </c>
      <c r="G2349" t="s"/>
      <c r="H2349" t="s"/>
      <c r="I2349" t="s"/>
      <c r="J2349" t="n">
        <v>0</v>
      </c>
      <c r="K2349" t="n">
        <v>0</v>
      </c>
      <c r="L2349" t="n">
        <v>1</v>
      </c>
      <c r="M2349" t="n">
        <v>0</v>
      </c>
    </row>
    <row r="2350" spans="1:13">
      <c r="A2350" s="1">
        <f>HYPERLINK("http://www.twitter.com/NathanBLawrence/status/979196168939999232", "979196168939999232")</f>
        <v/>
      </c>
      <c r="B2350" s="2" t="n">
        <v>43188.13811342593</v>
      </c>
      <c r="C2350" t="n">
        <v>0</v>
      </c>
      <c r="D2350" t="n">
        <v>2</v>
      </c>
      <c r="E2350" t="s">
        <v>2361</v>
      </c>
      <c r="F2350" t="s"/>
      <c r="G2350" t="s"/>
      <c r="H2350" t="s"/>
      <c r="I2350" t="s"/>
      <c r="J2350" t="n">
        <v>0.4019</v>
      </c>
      <c r="K2350" t="n">
        <v>0</v>
      </c>
      <c r="L2350" t="n">
        <v>0.863</v>
      </c>
      <c r="M2350" t="n">
        <v>0.137</v>
      </c>
    </row>
    <row r="2351" spans="1:13">
      <c r="A2351" s="1">
        <f>HYPERLINK("http://www.twitter.com/NathanBLawrence/status/979194832911523842", "979194832911523842")</f>
        <v/>
      </c>
      <c r="B2351" s="2" t="n">
        <v>43188.13443287037</v>
      </c>
      <c r="C2351" t="n">
        <v>0</v>
      </c>
      <c r="D2351" t="n">
        <v>58461</v>
      </c>
      <c r="E2351" t="s">
        <v>2362</v>
      </c>
      <c r="F2351" t="s"/>
      <c r="G2351" t="s"/>
      <c r="H2351" t="s"/>
      <c r="I2351" t="s"/>
      <c r="J2351" t="n">
        <v>0.4199</v>
      </c>
      <c r="K2351" t="n">
        <v>0</v>
      </c>
      <c r="L2351" t="n">
        <v>0.887</v>
      </c>
      <c r="M2351" t="n">
        <v>0.113</v>
      </c>
    </row>
    <row r="2352" spans="1:13">
      <c r="A2352" s="1">
        <f>HYPERLINK("http://www.twitter.com/NathanBLawrence/status/979194411149127680", "979194411149127680")</f>
        <v/>
      </c>
      <c r="B2352" s="2" t="n">
        <v>43188.13326388889</v>
      </c>
      <c r="C2352" t="n">
        <v>0</v>
      </c>
      <c r="D2352" t="n">
        <v>31439</v>
      </c>
      <c r="E2352" t="s">
        <v>2363</v>
      </c>
      <c r="F2352">
        <f>HYPERLINK("http://pbs.twimg.com/media/DZZmSonX0AA58hf.jpg", "http://pbs.twimg.com/media/DZZmSonX0AA58hf.jpg")</f>
        <v/>
      </c>
      <c r="G2352">
        <f>HYPERLINK("http://pbs.twimg.com/media/DZZmSonW0AUhf27.jpg", "http://pbs.twimg.com/media/DZZmSonW0AUhf27.jpg")</f>
        <v/>
      </c>
      <c r="H2352">
        <f>HYPERLINK("http://pbs.twimg.com/media/DZZmSoqXcAILJwM.jpg", "http://pbs.twimg.com/media/DZZmSoqXcAILJwM.jpg")</f>
        <v/>
      </c>
      <c r="I2352">
        <f>HYPERLINK("http://pbs.twimg.com/media/DZZmSoqXkAECpGt.jpg", "http://pbs.twimg.com/media/DZZmSoqXkAECpGt.jpg")</f>
        <v/>
      </c>
      <c r="J2352" t="n">
        <v>0.6588000000000001</v>
      </c>
      <c r="K2352" t="n">
        <v>0</v>
      </c>
      <c r="L2352" t="n">
        <v>0.761</v>
      </c>
      <c r="M2352" t="n">
        <v>0.239</v>
      </c>
    </row>
    <row r="2353" spans="1:13">
      <c r="A2353" s="1">
        <f>HYPERLINK("http://www.twitter.com/NathanBLawrence/status/979193897120387072", "979193897120387072")</f>
        <v/>
      </c>
      <c r="B2353" s="2" t="n">
        <v>43188.13185185185</v>
      </c>
      <c r="C2353" t="n">
        <v>0</v>
      </c>
      <c r="D2353" t="n">
        <v>116</v>
      </c>
      <c r="E2353" t="s">
        <v>2364</v>
      </c>
      <c r="F2353" t="s"/>
      <c r="G2353" t="s"/>
      <c r="H2353" t="s"/>
      <c r="I2353" t="s"/>
      <c r="J2353" t="n">
        <v>0</v>
      </c>
      <c r="K2353" t="n">
        <v>0</v>
      </c>
      <c r="L2353" t="n">
        <v>1</v>
      </c>
      <c r="M2353" t="n">
        <v>0</v>
      </c>
    </row>
    <row r="2354" spans="1:13">
      <c r="A2354" s="1">
        <f>HYPERLINK("http://www.twitter.com/NathanBLawrence/status/979193754165960704", "979193754165960704")</f>
        <v/>
      </c>
      <c r="B2354" s="2" t="n">
        <v>43188.13145833334</v>
      </c>
      <c r="C2354" t="n">
        <v>0</v>
      </c>
      <c r="D2354" t="n">
        <v>1543</v>
      </c>
      <c r="E2354" t="s">
        <v>2365</v>
      </c>
      <c r="F2354" t="s"/>
      <c r="G2354" t="s"/>
      <c r="H2354" t="s"/>
      <c r="I2354" t="s"/>
      <c r="J2354" t="n">
        <v>0.7579</v>
      </c>
      <c r="K2354" t="n">
        <v>0.075</v>
      </c>
      <c r="L2354" t="n">
        <v>0.642</v>
      </c>
      <c r="M2354" t="n">
        <v>0.283</v>
      </c>
    </row>
    <row r="2355" spans="1:13">
      <c r="A2355" s="1">
        <f>HYPERLINK("http://www.twitter.com/NathanBLawrence/status/979192647322624000", "979192647322624000")</f>
        <v/>
      </c>
      <c r="B2355" s="2" t="n">
        <v>43188.12840277778</v>
      </c>
      <c r="C2355" t="n">
        <v>0</v>
      </c>
      <c r="D2355" t="n">
        <v>49</v>
      </c>
      <c r="E2355" t="s">
        <v>2366</v>
      </c>
      <c r="F2355">
        <f>HYPERLINK("http://pbs.twimg.com/media/DZa2VwbU0AAKX7u.jpg", "http://pbs.twimg.com/media/DZa2VwbU0AAKX7u.jpg")</f>
        <v/>
      </c>
      <c r="G2355" t="s"/>
      <c r="H2355" t="s"/>
      <c r="I2355" t="s"/>
      <c r="J2355" t="n">
        <v>0.3802</v>
      </c>
      <c r="K2355" t="n">
        <v>0</v>
      </c>
      <c r="L2355" t="n">
        <v>0.861</v>
      </c>
      <c r="M2355" t="n">
        <v>0.139</v>
      </c>
    </row>
    <row r="2356" spans="1:13">
      <c r="A2356" s="1">
        <f>HYPERLINK("http://www.twitter.com/NathanBLawrence/status/979191657664000001", "979191657664000001")</f>
        <v/>
      </c>
      <c r="B2356" s="2" t="n">
        <v>43188.12567129629</v>
      </c>
      <c r="C2356" t="n">
        <v>0</v>
      </c>
      <c r="D2356" t="n">
        <v>8085</v>
      </c>
      <c r="E2356" t="s">
        <v>2367</v>
      </c>
      <c r="F2356">
        <f>HYPERLINK("http://pbs.twimg.com/media/DZVlgqCUQAAncbx.jpg", "http://pbs.twimg.com/media/DZVlgqCUQAAncbx.jpg")</f>
        <v/>
      </c>
      <c r="G2356">
        <f>HYPERLINK("http://pbs.twimg.com/media/DZVlhw2U0AAYVVs.jpg", "http://pbs.twimg.com/media/DZVlhw2U0AAYVVs.jpg")</f>
        <v/>
      </c>
      <c r="H2356">
        <f>HYPERLINK("http://pbs.twimg.com/media/DZVlih5U8AAqXSt.jpg", "http://pbs.twimg.com/media/DZVlih5U8AAqXSt.jpg")</f>
        <v/>
      </c>
      <c r="I2356" t="s"/>
      <c r="J2356" t="n">
        <v>0</v>
      </c>
      <c r="K2356" t="n">
        <v>0</v>
      </c>
      <c r="L2356" t="n">
        <v>1</v>
      </c>
      <c r="M2356" t="n">
        <v>0</v>
      </c>
    </row>
    <row r="2357" spans="1:13">
      <c r="A2357" s="1">
        <f>HYPERLINK("http://www.twitter.com/NathanBLawrence/status/979190783273250816", "979190783273250816")</f>
        <v/>
      </c>
      <c r="B2357" s="2" t="n">
        <v>43188.12325231481</v>
      </c>
      <c r="C2357" t="n">
        <v>0</v>
      </c>
      <c r="D2357" t="n">
        <v>425</v>
      </c>
      <c r="E2357" t="s">
        <v>2368</v>
      </c>
      <c r="F2357">
        <f>HYPERLINK("http://pbs.twimg.com/media/DZUXpqpV4AAVOS6.jpg", "http://pbs.twimg.com/media/DZUXpqpV4AAVOS6.jpg")</f>
        <v/>
      </c>
      <c r="G2357" t="s"/>
      <c r="H2357" t="s"/>
      <c r="I2357" t="s"/>
      <c r="J2357" t="n">
        <v>0</v>
      </c>
      <c r="K2357" t="n">
        <v>0</v>
      </c>
      <c r="L2357" t="n">
        <v>1</v>
      </c>
      <c r="M2357" t="n">
        <v>0</v>
      </c>
    </row>
    <row r="2358" spans="1:13">
      <c r="A2358" s="1">
        <f>HYPERLINK("http://www.twitter.com/NathanBLawrence/status/979188362463600640", "979188362463600640")</f>
        <v/>
      </c>
      <c r="B2358" s="2" t="n">
        <v>43188.11657407408</v>
      </c>
      <c r="C2358" t="n">
        <v>0</v>
      </c>
      <c r="D2358" t="n">
        <v>662</v>
      </c>
      <c r="E2358" t="s">
        <v>2369</v>
      </c>
      <c r="F2358">
        <f>HYPERLINK("http://pbs.twimg.com/media/DZa2bsfUMAA1MVI.jpg", "http://pbs.twimg.com/media/DZa2bsfUMAA1MVI.jpg")</f>
        <v/>
      </c>
      <c r="G2358" t="s"/>
      <c r="H2358" t="s"/>
      <c r="I2358" t="s"/>
      <c r="J2358" t="n">
        <v>0</v>
      </c>
      <c r="K2358" t="n">
        <v>0</v>
      </c>
      <c r="L2358" t="n">
        <v>1</v>
      </c>
      <c r="M2358" t="n">
        <v>0</v>
      </c>
    </row>
    <row r="2359" spans="1:13">
      <c r="A2359" s="1">
        <f>HYPERLINK("http://www.twitter.com/NathanBLawrence/status/979188166639869953", "979188166639869953")</f>
        <v/>
      </c>
      <c r="B2359" s="2" t="n">
        <v>43188.11604166667</v>
      </c>
      <c r="C2359" t="n">
        <v>0</v>
      </c>
      <c r="D2359" t="n">
        <v>2064</v>
      </c>
      <c r="E2359" t="s">
        <v>2370</v>
      </c>
      <c r="F2359" t="s"/>
      <c r="G2359" t="s"/>
      <c r="H2359" t="s"/>
      <c r="I2359" t="s"/>
      <c r="J2359" t="n">
        <v>0.0772</v>
      </c>
      <c r="K2359" t="n">
        <v>0</v>
      </c>
      <c r="L2359" t="n">
        <v>0.947</v>
      </c>
      <c r="M2359" t="n">
        <v>0.053</v>
      </c>
    </row>
    <row r="2360" spans="1:13">
      <c r="A2360" s="1">
        <f>HYPERLINK("http://www.twitter.com/NathanBLawrence/status/979187491923288064", "979187491923288064")</f>
        <v/>
      </c>
      <c r="B2360" s="2" t="n">
        <v>43188.11417824074</v>
      </c>
      <c r="C2360" t="n">
        <v>0</v>
      </c>
      <c r="D2360" t="n">
        <v>4110</v>
      </c>
      <c r="E2360" t="s">
        <v>2371</v>
      </c>
      <c r="F2360" t="s"/>
      <c r="G2360" t="s"/>
      <c r="H2360" t="s"/>
      <c r="I2360" t="s"/>
      <c r="J2360" t="n">
        <v>0</v>
      </c>
      <c r="K2360" t="n">
        <v>0</v>
      </c>
      <c r="L2360" t="n">
        <v>1</v>
      </c>
      <c r="M2360" t="n">
        <v>0</v>
      </c>
    </row>
    <row r="2361" spans="1:13">
      <c r="A2361" s="1">
        <f>HYPERLINK("http://www.twitter.com/NathanBLawrence/status/979187117019615233", "979187117019615233")</f>
        <v/>
      </c>
      <c r="B2361" s="2" t="n">
        <v>43188.11313657407</v>
      </c>
      <c r="C2361" t="n">
        <v>0</v>
      </c>
      <c r="D2361" t="n">
        <v>911</v>
      </c>
      <c r="E2361" t="s">
        <v>2372</v>
      </c>
      <c r="F2361">
        <f>HYPERLINK("https://video.twimg.com/ext_tw_video/978701761824415744/pu/vid/480x360/-Ue50jHzy1kI716x.mp4", "https://video.twimg.com/ext_tw_video/978701761824415744/pu/vid/480x360/-Ue50jHzy1kI716x.mp4")</f>
        <v/>
      </c>
      <c r="G2361" t="s"/>
      <c r="H2361" t="s"/>
      <c r="I2361" t="s"/>
      <c r="J2361" t="n">
        <v>0</v>
      </c>
      <c r="K2361" t="n">
        <v>0</v>
      </c>
      <c r="L2361" t="n">
        <v>1</v>
      </c>
      <c r="M2361" t="n">
        <v>0</v>
      </c>
    </row>
    <row r="2362" spans="1:13">
      <c r="A2362" s="1">
        <f>HYPERLINK("http://www.twitter.com/NathanBLawrence/status/979185399963750401", "979185399963750401")</f>
        <v/>
      </c>
      <c r="B2362" s="2" t="n">
        <v>43188.10840277778</v>
      </c>
      <c r="C2362" t="n">
        <v>0</v>
      </c>
      <c r="D2362" t="n">
        <v>53</v>
      </c>
      <c r="E2362" t="s">
        <v>2373</v>
      </c>
      <c r="F2362" t="s"/>
      <c r="G2362" t="s"/>
      <c r="H2362" t="s"/>
      <c r="I2362" t="s"/>
      <c r="J2362" t="n">
        <v>0</v>
      </c>
      <c r="K2362" t="n">
        <v>0</v>
      </c>
      <c r="L2362" t="n">
        <v>1</v>
      </c>
      <c r="M2362" t="n">
        <v>0</v>
      </c>
    </row>
    <row r="2363" spans="1:13">
      <c r="A2363" s="1">
        <f>HYPERLINK("http://www.twitter.com/NathanBLawrence/status/979185137593344000", "979185137593344000")</f>
        <v/>
      </c>
      <c r="B2363" s="2" t="n">
        <v>43188.10767361111</v>
      </c>
      <c r="C2363" t="n">
        <v>0</v>
      </c>
      <c r="D2363" t="n">
        <v>678</v>
      </c>
      <c r="E2363" t="s">
        <v>2374</v>
      </c>
      <c r="F2363">
        <f>HYPERLINK("http://pbs.twimg.com/media/DZaqz1jWsAAIZzi.jpg", "http://pbs.twimg.com/media/DZaqz1jWsAAIZzi.jpg")</f>
        <v/>
      </c>
      <c r="G2363" t="s"/>
      <c r="H2363" t="s"/>
      <c r="I2363" t="s"/>
      <c r="J2363" t="n">
        <v>0.876</v>
      </c>
      <c r="K2363" t="n">
        <v>0</v>
      </c>
      <c r="L2363" t="n">
        <v>0.629</v>
      </c>
      <c r="M2363" t="n">
        <v>0.371</v>
      </c>
    </row>
    <row r="2364" spans="1:13">
      <c r="A2364" s="1">
        <f>HYPERLINK("http://www.twitter.com/NathanBLawrence/status/979184668099661826", "979184668099661826")</f>
        <v/>
      </c>
      <c r="B2364" s="2" t="n">
        <v>43188.10637731481</v>
      </c>
      <c r="C2364" t="n">
        <v>0</v>
      </c>
      <c r="D2364" t="n">
        <v>249</v>
      </c>
      <c r="E2364" t="s">
        <v>2375</v>
      </c>
      <c r="F2364">
        <f>HYPERLINK("http://pbs.twimg.com/media/DZa0pW0VMAE_jVI.jpg", "http://pbs.twimg.com/media/DZa0pW0VMAE_jVI.jpg")</f>
        <v/>
      </c>
      <c r="G2364" t="s"/>
      <c r="H2364" t="s"/>
      <c r="I2364" t="s"/>
      <c r="J2364" t="n">
        <v>0.6458</v>
      </c>
      <c r="K2364" t="n">
        <v>0</v>
      </c>
      <c r="L2364" t="n">
        <v>0.778</v>
      </c>
      <c r="M2364" t="n">
        <v>0.222</v>
      </c>
    </row>
    <row r="2365" spans="1:13">
      <c r="A2365" s="1">
        <f>HYPERLINK("http://www.twitter.com/NathanBLawrence/status/979184190871785472", "979184190871785472")</f>
        <v/>
      </c>
      <c r="B2365" s="2" t="n">
        <v>43188.10506944444</v>
      </c>
      <c r="C2365" t="n">
        <v>0</v>
      </c>
      <c r="D2365" t="n">
        <v>275</v>
      </c>
      <c r="E2365" t="s">
        <v>2376</v>
      </c>
      <c r="F2365">
        <f>HYPERLINK("http://pbs.twimg.com/media/DZa3IwYXUAEVcSi.jpg", "http://pbs.twimg.com/media/DZa3IwYXUAEVcSi.jpg")</f>
        <v/>
      </c>
      <c r="G2365" t="s"/>
      <c r="H2365" t="s"/>
      <c r="I2365" t="s"/>
      <c r="J2365" t="n">
        <v>0</v>
      </c>
      <c r="K2365" t="n">
        <v>0</v>
      </c>
      <c r="L2365" t="n">
        <v>1</v>
      </c>
      <c r="M2365" t="n">
        <v>0</v>
      </c>
    </row>
    <row r="2366" spans="1:13">
      <c r="A2366" s="1">
        <f>HYPERLINK("http://www.twitter.com/NathanBLawrence/status/979183580374028288", "979183580374028288")</f>
        <v/>
      </c>
      <c r="B2366" s="2" t="n">
        <v>43188.10337962963</v>
      </c>
      <c r="C2366" t="n">
        <v>0</v>
      </c>
      <c r="D2366" t="n">
        <v>62</v>
      </c>
      <c r="E2366" t="s">
        <v>2377</v>
      </c>
      <c r="F2366">
        <f>HYPERLINK("http://pbs.twimg.com/media/DZa20_jU8AA689g.jpg", "http://pbs.twimg.com/media/DZa20_jU8AA689g.jpg")</f>
        <v/>
      </c>
      <c r="G2366" t="s"/>
      <c r="H2366" t="s"/>
      <c r="I2366" t="s"/>
      <c r="J2366" t="n">
        <v>0</v>
      </c>
      <c r="K2366" t="n">
        <v>0</v>
      </c>
      <c r="L2366" t="n">
        <v>1</v>
      </c>
      <c r="M2366" t="n">
        <v>0</v>
      </c>
    </row>
    <row r="2367" spans="1:13">
      <c r="A2367" s="1">
        <f>HYPERLINK("http://www.twitter.com/NathanBLawrence/status/979183316678184960", "979183316678184960")</f>
        <v/>
      </c>
      <c r="B2367" s="2" t="n">
        <v>43188.10265046296</v>
      </c>
      <c r="C2367" t="n">
        <v>0</v>
      </c>
      <c r="D2367" t="n">
        <v>3223</v>
      </c>
      <c r="E2367" t="s">
        <v>2378</v>
      </c>
      <c r="F2367">
        <f>HYPERLINK("https://video.twimg.com/amplify_video/979171791703871489/vid/1280x720/YjX9hHrgbwALigjC.mp4", "https://video.twimg.com/amplify_video/979171791703871489/vid/1280x720/YjX9hHrgbwALigjC.mp4")</f>
        <v/>
      </c>
      <c r="G2367" t="s"/>
      <c r="H2367" t="s"/>
      <c r="I2367" t="s"/>
      <c r="J2367" t="n">
        <v>0</v>
      </c>
      <c r="K2367" t="n">
        <v>0</v>
      </c>
      <c r="L2367" t="n">
        <v>1</v>
      </c>
      <c r="M2367" t="n">
        <v>0</v>
      </c>
    </row>
    <row r="2368" spans="1:13">
      <c r="A2368" s="1">
        <f>HYPERLINK("http://www.twitter.com/NathanBLawrence/status/979158704112197632", "979158704112197632")</f>
        <v/>
      </c>
      <c r="B2368" s="2" t="n">
        <v>43188.0347337963</v>
      </c>
      <c r="C2368" t="n">
        <v>0</v>
      </c>
      <c r="D2368" t="n">
        <v>1972</v>
      </c>
      <c r="E2368" t="s">
        <v>2379</v>
      </c>
      <c r="F2368" t="s"/>
      <c r="G2368" t="s"/>
      <c r="H2368" t="s"/>
      <c r="I2368" t="s"/>
      <c r="J2368" t="n">
        <v>0.8807</v>
      </c>
      <c r="K2368" t="n">
        <v>0</v>
      </c>
      <c r="L2368" t="n">
        <v>0.651</v>
      </c>
      <c r="M2368" t="n">
        <v>0.349</v>
      </c>
    </row>
    <row r="2369" spans="1:13">
      <c r="A2369" s="1">
        <f>HYPERLINK("http://www.twitter.com/NathanBLawrence/status/979155258822877184", "979155258822877184")</f>
        <v/>
      </c>
      <c r="B2369" s="2" t="n">
        <v>43188.02523148148</v>
      </c>
      <c r="C2369" t="n">
        <v>0</v>
      </c>
      <c r="D2369" t="n">
        <v>9559</v>
      </c>
      <c r="E2369" t="s">
        <v>2380</v>
      </c>
      <c r="F2369" t="s"/>
      <c r="G2369" t="s"/>
      <c r="H2369" t="s"/>
      <c r="I2369" t="s"/>
      <c r="J2369" t="n">
        <v>0.7093</v>
      </c>
      <c r="K2369" t="n">
        <v>0</v>
      </c>
      <c r="L2369" t="n">
        <v>0.796</v>
      </c>
      <c r="M2369" t="n">
        <v>0.204</v>
      </c>
    </row>
    <row r="2370" spans="1:13">
      <c r="A2370" s="1">
        <f>HYPERLINK("http://www.twitter.com/NathanBLawrence/status/978989845744967680", "978989845744967680")</f>
        <v/>
      </c>
      <c r="B2370" s="2" t="n">
        <v>43187.56877314814</v>
      </c>
      <c r="C2370" t="n">
        <v>0</v>
      </c>
      <c r="D2370" t="n">
        <v>24</v>
      </c>
      <c r="E2370" t="s">
        <v>2381</v>
      </c>
      <c r="F2370">
        <f>HYPERLINK("http://pbs.twimg.com/media/DZWYOSxW4AEtJDg.jpg", "http://pbs.twimg.com/media/DZWYOSxW4AEtJDg.jpg")</f>
        <v/>
      </c>
      <c r="G2370" t="s"/>
      <c r="H2370" t="s"/>
      <c r="I2370" t="s"/>
      <c r="J2370" t="n">
        <v>0</v>
      </c>
      <c r="K2370" t="n">
        <v>0</v>
      </c>
      <c r="L2370" t="n">
        <v>1</v>
      </c>
      <c r="M2370" t="n">
        <v>0</v>
      </c>
    </row>
    <row r="2371" spans="1:13">
      <c r="A2371" s="1">
        <f>HYPERLINK("http://www.twitter.com/NathanBLawrence/status/978678418379362304", "978678418379362304")</f>
        <v/>
      </c>
      <c r="B2371" s="2" t="n">
        <v>43186.70939814814</v>
      </c>
      <c r="C2371" t="n">
        <v>0</v>
      </c>
      <c r="D2371" t="n">
        <v>9</v>
      </c>
      <c r="E2371" t="s">
        <v>2382</v>
      </c>
      <c r="F2371" t="s"/>
      <c r="G2371" t="s"/>
      <c r="H2371" t="s"/>
      <c r="I2371" t="s"/>
      <c r="J2371" t="n">
        <v>-0.7184</v>
      </c>
      <c r="K2371" t="n">
        <v>0.273</v>
      </c>
      <c r="L2371" t="n">
        <v>0.727</v>
      </c>
      <c r="M2371" t="n">
        <v>0</v>
      </c>
    </row>
    <row r="2372" spans="1:13">
      <c r="A2372" s="1">
        <f>HYPERLINK("http://www.twitter.com/NathanBLawrence/status/978678250330382342", "978678250330382342")</f>
        <v/>
      </c>
      <c r="B2372" s="2" t="n">
        <v>43186.70893518518</v>
      </c>
      <c r="C2372" t="n">
        <v>0</v>
      </c>
      <c r="D2372" t="n">
        <v>1217</v>
      </c>
      <c r="E2372" t="s">
        <v>2383</v>
      </c>
      <c r="F2372">
        <f>HYPERLINK("http://pbs.twimg.com/media/DZTTd9ZWkAAvbiZ.jpg", "http://pbs.twimg.com/media/DZTTd9ZWkAAvbiZ.jpg")</f>
        <v/>
      </c>
      <c r="G2372" t="s"/>
      <c r="H2372" t="s"/>
      <c r="I2372" t="s"/>
      <c r="J2372" t="n">
        <v>0.5147</v>
      </c>
      <c r="K2372" t="n">
        <v>0</v>
      </c>
      <c r="L2372" t="n">
        <v>0.836</v>
      </c>
      <c r="M2372" t="n">
        <v>0.164</v>
      </c>
    </row>
    <row r="2373" spans="1:13">
      <c r="A2373" s="1">
        <f>HYPERLINK("http://www.twitter.com/NathanBLawrence/status/978677983136411649", "978677983136411649")</f>
        <v/>
      </c>
      <c r="B2373" s="2" t="n">
        <v>43186.70819444444</v>
      </c>
      <c r="C2373" t="n">
        <v>0</v>
      </c>
      <c r="D2373" t="n">
        <v>1</v>
      </c>
      <c r="E2373" t="s">
        <v>2384</v>
      </c>
      <c r="F2373" t="s"/>
      <c r="G2373" t="s"/>
      <c r="H2373" t="s"/>
      <c r="I2373" t="s"/>
      <c r="J2373" t="n">
        <v>0.0258</v>
      </c>
      <c r="K2373" t="n">
        <v>0.13</v>
      </c>
      <c r="L2373" t="n">
        <v>0.734</v>
      </c>
      <c r="M2373" t="n">
        <v>0.136</v>
      </c>
    </row>
    <row r="2374" spans="1:13">
      <c r="A2374" s="1">
        <f>HYPERLINK("http://www.twitter.com/NathanBLawrence/status/978677858167083008", "978677858167083008")</f>
        <v/>
      </c>
      <c r="B2374" s="2" t="n">
        <v>43186.70784722222</v>
      </c>
      <c r="C2374" t="n">
        <v>0</v>
      </c>
      <c r="D2374" t="n">
        <v>128</v>
      </c>
      <c r="E2374" t="s">
        <v>2385</v>
      </c>
      <c r="F2374" t="s"/>
      <c r="G2374" t="s"/>
      <c r="H2374" t="s"/>
      <c r="I2374" t="s"/>
      <c r="J2374" t="n">
        <v>-0.6808</v>
      </c>
      <c r="K2374" t="n">
        <v>0.301</v>
      </c>
      <c r="L2374" t="n">
        <v>0.699</v>
      </c>
      <c r="M2374" t="n">
        <v>0</v>
      </c>
    </row>
    <row r="2375" spans="1:13">
      <c r="A2375" s="1">
        <f>HYPERLINK("http://www.twitter.com/NathanBLawrence/status/978677699383349249", "978677699383349249")</f>
        <v/>
      </c>
      <c r="B2375" s="2" t="n">
        <v>43186.70741898148</v>
      </c>
      <c r="C2375" t="n">
        <v>0</v>
      </c>
      <c r="D2375" t="n">
        <v>78</v>
      </c>
      <c r="E2375" t="s">
        <v>2386</v>
      </c>
      <c r="F2375" t="s"/>
      <c r="G2375" t="s"/>
      <c r="H2375" t="s"/>
      <c r="I2375" t="s"/>
      <c r="J2375" t="n">
        <v>-0.3612</v>
      </c>
      <c r="K2375" t="n">
        <v>0.2</v>
      </c>
      <c r="L2375" t="n">
        <v>0.8</v>
      </c>
      <c r="M2375" t="n">
        <v>0</v>
      </c>
    </row>
    <row r="2376" spans="1:13">
      <c r="A2376" s="1">
        <f>HYPERLINK("http://www.twitter.com/NathanBLawrence/status/978677636829507586", "978677636829507586")</f>
        <v/>
      </c>
      <c r="B2376" s="2" t="n">
        <v>43186.70724537037</v>
      </c>
      <c r="C2376" t="n">
        <v>0</v>
      </c>
      <c r="D2376" t="n">
        <v>102</v>
      </c>
      <c r="E2376" t="s">
        <v>2387</v>
      </c>
      <c r="F2376">
        <f>HYPERLINK("http://pbs.twimg.com/media/DZTUpD5XcAALDb1.jpg", "http://pbs.twimg.com/media/DZTUpD5XcAALDb1.jpg")</f>
        <v/>
      </c>
      <c r="G2376" t="s"/>
      <c r="H2376" t="s"/>
      <c r="I2376" t="s"/>
      <c r="J2376" t="n">
        <v>0.6588000000000001</v>
      </c>
      <c r="K2376" t="n">
        <v>0</v>
      </c>
      <c r="L2376" t="n">
        <v>0.834</v>
      </c>
      <c r="M2376" t="n">
        <v>0.166</v>
      </c>
    </row>
    <row r="2377" spans="1:13">
      <c r="A2377" s="1">
        <f>HYPERLINK("http://www.twitter.com/NathanBLawrence/status/978677393278816257", "978677393278816257")</f>
        <v/>
      </c>
      <c r="B2377" s="2" t="n">
        <v>43186.70657407407</v>
      </c>
      <c r="C2377" t="n">
        <v>0</v>
      </c>
      <c r="D2377" t="n">
        <v>1688</v>
      </c>
      <c r="E2377" t="s">
        <v>2388</v>
      </c>
      <c r="F2377" t="s"/>
      <c r="G2377" t="s"/>
      <c r="H2377" t="s"/>
      <c r="I2377" t="s"/>
      <c r="J2377" t="n">
        <v>0</v>
      </c>
      <c r="K2377" t="n">
        <v>0</v>
      </c>
      <c r="L2377" t="n">
        <v>1</v>
      </c>
      <c r="M2377" t="n">
        <v>0</v>
      </c>
    </row>
    <row r="2378" spans="1:13">
      <c r="A2378" s="1">
        <f>HYPERLINK("http://www.twitter.com/NathanBLawrence/status/978676885046595584", "978676885046595584")</f>
        <v/>
      </c>
      <c r="B2378" s="2" t="n">
        <v>43186.70516203704</v>
      </c>
      <c r="C2378" t="n">
        <v>0</v>
      </c>
      <c r="D2378" t="n">
        <v>2</v>
      </c>
      <c r="E2378" t="s">
        <v>2389</v>
      </c>
      <c r="F2378" t="s"/>
      <c r="G2378" t="s"/>
      <c r="H2378" t="s"/>
      <c r="I2378" t="s"/>
      <c r="J2378" t="n">
        <v>-0.0258</v>
      </c>
      <c r="K2378" t="n">
        <v>0.143</v>
      </c>
      <c r="L2378" t="n">
        <v>0.717</v>
      </c>
      <c r="M2378" t="n">
        <v>0.139</v>
      </c>
    </row>
    <row r="2379" spans="1:13">
      <c r="A2379" s="1">
        <f>HYPERLINK("http://www.twitter.com/NathanBLawrence/status/978676840675069953", "978676840675069953")</f>
        <v/>
      </c>
      <c r="B2379" s="2" t="n">
        <v>43186.70504629629</v>
      </c>
      <c r="C2379" t="n">
        <v>0</v>
      </c>
      <c r="D2379" t="n">
        <v>2168</v>
      </c>
      <c r="E2379" t="s">
        <v>2390</v>
      </c>
      <c r="F2379">
        <f>HYPERLINK("https://video.twimg.com/amplify_video/978475436286996480/vid/1280x720/jTqzwxz1VVIxaaAd.mp4", "https://video.twimg.com/amplify_video/978475436286996480/vid/1280x720/jTqzwxz1VVIxaaAd.mp4")</f>
        <v/>
      </c>
      <c r="G2379" t="s"/>
      <c r="H2379" t="s"/>
      <c r="I2379" t="s"/>
      <c r="J2379" t="n">
        <v>-0.7096</v>
      </c>
      <c r="K2379" t="n">
        <v>0.227</v>
      </c>
      <c r="L2379" t="n">
        <v>0.722</v>
      </c>
      <c r="M2379" t="n">
        <v>0.051</v>
      </c>
    </row>
    <row r="2380" spans="1:13">
      <c r="A2380" s="1">
        <f>HYPERLINK("http://www.twitter.com/NathanBLawrence/status/978676731119882247", "978676731119882247")</f>
        <v/>
      </c>
      <c r="B2380" s="2" t="n">
        <v>43186.70474537037</v>
      </c>
      <c r="C2380" t="n">
        <v>0</v>
      </c>
      <c r="D2380" t="n">
        <v>446</v>
      </c>
      <c r="E2380" t="s">
        <v>2391</v>
      </c>
      <c r="F2380" t="s"/>
      <c r="G2380" t="s"/>
      <c r="H2380" t="s"/>
      <c r="I2380" t="s"/>
      <c r="J2380" t="n">
        <v>0</v>
      </c>
      <c r="K2380" t="n">
        <v>0</v>
      </c>
      <c r="L2380" t="n">
        <v>1</v>
      </c>
      <c r="M2380" t="n">
        <v>0</v>
      </c>
    </row>
    <row r="2381" spans="1:13">
      <c r="A2381" s="1">
        <f>HYPERLINK("http://www.twitter.com/NathanBLawrence/status/978675419145818120", "978675419145818120")</f>
        <v/>
      </c>
      <c r="B2381" s="2" t="n">
        <v>43186.70112268518</v>
      </c>
      <c r="C2381" t="n">
        <v>0</v>
      </c>
      <c r="D2381" t="n">
        <v>62</v>
      </c>
      <c r="E2381" t="s">
        <v>2392</v>
      </c>
      <c r="F2381" t="s"/>
      <c r="G2381" t="s"/>
      <c r="H2381" t="s"/>
      <c r="I2381" t="s"/>
      <c r="J2381" t="n">
        <v>0.858</v>
      </c>
      <c r="K2381" t="n">
        <v>0.09</v>
      </c>
      <c r="L2381" t="n">
        <v>0.515</v>
      </c>
      <c r="M2381" t="n">
        <v>0.395</v>
      </c>
    </row>
    <row r="2382" spans="1:13">
      <c r="A2382" s="1">
        <f>HYPERLINK("http://www.twitter.com/NathanBLawrence/status/978674445891055616", "978674445891055616")</f>
        <v/>
      </c>
      <c r="B2382" s="2" t="n">
        <v>43186.6984375</v>
      </c>
      <c r="C2382" t="n">
        <v>0</v>
      </c>
      <c r="D2382" t="n">
        <v>4849</v>
      </c>
      <c r="E2382" t="s">
        <v>2393</v>
      </c>
      <c r="F2382" t="s"/>
      <c r="G2382" t="s"/>
      <c r="H2382" t="s"/>
      <c r="I2382" t="s"/>
      <c r="J2382" t="n">
        <v>-0.7579</v>
      </c>
      <c r="K2382" t="n">
        <v>0.289</v>
      </c>
      <c r="L2382" t="n">
        <v>0.711</v>
      </c>
      <c r="M2382" t="n">
        <v>0</v>
      </c>
    </row>
    <row r="2383" spans="1:13">
      <c r="A2383" s="1">
        <f>HYPERLINK("http://www.twitter.com/NathanBLawrence/status/978674189245865985", "978674189245865985")</f>
        <v/>
      </c>
      <c r="B2383" s="2" t="n">
        <v>43186.69773148148</v>
      </c>
      <c r="C2383" t="n">
        <v>0</v>
      </c>
      <c r="D2383" t="n">
        <v>7</v>
      </c>
      <c r="E2383" t="s">
        <v>2394</v>
      </c>
      <c r="F2383">
        <f>HYPERLINK("http://pbs.twimg.com/media/DZTyFXGXUAAYt9l.jpg", "http://pbs.twimg.com/media/DZTyFXGXUAAYt9l.jpg")</f>
        <v/>
      </c>
      <c r="G2383" t="s"/>
      <c r="H2383" t="s"/>
      <c r="I2383" t="s"/>
      <c r="J2383" t="n">
        <v>0.6739000000000001</v>
      </c>
      <c r="K2383" t="n">
        <v>0</v>
      </c>
      <c r="L2383" t="n">
        <v>0.666</v>
      </c>
      <c r="M2383" t="n">
        <v>0.334</v>
      </c>
    </row>
    <row r="2384" spans="1:13">
      <c r="A2384" s="1">
        <f>HYPERLINK("http://www.twitter.com/NathanBLawrence/status/978670718337593344", "978670718337593344")</f>
        <v/>
      </c>
      <c r="B2384" s="2" t="n">
        <v>43186.68814814815</v>
      </c>
      <c r="C2384" t="n">
        <v>0</v>
      </c>
      <c r="D2384" t="n">
        <v>4895</v>
      </c>
      <c r="E2384" t="s">
        <v>2395</v>
      </c>
      <c r="F2384" t="s"/>
      <c r="G2384" t="s"/>
      <c r="H2384" t="s"/>
      <c r="I2384" t="s"/>
      <c r="J2384" t="n">
        <v>0</v>
      </c>
      <c r="K2384" t="n">
        <v>0</v>
      </c>
      <c r="L2384" t="n">
        <v>1</v>
      </c>
      <c r="M2384" t="n">
        <v>0</v>
      </c>
    </row>
    <row r="2385" spans="1:13">
      <c r="A2385" s="1">
        <f>HYPERLINK("http://www.twitter.com/NathanBLawrence/status/978670556760498176", "978670556760498176")</f>
        <v/>
      </c>
      <c r="B2385" s="2" t="n">
        <v>43186.68770833333</v>
      </c>
      <c r="C2385" t="n">
        <v>0</v>
      </c>
      <c r="D2385" t="n">
        <v>213</v>
      </c>
      <c r="E2385" t="s">
        <v>2396</v>
      </c>
      <c r="F2385">
        <f>HYPERLINK("http://pbs.twimg.com/media/DZTC3mcU8AE_aFj.jpg", "http://pbs.twimg.com/media/DZTC3mcU8AE_aFj.jpg")</f>
        <v/>
      </c>
      <c r="G2385" t="s"/>
      <c r="H2385" t="s"/>
      <c r="I2385" t="s"/>
      <c r="J2385" t="n">
        <v>0.4199</v>
      </c>
      <c r="K2385" t="n">
        <v>0</v>
      </c>
      <c r="L2385" t="n">
        <v>0.903</v>
      </c>
      <c r="M2385" t="n">
        <v>0.097</v>
      </c>
    </row>
    <row r="2386" spans="1:13">
      <c r="A2386" s="1">
        <f>HYPERLINK("http://www.twitter.com/NathanBLawrence/status/978670466960429056", "978670466960429056")</f>
        <v/>
      </c>
      <c r="B2386" s="2" t="n">
        <v>43186.6874537037</v>
      </c>
      <c r="C2386" t="n">
        <v>0</v>
      </c>
      <c r="D2386" t="n">
        <v>477</v>
      </c>
      <c r="E2386" t="s">
        <v>2397</v>
      </c>
      <c r="F2386" t="s"/>
      <c r="G2386" t="s"/>
      <c r="H2386" t="s"/>
      <c r="I2386" t="s"/>
      <c r="J2386" t="n">
        <v>-0.4843</v>
      </c>
      <c r="K2386" t="n">
        <v>0.216</v>
      </c>
      <c r="L2386" t="n">
        <v>0.716</v>
      </c>
      <c r="M2386" t="n">
        <v>0.068</v>
      </c>
    </row>
    <row r="2387" spans="1:13">
      <c r="A2387" s="1">
        <f>HYPERLINK("http://www.twitter.com/NathanBLawrence/status/978670124793257986", "978670124793257986")</f>
        <v/>
      </c>
      <c r="B2387" s="2" t="n">
        <v>43186.68651620371</v>
      </c>
      <c r="C2387" t="n">
        <v>0</v>
      </c>
      <c r="D2387" t="n">
        <v>293</v>
      </c>
      <c r="E2387" t="s">
        <v>2398</v>
      </c>
      <c r="F2387" t="s"/>
      <c r="G2387" t="s"/>
      <c r="H2387" t="s"/>
      <c r="I2387" t="s"/>
      <c r="J2387" t="n">
        <v>-0.4939</v>
      </c>
      <c r="K2387" t="n">
        <v>0.151</v>
      </c>
      <c r="L2387" t="n">
        <v>0.849</v>
      </c>
      <c r="M2387" t="n">
        <v>0</v>
      </c>
    </row>
    <row r="2388" spans="1:13">
      <c r="A2388" s="1">
        <f>HYPERLINK("http://www.twitter.com/NathanBLawrence/status/978669871868325888", "978669871868325888")</f>
        <v/>
      </c>
      <c r="B2388" s="2" t="n">
        <v>43186.68581018518</v>
      </c>
      <c r="C2388" t="n">
        <v>0</v>
      </c>
      <c r="D2388" t="n">
        <v>433</v>
      </c>
      <c r="E2388" t="s">
        <v>2399</v>
      </c>
      <c r="F2388" t="s"/>
      <c r="G2388" t="s"/>
      <c r="H2388" t="s"/>
      <c r="I2388" t="s"/>
      <c r="J2388" t="n">
        <v>-0.4215</v>
      </c>
      <c r="K2388" t="n">
        <v>0.123</v>
      </c>
      <c r="L2388" t="n">
        <v>0.877</v>
      </c>
      <c r="M2388" t="n">
        <v>0</v>
      </c>
    </row>
    <row r="2389" spans="1:13">
      <c r="A2389" s="1">
        <f>HYPERLINK("http://www.twitter.com/NathanBLawrence/status/978669467159887873", "978669467159887873")</f>
        <v/>
      </c>
      <c r="B2389" s="2" t="n">
        <v>43186.68469907407</v>
      </c>
      <c r="C2389" t="n">
        <v>0</v>
      </c>
      <c r="D2389" t="n">
        <v>277</v>
      </c>
      <c r="E2389" t="s">
        <v>2400</v>
      </c>
      <c r="F2389">
        <f>HYPERLINK("http://pbs.twimg.com/media/DZTL2aZWkAA50f5.jpg", "http://pbs.twimg.com/media/DZTL2aZWkAA50f5.jpg")</f>
        <v/>
      </c>
      <c r="G2389" t="s"/>
      <c r="H2389" t="s"/>
      <c r="I2389" t="s"/>
      <c r="J2389" t="n">
        <v>0</v>
      </c>
      <c r="K2389" t="n">
        <v>0</v>
      </c>
      <c r="L2389" t="n">
        <v>1</v>
      </c>
      <c r="M2389" t="n">
        <v>0</v>
      </c>
    </row>
    <row r="2390" spans="1:13">
      <c r="A2390" s="1">
        <f>HYPERLINK("http://www.twitter.com/NathanBLawrence/status/978668949339557888", "978668949339557888")</f>
        <v/>
      </c>
      <c r="B2390" s="2" t="n">
        <v>43186.68326388889</v>
      </c>
      <c r="C2390" t="n">
        <v>0</v>
      </c>
      <c r="D2390" t="n">
        <v>49</v>
      </c>
      <c r="E2390" t="s">
        <v>2401</v>
      </c>
      <c r="F2390">
        <f>HYPERLINK("http://pbs.twimg.com/media/DZTtvslXkAAvVTF.jpg", "http://pbs.twimg.com/media/DZTtvslXkAAvVTF.jpg")</f>
        <v/>
      </c>
      <c r="G2390" t="s"/>
      <c r="H2390" t="s"/>
      <c r="I2390" t="s"/>
      <c r="J2390" t="n">
        <v>0</v>
      </c>
      <c r="K2390" t="n">
        <v>0</v>
      </c>
      <c r="L2390" t="n">
        <v>1</v>
      </c>
      <c r="M2390" t="n">
        <v>0</v>
      </c>
    </row>
    <row r="2391" spans="1:13">
      <c r="A2391" s="1">
        <f>HYPERLINK("http://www.twitter.com/NathanBLawrence/status/978668670133198849", "978668670133198849")</f>
        <v/>
      </c>
      <c r="B2391" s="2" t="n">
        <v>43186.6825</v>
      </c>
      <c r="C2391" t="n">
        <v>0</v>
      </c>
      <c r="D2391" t="n">
        <v>47</v>
      </c>
      <c r="E2391" t="s">
        <v>2402</v>
      </c>
      <c r="F2391" t="s"/>
      <c r="G2391" t="s"/>
      <c r="H2391" t="s"/>
      <c r="I2391" t="s"/>
      <c r="J2391" t="n">
        <v>0</v>
      </c>
      <c r="K2391" t="n">
        <v>0</v>
      </c>
      <c r="L2391" t="n">
        <v>1</v>
      </c>
      <c r="M2391" t="n">
        <v>0</v>
      </c>
    </row>
    <row r="2392" spans="1:13">
      <c r="A2392" s="1">
        <f>HYPERLINK("http://www.twitter.com/NathanBLawrence/status/978668413764718593", "978668413764718593")</f>
        <v/>
      </c>
      <c r="B2392" s="2" t="n">
        <v>43186.68179398148</v>
      </c>
      <c r="C2392" t="n">
        <v>0</v>
      </c>
      <c r="D2392" t="n">
        <v>80</v>
      </c>
      <c r="E2392" t="s">
        <v>2403</v>
      </c>
      <c r="F2392" t="s"/>
      <c r="G2392" t="s"/>
      <c r="H2392" t="s"/>
      <c r="I2392" t="s"/>
      <c r="J2392" t="n">
        <v>0</v>
      </c>
      <c r="K2392" t="n">
        <v>0</v>
      </c>
      <c r="L2392" t="n">
        <v>1</v>
      </c>
      <c r="M2392" t="n">
        <v>0</v>
      </c>
    </row>
    <row r="2393" spans="1:13">
      <c r="A2393" s="1">
        <f>HYPERLINK("http://www.twitter.com/NathanBLawrence/status/978665207923961856", "978665207923961856")</f>
        <v/>
      </c>
      <c r="B2393" s="2" t="n">
        <v>43186.67293981482</v>
      </c>
      <c r="C2393" t="n">
        <v>0</v>
      </c>
      <c r="D2393" t="n">
        <v>828</v>
      </c>
      <c r="E2393" t="s">
        <v>2404</v>
      </c>
      <c r="F2393" t="s"/>
      <c r="G2393" t="s"/>
      <c r="H2393" t="s"/>
      <c r="I2393" t="s"/>
      <c r="J2393" t="n">
        <v>0</v>
      </c>
      <c r="K2393" t="n">
        <v>0</v>
      </c>
      <c r="L2393" t="n">
        <v>1</v>
      </c>
      <c r="M2393" t="n">
        <v>0</v>
      </c>
    </row>
    <row r="2394" spans="1:13">
      <c r="A2394" s="1">
        <f>HYPERLINK("http://www.twitter.com/NathanBLawrence/status/978664924300922880", "978664924300922880")</f>
        <v/>
      </c>
      <c r="B2394" s="2" t="n">
        <v>43186.67216435185</v>
      </c>
      <c r="C2394" t="n">
        <v>0</v>
      </c>
      <c r="D2394" t="n">
        <v>25</v>
      </c>
      <c r="E2394" t="s">
        <v>2405</v>
      </c>
      <c r="F2394" t="s"/>
      <c r="G2394" t="s"/>
      <c r="H2394" t="s"/>
      <c r="I2394" t="s"/>
      <c r="J2394" t="n">
        <v>-0.5106000000000001</v>
      </c>
      <c r="K2394" t="n">
        <v>0.249</v>
      </c>
      <c r="L2394" t="n">
        <v>0.751</v>
      </c>
      <c r="M2394" t="n">
        <v>0</v>
      </c>
    </row>
    <row r="2395" spans="1:13">
      <c r="A2395" s="1">
        <f>HYPERLINK("http://www.twitter.com/NathanBLawrence/status/978661636469874689", "978661636469874689")</f>
        <v/>
      </c>
      <c r="B2395" s="2" t="n">
        <v>43186.66309027778</v>
      </c>
      <c r="C2395" t="n">
        <v>0</v>
      </c>
      <c r="D2395" t="n">
        <v>1951</v>
      </c>
      <c r="E2395" t="s">
        <v>2406</v>
      </c>
      <c r="F2395">
        <f>HYPERLINK("http://pbs.twimg.com/media/DZOIcPcWAAAL3go.jpg", "http://pbs.twimg.com/media/DZOIcPcWAAAL3go.jpg")</f>
        <v/>
      </c>
      <c r="G2395" t="s"/>
      <c r="H2395" t="s"/>
      <c r="I2395" t="s"/>
      <c r="J2395" t="n">
        <v>-0.5994</v>
      </c>
      <c r="K2395" t="n">
        <v>0.197</v>
      </c>
      <c r="L2395" t="n">
        <v>0.803</v>
      </c>
      <c r="M2395" t="n">
        <v>0</v>
      </c>
    </row>
    <row r="2396" spans="1:13">
      <c r="A2396" s="1">
        <f>HYPERLINK("http://www.twitter.com/NathanBLawrence/status/978661370714607616", "978661370714607616")</f>
        <v/>
      </c>
      <c r="B2396" s="2" t="n">
        <v>43186.66236111111</v>
      </c>
      <c r="C2396" t="n">
        <v>0</v>
      </c>
      <c r="D2396" t="n">
        <v>407</v>
      </c>
      <c r="E2396" t="s">
        <v>2407</v>
      </c>
      <c r="F2396" t="s"/>
      <c r="G2396" t="s"/>
      <c r="H2396" t="s"/>
      <c r="I2396" t="s"/>
      <c r="J2396" t="n">
        <v>-0.5994</v>
      </c>
      <c r="K2396" t="n">
        <v>0.24</v>
      </c>
      <c r="L2396" t="n">
        <v>0.664</v>
      </c>
      <c r="M2396" t="n">
        <v>0.096</v>
      </c>
    </row>
    <row r="2397" spans="1:13">
      <c r="A2397" s="1">
        <f>HYPERLINK("http://www.twitter.com/NathanBLawrence/status/978661110193754112", "978661110193754112")</f>
        <v/>
      </c>
      <c r="B2397" s="2" t="n">
        <v>43186.66163194444</v>
      </c>
      <c r="C2397" t="n">
        <v>0</v>
      </c>
      <c r="D2397" t="n">
        <v>243</v>
      </c>
      <c r="E2397" t="s">
        <v>2408</v>
      </c>
      <c r="F2397">
        <f>HYPERLINK("http://pbs.twimg.com/media/DZTAmvMU0AAgXTK.jpg", "http://pbs.twimg.com/media/DZTAmvMU0AAgXTK.jpg")</f>
        <v/>
      </c>
      <c r="G2397" t="s"/>
      <c r="H2397" t="s"/>
      <c r="I2397" t="s"/>
      <c r="J2397" t="n">
        <v>0.4576</v>
      </c>
      <c r="K2397" t="n">
        <v>0</v>
      </c>
      <c r="L2397" t="n">
        <v>0.875</v>
      </c>
      <c r="M2397" t="n">
        <v>0.125</v>
      </c>
    </row>
    <row r="2398" spans="1:13">
      <c r="A2398" s="1">
        <f>HYPERLINK("http://www.twitter.com/NathanBLawrence/status/978535462380949504", "978535462380949504")</f>
        <v/>
      </c>
      <c r="B2398" s="2" t="n">
        <v>43186.31491898148</v>
      </c>
      <c r="C2398" t="n">
        <v>0</v>
      </c>
      <c r="D2398" t="n">
        <v>330</v>
      </c>
      <c r="E2398" t="s">
        <v>2409</v>
      </c>
      <c r="F2398" t="s"/>
      <c r="G2398" t="s"/>
      <c r="H2398" t="s"/>
      <c r="I2398" t="s"/>
      <c r="J2398" t="n">
        <v>0.7003</v>
      </c>
      <c r="K2398" t="n">
        <v>0</v>
      </c>
      <c r="L2398" t="n">
        <v>0.756</v>
      </c>
      <c r="M2398" t="n">
        <v>0.244</v>
      </c>
    </row>
    <row r="2399" spans="1:13">
      <c r="A2399" s="1">
        <f>HYPERLINK("http://www.twitter.com/NathanBLawrence/status/978535311797030912", "978535311797030912")</f>
        <v/>
      </c>
      <c r="B2399" s="2" t="n">
        <v>43186.31450231482</v>
      </c>
      <c r="C2399" t="n">
        <v>0</v>
      </c>
      <c r="D2399" t="n">
        <v>324</v>
      </c>
      <c r="E2399" t="s">
        <v>2410</v>
      </c>
      <c r="F2399" t="s"/>
      <c r="G2399" t="s"/>
      <c r="H2399" t="s"/>
      <c r="I2399" t="s"/>
      <c r="J2399" t="n">
        <v>-0.7717000000000001</v>
      </c>
      <c r="K2399" t="n">
        <v>0.528</v>
      </c>
      <c r="L2399" t="n">
        <v>0.472</v>
      </c>
      <c r="M2399" t="n">
        <v>0</v>
      </c>
    </row>
    <row r="2400" spans="1:13">
      <c r="A2400" s="1">
        <f>HYPERLINK("http://www.twitter.com/NathanBLawrence/status/978533662642917376", "978533662642917376")</f>
        <v/>
      </c>
      <c r="B2400" s="2" t="n">
        <v>43186.30995370371</v>
      </c>
      <c r="C2400" t="n">
        <v>0</v>
      </c>
      <c r="D2400" t="n">
        <v>1232</v>
      </c>
      <c r="E2400" t="s">
        <v>2411</v>
      </c>
      <c r="F2400">
        <f>HYPERLINK("http://pbs.twimg.com/media/DZOYWcPV4AAT736.jpg", "http://pbs.twimg.com/media/DZOYWcPV4AAT736.jpg")</f>
        <v/>
      </c>
      <c r="G2400" t="s"/>
      <c r="H2400" t="s"/>
      <c r="I2400" t="s"/>
      <c r="J2400" t="n">
        <v>0</v>
      </c>
      <c r="K2400" t="n">
        <v>0</v>
      </c>
      <c r="L2400" t="n">
        <v>1</v>
      </c>
      <c r="M2400" t="n">
        <v>0</v>
      </c>
    </row>
    <row r="2401" spans="1:13">
      <c r="A2401" s="1">
        <f>HYPERLINK("http://www.twitter.com/NathanBLawrence/status/978532888256884737", "978532888256884737")</f>
        <v/>
      </c>
      <c r="B2401" s="2" t="n">
        <v>43186.3078125</v>
      </c>
      <c r="C2401" t="n">
        <v>0</v>
      </c>
      <c r="D2401" t="n">
        <v>200</v>
      </c>
      <c r="E2401" t="s">
        <v>2412</v>
      </c>
      <c r="F2401">
        <f>HYPERLINK("http://pbs.twimg.com/media/DZRyEaiWsAUuTMT.jpg", "http://pbs.twimg.com/media/DZRyEaiWsAUuTMT.jpg")</f>
        <v/>
      </c>
      <c r="G2401" t="s"/>
      <c r="H2401" t="s"/>
      <c r="I2401" t="s"/>
      <c r="J2401" t="n">
        <v>0.6369</v>
      </c>
      <c r="K2401" t="n">
        <v>0</v>
      </c>
      <c r="L2401" t="n">
        <v>0.543</v>
      </c>
      <c r="M2401" t="n">
        <v>0.457</v>
      </c>
    </row>
    <row r="2402" spans="1:13">
      <c r="A2402" s="1">
        <f>HYPERLINK("http://www.twitter.com/NathanBLawrence/status/978532100558217216", "978532100558217216")</f>
        <v/>
      </c>
      <c r="B2402" s="2" t="n">
        <v>43186.30563657408</v>
      </c>
      <c r="C2402" t="n">
        <v>0</v>
      </c>
      <c r="D2402" t="n">
        <v>7</v>
      </c>
      <c r="E2402" t="s">
        <v>2413</v>
      </c>
      <c r="F2402" t="s"/>
      <c r="G2402" t="s"/>
      <c r="H2402" t="s"/>
      <c r="I2402" t="s"/>
      <c r="J2402" t="n">
        <v>0</v>
      </c>
      <c r="K2402" t="n">
        <v>0</v>
      </c>
      <c r="L2402" t="n">
        <v>1</v>
      </c>
      <c r="M2402" t="n">
        <v>0</v>
      </c>
    </row>
    <row r="2403" spans="1:13">
      <c r="A2403" s="1">
        <f>HYPERLINK("http://www.twitter.com/NathanBLawrence/status/978531073738137600", "978531073738137600")</f>
        <v/>
      </c>
      <c r="B2403" s="2" t="n">
        <v>43186.30280092593</v>
      </c>
      <c r="C2403" t="n">
        <v>0</v>
      </c>
      <c r="D2403" t="n">
        <v>253</v>
      </c>
      <c r="E2403" t="s">
        <v>2414</v>
      </c>
      <c r="F2403" t="s"/>
      <c r="G2403" t="s"/>
      <c r="H2403" t="s"/>
      <c r="I2403" t="s"/>
      <c r="J2403" t="n">
        <v>0.3595</v>
      </c>
      <c r="K2403" t="n">
        <v>0</v>
      </c>
      <c r="L2403" t="n">
        <v>0.894</v>
      </c>
      <c r="M2403" t="n">
        <v>0.106</v>
      </c>
    </row>
    <row r="2404" spans="1:13">
      <c r="A2404" s="1">
        <f>HYPERLINK("http://www.twitter.com/NathanBLawrence/status/978530781952913408", "978530781952913408")</f>
        <v/>
      </c>
      <c r="B2404" s="2" t="n">
        <v>43186.30200231481</v>
      </c>
      <c r="C2404" t="n">
        <v>0</v>
      </c>
      <c r="D2404" t="n">
        <v>84</v>
      </c>
      <c r="E2404" t="s">
        <v>2415</v>
      </c>
      <c r="F2404">
        <f>HYPERLINK("http://pbs.twimg.com/media/DZRkxsmVwAE6jCw.jpg", "http://pbs.twimg.com/media/DZRkxsmVwAE6jCw.jpg")</f>
        <v/>
      </c>
      <c r="G2404">
        <f>HYPERLINK("http://pbs.twimg.com/media/DZRkxsnUMAAlND_.jpg", "http://pbs.twimg.com/media/DZRkxsnUMAAlND_.jpg")</f>
        <v/>
      </c>
      <c r="H2404" t="s"/>
      <c r="I2404" t="s"/>
      <c r="J2404" t="n">
        <v>0</v>
      </c>
      <c r="K2404" t="n">
        <v>0</v>
      </c>
      <c r="L2404" t="n">
        <v>1</v>
      </c>
      <c r="M2404" t="n">
        <v>0</v>
      </c>
    </row>
    <row r="2405" spans="1:13">
      <c r="A2405" s="1">
        <f>HYPERLINK("http://www.twitter.com/NathanBLawrence/status/978528802451132417", "978528802451132417")</f>
        <v/>
      </c>
      <c r="B2405" s="2" t="n">
        <v>43186.29653935185</v>
      </c>
      <c r="C2405" t="n">
        <v>1</v>
      </c>
      <c r="D2405" t="n">
        <v>0</v>
      </c>
      <c r="E2405" t="s">
        <v>2416</v>
      </c>
      <c r="F2405" t="s"/>
      <c r="G2405" t="s"/>
      <c r="H2405" t="s"/>
      <c r="I2405" t="s"/>
      <c r="J2405" t="n">
        <v>0</v>
      </c>
      <c r="K2405" t="n">
        <v>0.227</v>
      </c>
      <c r="L2405" t="n">
        <v>0.547</v>
      </c>
      <c r="M2405" t="n">
        <v>0.227</v>
      </c>
    </row>
    <row r="2406" spans="1:13">
      <c r="A2406" s="1">
        <f>HYPERLINK("http://www.twitter.com/NathanBLawrence/status/978481086836756480", "978481086836756480")</f>
        <v/>
      </c>
      <c r="B2406" s="2" t="n">
        <v>43186.16487268519</v>
      </c>
      <c r="C2406" t="n">
        <v>0</v>
      </c>
      <c r="D2406" t="n">
        <v>306</v>
      </c>
      <c r="E2406" t="s">
        <v>2417</v>
      </c>
      <c r="F2406">
        <f>HYPERLINK("http://pbs.twimg.com/media/DZQr-RNX0AIOwvB.jpg", "http://pbs.twimg.com/media/DZQr-RNX0AIOwvB.jpg")</f>
        <v/>
      </c>
      <c r="G2406" t="s"/>
      <c r="H2406" t="s"/>
      <c r="I2406" t="s"/>
      <c r="J2406" t="n">
        <v>0</v>
      </c>
      <c r="K2406" t="n">
        <v>0</v>
      </c>
      <c r="L2406" t="n">
        <v>1</v>
      </c>
      <c r="M2406" t="n">
        <v>0</v>
      </c>
    </row>
    <row r="2407" spans="1:13">
      <c r="A2407" s="1">
        <f>HYPERLINK("http://www.twitter.com/NathanBLawrence/status/978480979223498752", "978480979223498752")</f>
        <v/>
      </c>
      <c r="B2407" s="2" t="n">
        <v>43186.16457175926</v>
      </c>
      <c r="C2407" t="n">
        <v>0</v>
      </c>
      <c r="D2407" t="n">
        <v>203</v>
      </c>
      <c r="E2407" t="s">
        <v>2418</v>
      </c>
      <c r="F2407">
        <f>HYPERLINK("http://pbs.twimg.com/media/DZQw0gIVAAAHQjC.jpg", "http://pbs.twimg.com/media/DZQw0gIVAAAHQjC.jpg")</f>
        <v/>
      </c>
      <c r="G2407" t="s"/>
      <c r="H2407" t="s"/>
      <c r="I2407" t="s"/>
      <c r="J2407" t="n">
        <v>0.6249</v>
      </c>
      <c r="K2407" t="n">
        <v>0</v>
      </c>
      <c r="L2407" t="n">
        <v>0.805</v>
      </c>
      <c r="M2407" t="n">
        <v>0.195</v>
      </c>
    </row>
    <row r="2408" spans="1:13">
      <c r="A2408" s="1">
        <f>HYPERLINK("http://www.twitter.com/NathanBLawrence/status/978480373750431744", "978480373750431744")</f>
        <v/>
      </c>
      <c r="B2408" s="2" t="n">
        <v>43186.16290509259</v>
      </c>
      <c r="C2408" t="n">
        <v>0</v>
      </c>
      <c r="D2408" t="n">
        <v>351</v>
      </c>
      <c r="E2408" t="s">
        <v>2419</v>
      </c>
      <c r="F2408">
        <f>HYPERLINK("http://pbs.twimg.com/media/DZQlo1TX0AAgA6H.jpg", "http://pbs.twimg.com/media/DZQlo1TX0AAgA6H.jpg")</f>
        <v/>
      </c>
      <c r="G2408">
        <f>HYPERLINK("http://pbs.twimg.com/media/DZQlxmJWkAEy4Xi.jpg", "http://pbs.twimg.com/media/DZQlxmJWkAEy4Xi.jpg")</f>
        <v/>
      </c>
      <c r="H2408" t="s"/>
      <c r="I2408" t="s"/>
      <c r="J2408" t="n">
        <v>0</v>
      </c>
      <c r="K2408" t="n">
        <v>0</v>
      </c>
      <c r="L2408" t="n">
        <v>1</v>
      </c>
      <c r="M2408" t="n">
        <v>0</v>
      </c>
    </row>
    <row r="2409" spans="1:13">
      <c r="A2409" s="1">
        <f>HYPERLINK("http://www.twitter.com/NathanBLawrence/status/978446765635588096", "978446765635588096")</f>
        <v/>
      </c>
      <c r="B2409" s="2" t="n">
        <v>43186.07016203704</v>
      </c>
      <c r="C2409" t="n">
        <v>0</v>
      </c>
      <c r="D2409" t="n">
        <v>2306</v>
      </c>
      <c r="E2409" t="s">
        <v>2420</v>
      </c>
      <c r="F2409">
        <f>HYPERLINK("http://pbs.twimg.com/media/DZP4wwUXkAAcVaZ.jpg", "http://pbs.twimg.com/media/DZP4wwUXkAAcVaZ.jpg")</f>
        <v/>
      </c>
      <c r="G2409" t="s"/>
      <c r="H2409" t="s"/>
      <c r="I2409" t="s"/>
      <c r="J2409" t="n">
        <v>0.8953</v>
      </c>
      <c r="K2409" t="n">
        <v>0</v>
      </c>
      <c r="L2409" t="n">
        <v>0.661</v>
      </c>
      <c r="M2409" t="n">
        <v>0.339</v>
      </c>
    </row>
    <row r="2410" spans="1:13">
      <c r="A2410" s="1">
        <f>HYPERLINK("http://www.twitter.com/NathanBLawrence/status/978444913485508608", "978444913485508608")</f>
        <v/>
      </c>
      <c r="B2410" s="2" t="n">
        <v>43186.06504629629</v>
      </c>
      <c r="C2410" t="n">
        <v>0</v>
      </c>
      <c r="D2410" t="n">
        <v>274</v>
      </c>
      <c r="E2410" t="s">
        <v>2421</v>
      </c>
      <c r="F2410" t="s"/>
      <c r="G2410" t="s"/>
      <c r="H2410" t="s"/>
      <c r="I2410" t="s"/>
      <c r="J2410" t="n">
        <v>0</v>
      </c>
      <c r="K2410" t="n">
        <v>0</v>
      </c>
      <c r="L2410" t="n">
        <v>1</v>
      </c>
      <c r="M2410" t="n">
        <v>0</v>
      </c>
    </row>
    <row r="2411" spans="1:13">
      <c r="A2411" s="1">
        <f>HYPERLINK("http://www.twitter.com/NathanBLawrence/status/978444680508661760", "978444680508661760")</f>
        <v/>
      </c>
      <c r="B2411" s="2" t="n">
        <v>43186.06440972222</v>
      </c>
      <c r="C2411" t="n">
        <v>0</v>
      </c>
      <c r="D2411" t="n">
        <v>145</v>
      </c>
      <c r="E2411" t="s">
        <v>2422</v>
      </c>
      <c r="F2411">
        <f>HYPERLINK("http://pbs.twimg.com/media/DZPwsIiX0AAzL3-.jpg", "http://pbs.twimg.com/media/DZPwsIiX0AAzL3-.jpg")</f>
        <v/>
      </c>
      <c r="G2411" t="s"/>
      <c r="H2411" t="s"/>
      <c r="I2411" t="s"/>
      <c r="J2411" t="n">
        <v>-0.6808</v>
      </c>
      <c r="K2411" t="n">
        <v>0.307</v>
      </c>
      <c r="L2411" t="n">
        <v>0.596</v>
      </c>
      <c r="M2411" t="n">
        <v>0.096</v>
      </c>
    </row>
    <row r="2412" spans="1:13">
      <c r="A2412" s="1">
        <f>HYPERLINK("http://www.twitter.com/NathanBLawrence/status/978441623494365184", "978441623494365184")</f>
        <v/>
      </c>
      <c r="B2412" s="2" t="n">
        <v>43186.05597222222</v>
      </c>
      <c r="C2412" t="n">
        <v>0</v>
      </c>
      <c r="D2412" t="n">
        <v>20679</v>
      </c>
      <c r="E2412" t="s">
        <v>2423</v>
      </c>
      <c r="F2412" t="s"/>
      <c r="G2412" t="s"/>
      <c r="H2412" t="s"/>
      <c r="I2412" t="s"/>
      <c r="J2412" t="n">
        <v>-0.3252</v>
      </c>
      <c r="K2412" t="n">
        <v>0.096</v>
      </c>
      <c r="L2412" t="n">
        <v>0.904</v>
      </c>
      <c r="M2412" t="n">
        <v>0</v>
      </c>
    </row>
    <row r="2413" spans="1:13">
      <c r="A2413" s="1">
        <f>HYPERLINK("http://www.twitter.com/NathanBLawrence/status/978436271038259201", "978436271038259201")</f>
        <v/>
      </c>
      <c r="B2413" s="2" t="n">
        <v>43186.0412037037</v>
      </c>
      <c r="C2413" t="n">
        <v>0</v>
      </c>
      <c r="D2413" t="n">
        <v>12</v>
      </c>
      <c r="E2413" t="s">
        <v>2424</v>
      </c>
      <c r="F2413">
        <f>HYPERLINK("http://pbs.twimg.com/media/DZQL20HW4AAvZTp.jpg", "http://pbs.twimg.com/media/DZQL20HW4AAvZTp.jpg")</f>
        <v/>
      </c>
      <c r="G2413" t="s"/>
      <c r="H2413" t="s"/>
      <c r="I2413" t="s"/>
      <c r="J2413" t="n">
        <v>0</v>
      </c>
      <c r="K2413" t="n">
        <v>0</v>
      </c>
      <c r="L2413" t="n">
        <v>1</v>
      </c>
      <c r="M2413" t="n">
        <v>0</v>
      </c>
    </row>
    <row r="2414" spans="1:13">
      <c r="A2414" s="1">
        <f>HYPERLINK("http://www.twitter.com/NathanBLawrence/status/978436065697718272", "978436065697718272")</f>
        <v/>
      </c>
      <c r="B2414" s="2" t="n">
        <v>43186.04063657407</v>
      </c>
      <c r="C2414" t="n">
        <v>0</v>
      </c>
      <c r="D2414" t="n">
        <v>2817</v>
      </c>
      <c r="E2414" t="s">
        <v>2425</v>
      </c>
      <c r="F2414">
        <f>HYPERLINK("http://pbs.twimg.com/media/DZN6YM-XkAAAOlV.jpg", "http://pbs.twimg.com/media/DZN6YM-XkAAAOlV.jpg")</f>
        <v/>
      </c>
      <c r="G2414" t="s"/>
      <c r="H2414" t="s"/>
      <c r="I2414" t="s"/>
      <c r="J2414" t="n">
        <v>0.4767</v>
      </c>
      <c r="K2414" t="n">
        <v>0</v>
      </c>
      <c r="L2414" t="n">
        <v>0.744</v>
      </c>
      <c r="M2414" t="n">
        <v>0.256</v>
      </c>
    </row>
    <row r="2415" spans="1:13">
      <c r="A2415" s="1">
        <f>HYPERLINK("http://www.twitter.com/NathanBLawrence/status/978435364116459520", "978435364116459520")</f>
        <v/>
      </c>
      <c r="B2415" s="2" t="n">
        <v>43186.03869212963</v>
      </c>
      <c r="C2415" t="n">
        <v>0</v>
      </c>
      <c r="D2415" t="n">
        <v>1</v>
      </c>
      <c r="E2415" t="s">
        <v>2426</v>
      </c>
      <c r="F2415" t="s"/>
      <c r="G2415" t="s"/>
      <c r="H2415" t="s"/>
      <c r="I2415" t="s"/>
      <c r="J2415" t="n">
        <v>0</v>
      </c>
      <c r="K2415" t="n">
        <v>0</v>
      </c>
      <c r="L2415" t="n">
        <v>1</v>
      </c>
      <c r="M2415" t="n">
        <v>0</v>
      </c>
    </row>
    <row r="2416" spans="1:13">
      <c r="A2416" s="1">
        <f>HYPERLINK("http://www.twitter.com/NathanBLawrence/status/978434769154379776", "978434769154379776")</f>
        <v/>
      </c>
      <c r="B2416" s="2" t="n">
        <v>43186.03706018518</v>
      </c>
      <c r="C2416" t="n">
        <v>0</v>
      </c>
      <c r="D2416" t="n">
        <v>36</v>
      </c>
      <c r="E2416" t="s">
        <v>2427</v>
      </c>
      <c r="F2416">
        <f>HYPERLINK("http://pbs.twimg.com/media/DZQU0MWX4AIpjSD.jpg", "http://pbs.twimg.com/media/DZQU0MWX4AIpjSD.jpg")</f>
        <v/>
      </c>
      <c r="G2416" t="s"/>
      <c r="H2416" t="s"/>
      <c r="I2416" t="s"/>
      <c r="J2416" t="n">
        <v>0.6249</v>
      </c>
      <c r="K2416" t="n">
        <v>0</v>
      </c>
      <c r="L2416" t="n">
        <v>0.806</v>
      </c>
      <c r="M2416" t="n">
        <v>0.194</v>
      </c>
    </row>
    <row r="2417" spans="1:13">
      <c r="A2417" s="1">
        <f>HYPERLINK("http://www.twitter.com/NathanBLawrence/status/978432696866271232", "978432696866271232")</f>
        <v/>
      </c>
      <c r="B2417" s="2" t="n">
        <v>43186.03133101852</v>
      </c>
      <c r="C2417" t="n">
        <v>0</v>
      </c>
      <c r="D2417" t="n">
        <v>1278</v>
      </c>
      <c r="E2417" t="s">
        <v>2428</v>
      </c>
      <c r="F2417" t="s"/>
      <c r="G2417" t="s"/>
      <c r="H2417" t="s"/>
      <c r="I2417" t="s"/>
      <c r="J2417" t="n">
        <v>0.2144</v>
      </c>
      <c r="K2417" t="n">
        <v>0</v>
      </c>
      <c r="L2417" t="n">
        <v>0.926</v>
      </c>
      <c r="M2417" t="n">
        <v>0.074</v>
      </c>
    </row>
    <row r="2418" spans="1:13">
      <c r="A2418" s="1">
        <f>HYPERLINK("http://www.twitter.com/NathanBLawrence/status/978432334050492416", "978432334050492416")</f>
        <v/>
      </c>
      <c r="B2418" s="2" t="n">
        <v>43186.03033564815</v>
      </c>
      <c r="C2418" t="n">
        <v>0</v>
      </c>
      <c r="D2418" t="n">
        <v>143</v>
      </c>
      <c r="E2418" t="s">
        <v>2429</v>
      </c>
      <c r="F2418" t="s"/>
      <c r="G2418" t="s"/>
      <c r="H2418" t="s"/>
      <c r="I2418" t="s"/>
      <c r="J2418" t="n">
        <v>0</v>
      </c>
      <c r="K2418" t="n">
        <v>0</v>
      </c>
      <c r="L2418" t="n">
        <v>1</v>
      </c>
      <c r="M2418" t="n">
        <v>0</v>
      </c>
    </row>
    <row r="2419" spans="1:13">
      <c r="A2419" s="1">
        <f>HYPERLINK("http://www.twitter.com/NathanBLawrence/status/978431788581359616", "978431788581359616")</f>
        <v/>
      </c>
      <c r="B2419" s="2" t="n">
        <v>43186.02883101852</v>
      </c>
      <c r="C2419" t="n">
        <v>0</v>
      </c>
      <c r="D2419" t="n">
        <v>89</v>
      </c>
      <c r="E2419" t="s">
        <v>2430</v>
      </c>
      <c r="F2419">
        <f>HYPERLINK("http://pbs.twimg.com/media/DZQBe7_U0AA_OLX.jpg", "http://pbs.twimg.com/media/DZQBe7_U0AA_OLX.jpg")</f>
        <v/>
      </c>
      <c r="G2419" t="s"/>
      <c r="H2419" t="s"/>
      <c r="I2419" t="s"/>
      <c r="J2419" t="n">
        <v>0</v>
      </c>
      <c r="K2419" t="n">
        <v>0</v>
      </c>
      <c r="L2419" t="n">
        <v>1</v>
      </c>
      <c r="M2419" t="n">
        <v>0</v>
      </c>
    </row>
    <row r="2420" spans="1:13">
      <c r="A2420" s="1">
        <f>HYPERLINK("http://www.twitter.com/NathanBLawrence/status/978430262328676353", "978430262328676353")</f>
        <v/>
      </c>
      <c r="B2420" s="2" t="n">
        <v>43186.02461805556</v>
      </c>
      <c r="C2420" t="n">
        <v>0</v>
      </c>
      <c r="D2420" t="n">
        <v>10069</v>
      </c>
      <c r="E2420" t="s">
        <v>2431</v>
      </c>
      <c r="F2420" t="s"/>
      <c r="G2420" t="s"/>
      <c r="H2420" t="s"/>
      <c r="I2420" t="s"/>
      <c r="J2420" t="n">
        <v>-0.6249</v>
      </c>
      <c r="K2420" t="n">
        <v>0.157</v>
      </c>
      <c r="L2420" t="n">
        <v>0.843</v>
      </c>
      <c r="M2420" t="n">
        <v>0</v>
      </c>
    </row>
    <row r="2421" spans="1:13">
      <c r="A2421" s="1">
        <f>HYPERLINK("http://www.twitter.com/NathanBLawrence/status/978430184889217025", "978430184889217025")</f>
        <v/>
      </c>
      <c r="B2421" s="2" t="n">
        <v>43186.02440972222</v>
      </c>
      <c r="C2421" t="n">
        <v>0</v>
      </c>
      <c r="D2421" t="n">
        <v>1740</v>
      </c>
      <c r="E2421" t="s">
        <v>2432</v>
      </c>
      <c r="F2421" t="s"/>
      <c r="G2421" t="s"/>
      <c r="H2421" t="s"/>
      <c r="I2421" t="s"/>
      <c r="J2421" t="n">
        <v>-0.34</v>
      </c>
      <c r="K2421" t="n">
        <v>0.112</v>
      </c>
      <c r="L2421" t="n">
        <v>0.888</v>
      </c>
      <c r="M2421" t="n">
        <v>0</v>
      </c>
    </row>
    <row r="2422" spans="1:13">
      <c r="A2422" s="1">
        <f>HYPERLINK("http://www.twitter.com/NathanBLawrence/status/978430097295400960", "978430097295400960")</f>
        <v/>
      </c>
      <c r="B2422" s="2" t="n">
        <v>43186.02416666667</v>
      </c>
      <c r="C2422" t="n">
        <v>0</v>
      </c>
      <c r="D2422" t="n">
        <v>2461</v>
      </c>
      <c r="E2422" t="s">
        <v>2433</v>
      </c>
      <c r="F2422" t="s"/>
      <c r="G2422" t="s"/>
      <c r="H2422" t="s"/>
      <c r="I2422" t="s"/>
      <c r="J2422" t="n">
        <v>0</v>
      </c>
      <c r="K2422" t="n">
        <v>0</v>
      </c>
      <c r="L2422" t="n">
        <v>1</v>
      </c>
      <c r="M2422" t="n">
        <v>0</v>
      </c>
    </row>
    <row r="2423" spans="1:13">
      <c r="A2423" s="1">
        <f>HYPERLINK("http://www.twitter.com/NathanBLawrence/status/978392843717959683", "978392843717959683")</f>
        <v/>
      </c>
      <c r="B2423" s="2" t="n">
        <v>43185.92136574074</v>
      </c>
      <c r="C2423" t="n">
        <v>0</v>
      </c>
      <c r="D2423" t="n">
        <v>149</v>
      </c>
      <c r="E2423" t="s">
        <v>2434</v>
      </c>
      <c r="F2423" t="s"/>
      <c r="G2423" t="s"/>
      <c r="H2423" t="s"/>
      <c r="I2423" t="s"/>
      <c r="J2423" t="n">
        <v>-0.7506</v>
      </c>
      <c r="K2423" t="n">
        <v>0.242</v>
      </c>
      <c r="L2423" t="n">
        <v>0.758</v>
      </c>
      <c r="M2423" t="n">
        <v>0</v>
      </c>
    </row>
    <row r="2424" spans="1:13">
      <c r="A2424" s="1">
        <f>HYPERLINK("http://www.twitter.com/NathanBLawrence/status/978392069403275264", "978392069403275264")</f>
        <v/>
      </c>
      <c r="B2424" s="2" t="n">
        <v>43185.91922453704</v>
      </c>
      <c r="C2424" t="n">
        <v>0</v>
      </c>
      <c r="D2424" t="n">
        <v>50</v>
      </c>
      <c r="E2424" t="s">
        <v>2435</v>
      </c>
      <c r="F2424" t="s"/>
      <c r="G2424" t="s"/>
      <c r="H2424" t="s"/>
      <c r="I2424" t="s"/>
      <c r="J2424" t="n">
        <v>-0.4854</v>
      </c>
      <c r="K2424" t="n">
        <v>0.198</v>
      </c>
      <c r="L2424" t="n">
        <v>0.711</v>
      </c>
      <c r="M2424" t="n">
        <v>0.091</v>
      </c>
    </row>
    <row r="2425" spans="1:13">
      <c r="A2425" s="1">
        <f>HYPERLINK("http://www.twitter.com/NathanBLawrence/status/978390181555433473", "978390181555433473")</f>
        <v/>
      </c>
      <c r="B2425" s="2" t="n">
        <v>43185.9140162037</v>
      </c>
      <c r="C2425" t="n">
        <v>0</v>
      </c>
      <c r="D2425" t="n">
        <v>14</v>
      </c>
      <c r="E2425" t="s">
        <v>2436</v>
      </c>
      <c r="F2425">
        <f>HYPERLINK("https://video.twimg.com/amplify_video/978384449841827840/vid/720x720/3-Xhn3zAXzoHlQ1d.mp4", "https://video.twimg.com/amplify_video/978384449841827840/vid/720x720/3-Xhn3zAXzoHlQ1d.mp4")</f>
        <v/>
      </c>
      <c r="G2425" t="s"/>
      <c r="H2425" t="s"/>
      <c r="I2425" t="s"/>
      <c r="J2425" t="n">
        <v>-0.7184</v>
      </c>
      <c r="K2425" t="n">
        <v>0.261</v>
      </c>
      <c r="L2425" t="n">
        <v>0.739</v>
      </c>
      <c r="M2425" t="n">
        <v>0</v>
      </c>
    </row>
    <row r="2426" spans="1:13">
      <c r="A2426" s="1">
        <f>HYPERLINK("http://www.twitter.com/NathanBLawrence/status/978389904295120896", "978389904295120896")</f>
        <v/>
      </c>
      <c r="B2426" s="2" t="n">
        <v>43185.91325231481</v>
      </c>
      <c r="C2426" t="n">
        <v>0</v>
      </c>
      <c r="D2426" t="n">
        <v>1290</v>
      </c>
      <c r="E2426" t="s">
        <v>2437</v>
      </c>
      <c r="F2426" t="s"/>
      <c r="G2426" t="s"/>
      <c r="H2426" t="s"/>
      <c r="I2426" t="s"/>
      <c r="J2426" t="n">
        <v>0</v>
      </c>
      <c r="K2426" t="n">
        <v>0</v>
      </c>
      <c r="L2426" t="n">
        <v>1</v>
      </c>
      <c r="M2426" t="n">
        <v>0</v>
      </c>
    </row>
    <row r="2427" spans="1:13">
      <c r="A2427" s="1">
        <f>HYPERLINK("http://www.twitter.com/NathanBLawrence/status/978389693762097152", "978389693762097152")</f>
        <v/>
      </c>
      <c r="B2427" s="2" t="n">
        <v>43185.91267361111</v>
      </c>
      <c r="C2427" t="n">
        <v>0</v>
      </c>
      <c r="D2427" t="n">
        <v>70</v>
      </c>
      <c r="E2427" t="s">
        <v>2438</v>
      </c>
      <c r="F2427">
        <f>HYPERLINK("http://pbs.twimg.com/media/DZPvWUGVwAAiyM6.jpg", "http://pbs.twimg.com/media/DZPvWUGVwAAiyM6.jpg")</f>
        <v/>
      </c>
      <c r="G2427" t="s"/>
      <c r="H2427" t="s"/>
      <c r="I2427" t="s"/>
      <c r="J2427" t="n">
        <v>0</v>
      </c>
      <c r="K2427" t="n">
        <v>0</v>
      </c>
      <c r="L2427" t="n">
        <v>1</v>
      </c>
      <c r="M2427" t="n">
        <v>0</v>
      </c>
    </row>
    <row r="2428" spans="1:13">
      <c r="A2428" s="1">
        <f>HYPERLINK("http://www.twitter.com/NathanBLawrence/status/978389192395886592", "978389192395886592")</f>
        <v/>
      </c>
      <c r="B2428" s="2" t="n">
        <v>43185.91128472222</v>
      </c>
      <c r="C2428" t="n">
        <v>0</v>
      </c>
      <c r="D2428" t="n">
        <v>641</v>
      </c>
      <c r="E2428" t="s">
        <v>2439</v>
      </c>
      <c r="F2428" t="s"/>
      <c r="G2428" t="s"/>
      <c r="H2428" t="s"/>
      <c r="I2428" t="s"/>
      <c r="J2428" t="n">
        <v>0</v>
      </c>
      <c r="K2428" t="n">
        <v>0</v>
      </c>
      <c r="L2428" t="n">
        <v>1</v>
      </c>
      <c r="M2428" t="n">
        <v>0</v>
      </c>
    </row>
    <row r="2429" spans="1:13">
      <c r="A2429" s="1">
        <f>HYPERLINK("http://www.twitter.com/NathanBLawrence/status/978388827441127425", "978388827441127425")</f>
        <v/>
      </c>
      <c r="B2429" s="2" t="n">
        <v>43185.91027777778</v>
      </c>
      <c r="C2429" t="n">
        <v>0</v>
      </c>
      <c r="D2429" t="n">
        <v>679</v>
      </c>
      <c r="E2429" t="s">
        <v>2440</v>
      </c>
      <c r="F2429" t="s"/>
      <c r="G2429" t="s"/>
      <c r="H2429" t="s"/>
      <c r="I2429" t="s"/>
      <c r="J2429" t="n">
        <v>-0.6808</v>
      </c>
      <c r="K2429" t="n">
        <v>0.18</v>
      </c>
      <c r="L2429" t="n">
        <v>0.82</v>
      </c>
      <c r="M2429" t="n">
        <v>0</v>
      </c>
    </row>
    <row r="2430" spans="1:13">
      <c r="A2430" s="1">
        <f>HYPERLINK("http://www.twitter.com/NathanBLawrence/status/978388138245713920", "978388138245713920")</f>
        <v/>
      </c>
      <c r="B2430" s="2" t="n">
        <v>43185.90837962963</v>
      </c>
      <c r="C2430" t="n">
        <v>0</v>
      </c>
      <c r="D2430" t="n">
        <v>328</v>
      </c>
      <c r="E2430" t="s">
        <v>2441</v>
      </c>
      <c r="F2430">
        <f>HYPERLINK("http://pbs.twimg.com/media/DZPbwgAVAAAmko8.jpg", "http://pbs.twimg.com/media/DZPbwgAVAAAmko8.jpg")</f>
        <v/>
      </c>
      <c r="G2430" t="s"/>
      <c r="H2430" t="s"/>
      <c r="I2430" t="s"/>
      <c r="J2430" t="n">
        <v>0</v>
      </c>
      <c r="K2430" t="n">
        <v>0</v>
      </c>
      <c r="L2430" t="n">
        <v>1</v>
      </c>
      <c r="M2430" t="n">
        <v>0</v>
      </c>
    </row>
    <row r="2431" spans="1:13">
      <c r="A2431" s="1">
        <f>HYPERLINK("http://www.twitter.com/NathanBLawrence/status/978386961638535168", "978386961638535168")</f>
        <v/>
      </c>
      <c r="B2431" s="2" t="n">
        <v>43185.90512731481</v>
      </c>
      <c r="C2431" t="n">
        <v>0</v>
      </c>
      <c r="D2431" t="n">
        <v>445</v>
      </c>
      <c r="E2431" t="s">
        <v>2442</v>
      </c>
      <c r="F2431" t="s"/>
      <c r="G2431" t="s"/>
      <c r="H2431" t="s"/>
      <c r="I2431" t="s"/>
      <c r="J2431" t="n">
        <v>-0.5837</v>
      </c>
      <c r="K2431" t="n">
        <v>0.243</v>
      </c>
      <c r="L2431" t="n">
        <v>0.608</v>
      </c>
      <c r="M2431" t="n">
        <v>0.149</v>
      </c>
    </row>
    <row r="2432" spans="1:13">
      <c r="A2432" s="1">
        <f>HYPERLINK("http://www.twitter.com/NathanBLawrence/status/978386731090300929", "978386731090300929")</f>
        <v/>
      </c>
      <c r="B2432" s="2" t="n">
        <v>43185.90449074074</v>
      </c>
      <c r="C2432" t="n">
        <v>0</v>
      </c>
      <c r="D2432" t="n">
        <v>2</v>
      </c>
      <c r="E2432" t="s">
        <v>2443</v>
      </c>
      <c r="F2432" t="s"/>
      <c r="G2432" t="s"/>
      <c r="H2432" t="s"/>
      <c r="I2432" t="s"/>
      <c r="J2432" t="n">
        <v>-0.1531</v>
      </c>
      <c r="K2432" t="n">
        <v>0.147</v>
      </c>
      <c r="L2432" t="n">
        <v>0.733</v>
      </c>
      <c r="M2432" t="n">
        <v>0.121</v>
      </c>
    </row>
    <row r="2433" spans="1:13">
      <c r="A2433" s="1">
        <f>HYPERLINK("http://www.twitter.com/NathanBLawrence/status/978386114519142401", "978386114519142401")</f>
        <v/>
      </c>
      <c r="B2433" s="2" t="n">
        <v>43185.90278935185</v>
      </c>
      <c r="C2433" t="n">
        <v>0</v>
      </c>
      <c r="D2433" t="n">
        <v>1</v>
      </c>
      <c r="E2433" t="s">
        <v>2444</v>
      </c>
      <c r="F2433" t="s"/>
      <c r="G2433" t="s"/>
      <c r="H2433" t="s"/>
      <c r="I2433" t="s"/>
      <c r="J2433" t="n">
        <v>0</v>
      </c>
      <c r="K2433" t="n">
        <v>0</v>
      </c>
      <c r="L2433" t="n">
        <v>1</v>
      </c>
      <c r="M2433" t="n">
        <v>0</v>
      </c>
    </row>
    <row r="2434" spans="1:13">
      <c r="A2434" s="1">
        <f>HYPERLINK("http://www.twitter.com/NathanBLawrence/status/978385582253539328", "978385582253539328")</f>
        <v/>
      </c>
      <c r="B2434" s="2" t="n">
        <v>43185.90131944444</v>
      </c>
      <c r="C2434" t="n">
        <v>0</v>
      </c>
      <c r="D2434" t="n">
        <v>3159</v>
      </c>
      <c r="E2434" t="s">
        <v>2445</v>
      </c>
      <c r="F2434" t="s"/>
      <c r="G2434" t="s"/>
      <c r="H2434" t="s"/>
      <c r="I2434" t="s"/>
      <c r="J2434" t="n">
        <v>0</v>
      </c>
      <c r="K2434" t="n">
        <v>0</v>
      </c>
      <c r="L2434" t="n">
        <v>1</v>
      </c>
      <c r="M2434" t="n">
        <v>0</v>
      </c>
    </row>
    <row r="2435" spans="1:13">
      <c r="A2435" s="1">
        <f>HYPERLINK("http://www.twitter.com/NathanBLawrence/status/978385531817033728", "978385531817033728")</f>
        <v/>
      </c>
      <c r="B2435" s="2" t="n">
        <v>43185.90118055556</v>
      </c>
      <c r="C2435" t="n">
        <v>0</v>
      </c>
      <c r="D2435" t="n">
        <v>4697</v>
      </c>
      <c r="E2435" t="s">
        <v>2446</v>
      </c>
      <c r="F2435" t="s"/>
      <c r="G2435" t="s"/>
      <c r="H2435" t="s"/>
      <c r="I2435" t="s"/>
      <c r="J2435" t="n">
        <v>-0.4215</v>
      </c>
      <c r="K2435" t="n">
        <v>0.117</v>
      </c>
      <c r="L2435" t="n">
        <v>0.833</v>
      </c>
      <c r="M2435" t="n">
        <v>0.049</v>
      </c>
    </row>
    <row r="2436" spans="1:13">
      <c r="A2436" s="1">
        <f>HYPERLINK("http://www.twitter.com/NathanBLawrence/status/978384850947334149", "978384850947334149")</f>
        <v/>
      </c>
      <c r="B2436" s="2" t="n">
        <v>43185.89930555555</v>
      </c>
      <c r="C2436" t="n">
        <v>0</v>
      </c>
      <c r="D2436" t="n">
        <v>206</v>
      </c>
      <c r="E2436" t="s">
        <v>2447</v>
      </c>
      <c r="F2436">
        <f>HYPERLINK("http://pbs.twimg.com/media/DZEVIk_WAAAmXXc.jpg", "http://pbs.twimg.com/media/DZEVIk_WAAAmXXc.jpg")</f>
        <v/>
      </c>
      <c r="G2436" t="s"/>
      <c r="H2436" t="s"/>
      <c r="I2436" t="s"/>
      <c r="J2436" t="n">
        <v>0</v>
      </c>
      <c r="K2436" t="n">
        <v>0</v>
      </c>
      <c r="L2436" t="n">
        <v>1</v>
      </c>
      <c r="M2436" t="n">
        <v>0</v>
      </c>
    </row>
    <row r="2437" spans="1:13">
      <c r="A2437" s="1">
        <f>HYPERLINK("http://www.twitter.com/NathanBLawrence/status/978375953222197248", "978375953222197248")</f>
        <v/>
      </c>
      <c r="B2437" s="2" t="n">
        <v>43185.87475694445</v>
      </c>
      <c r="C2437" t="n">
        <v>0</v>
      </c>
      <c r="D2437" t="n">
        <v>10</v>
      </c>
      <c r="E2437" t="s">
        <v>2448</v>
      </c>
      <c r="F2437">
        <f>HYPERLINK("https://video.twimg.com/amplify_video/742394872766844929/vid/1280x720/asvXftKz17I2mULI.mp4", "https://video.twimg.com/amplify_video/742394872766844929/vid/1280x720/asvXftKz17I2mULI.mp4")</f>
        <v/>
      </c>
      <c r="G2437" t="s"/>
      <c r="H2437" t="s"/>
      <c r="I2437" t="s"/>
      <c r="J2437" t="n">
        <v>0</v>
      </c>
      <c r="K2437" t="n">
        <v>0</v>
      </c>
      <c r="L2437" t="n">
        <v>1</v>
      </c>
      <c r="M2437" t="n">
        <v>0</v>
      </c>
    </row>
    <row r="2438" spans="1:13">
      <c r="A2438" s="1">
        <f>HYPERLINK("http://www.twitter.com/NathanBLawrence/status/978375433640120320", "978375433640120320")</f>
        <v/>
      </c>
      <c r="B2438" s="2" t="n">
        <v>43185.87332175926</v>
      </c>
      <c r="C2438" t="n">
        <v>0</v>
      </c>
      <c r="D2438" t="n">
        <v>1641</v>
      </c>
      <c r="E2438" t="s">
        <v>2449</v>
      </c>
      <c r="F2438" t="s"/>
      <c r="G2438" t="s"/>
      <c r="H2438" t="s"/>
      <c r="I2438" t="s"/>
      <c r="J2438" t="n">
        <v>0.0762</v>
      </c>
      <c r="K2438" t="n">
        <v>0</v>
      </c>
      <c r="L2438" t="n">
        <v>0.947</v>
      </c>
      <c r="M2438" t="n">
        <v>0.053</v>
      </c>
    </row>
    <row r="2439" spans="1:13">
      <c r="A2439" s="1">
        <f>HYPERLINK("http://www.twitter.com/NathanBLawrence/status/978375319894847488", "978375319894847488")</f>
        <v/>
      </c>
      <c r="B2439" s="2" t="n">
        <v>43185.87300925926</v>
      </c>
      <c r="C2439" t="n">
        <v>0</v>
      </c>
      <c r="D2439" t="n">
        <v>455</v>
      </c>
      <c r="E2439" t="s">
        <v>2450</v>
      </c>
      <c r="F2439" t="s"/>
      <c r="G2439" t="s"/>
      <c r="H2439" t="s"/>
      <c r="I2439" t="s"/>
      <c r="J2439" t="n">
        <v>0.4871</v>
      </c>
      <c r="K2439" t="n">
        <v>0</v>
      </c>
      <c r="L2439" t="n">
        <v>0.879</v>
      </c>
      <c r="M2439" t="n">
        <v>0.121</v>
      </c>
    </row>
    <row r="2440" spans="1:13">
      <c r="A2440" s="1">
        <f>HYPERLINK("http://www.twitter.com/NathanBLawrence/status/978374928083898368", "978374928083898368")</f>
        <v/>
      </c>
      <c r="B2440" s="2" t="n">
        <v>43185.8719212963</v>
      </c>
      <c r="C2440" t="n">
        <v>0</v>
      </c>
      <c r="D2440" t="n">
        <v>46</v>
      </c>
      <c r="E2440" t="s">
        <v>2451</v>
      </c>
      <c r="F2440" t="s"/>
      <c r="G2440" t="s"/>
      <c r="H2440" t="s"/>
      <c r="I2440" t="s"/>
      <c r="J2440" t="n">
        <v>-0.3818</v>
      </c>
      <c r="K2440" t="n">
        <v>0.178</v>
      </c>
      <c r="L2440" t="n">
        <v>0.822</v>
      </c>
      <c r="M2440" t="n">
        <v>0</v>
      </c>
    </row>
    <row r="2441" spans="1:13">
      <c r="A2441" s="1">
        <f>HYPERLINK("http://www.twitter.com/NathanBLawrence/status/978374782252191744", "978374782252191744")</f>
        <v/>
      </c>
      <c r="B2441" s="2" t="n">
        <v>43185.87152777778</v>
      </c>
      <c r="C2441" t="n">
        <v>0</v>
      </c>
      <c r="D2441" t="n">
        <v>164</v>
      </c>
      <c r="E2441" t="s">
        <v>2452</v>
      </c>
      <c r="F2441">
        <f>HYPERLINK("https://video.twimg.com/ext_tw_video/977218019670675457/pu/vid/318x180/rxFapPBFcRuCe34s.mp4", "https://video.twimg.com/ext_tw_video/977218019670675457/pu/vid/318x180/rxFapPBFcRuCe34s.mp4")</f>
        <v/>
      </c>
      <c r="G2441" t="s"/>
      <c r="H2441" t="s"/>
      <c r="I2441" t="s"/>
      <c r="J2441" t="n">
        <v>0.5106000000000001</v>
      </c>
      <c r="K2441" t="n">
        <v>0</v>
      </c>
      <c r="L2441" t="n">
        <v>0.864</v>
      </c>
      <c r="M2441" t="n">
        <v>0.136</v>
      </c>
    </row>
    <row r="2442" spans="1:13">
      <c r="A2442" s="1">
        <f>HYPERLINK("http://www.twitter.com/NathanBLawrence/status/978373436056723457", "978373436056723457")</f>
        <v/>
      </c>
      <c r="B2442" s="2" t="n">
        <v>43185.8678125</v>
      </c>
      <c r="C2442" t="n">
        <v>0</v>
      </c>
      <c r="D2442" t="n">
        <v>71</v>
      </c>
      <c r="E2442" t="s">
        <v>2453</v>
      </c>
      <c r="F2442" t="s"/>
      <c r="G2442" t="s"/>
      <c r="H2442" t="s"/>
      <c r="I2442" t="s"/>
      <c r="J2442" t="n">
        <v>0</v>
      </c>
      <c r="K2442" t="n">
        <v>0</v>
      </c>
      <c r="L2442" t="n">
        <v>1</v>
      </c>
      <c r="M2442" t="n">
        <v>0</v>
      </c>
    </row>
    <row r="2443" spans="1:13">
      <c r="A2443" s="1">
        <f>HYPERLINK("http://www.twitter.com/NathanBLawrence/status/978373412442791938", "978373412442791938")</f>
        <v/>
      </c>
      <c r="B2443" s="2" t="n">
        <v>43185.86774305555</v>
      </c>
      <c r="C2443" t="n">
        <v>0</v>
      </c>
      <c r="D2443" t="n">
        <v>51</v>
      </c>
      <c r="E2443" t="s">
        <v>2454</v>
      </c>
      <c r="F2443" t="s"/>
      <c r="G2443" t="s"/>
      <c r="H2443" t="s"/>
      <c r="I2443" t="s"/>
      <c r="J2443" t="n">
        <v>0</v>
      </c>
      <c r="K2443" t="n">
        <v>0</v>
      </c>
      <c r="L2443" t="n">
        <v>1</v>
      </c>
      <c r="M2443" t="n">
        <v>0</v>
      </c>
    </row>
    <row r="2444" spans="1:13">
      <c r="A2444" s="1">
        <f>HYPERLINK("http://www.twitter.com/NathanBLawrence/status/978373168896335872", "978373168896335872")</f>
        <v/>
      </c>
      <c r="B2444" s="2" t="n">
        <v>43185.86707175926</v>
      </c>
      <c r="C2444" t="n">
        <v>0</v>
      </c>
      <c r="D2444" t="n">
        <v>163</v>
      </c>
      <c r="E2444" t="s">
        <v>2455</v>
      </c>
      <c r="F2444">
        <f>HYPERLINK("http://pbs.twimg.com/media/DZOwkXaXUAERPma.jpg", "http://pbs.twimg.com/media/DZOwkXaXUAERPma.jpg")</f>
        <v/>
      </c>
      <c r="G2444" t="s"/>
      <c r="H2444" t="s"/>
      <c r="I2444" t="s"/>
      <c r="J2444" t="n">
        <v>-0.6369</v>
      </c>
      <c r="K2444" t="n">
        <v>0.178</v>
      </c>
      <c r="L2444" t="n">
        <v>0.822</v>
      </c>
      <c r="M2444" t="n">
        <v>0</v>
      </c>
    </row>
    <row r="2445" spans="1:13">
      <c r="A2445" s="1">
        <f>HYPERLINK("http://www.twitter.com/NathanBLawrence/status/978372241607004167", "978372241607004167")</f>
        <v/>
      </c>
      <c r="B2445" s="2" t="n">
        <v>43185.86451388889</v>
      </c>
      <c r="C2445" t="n">
        <v>0</v>
      </c>
      <c r="D2445" t="n">
        <v>346</v>
      </c>
      <c r="E2445" t="s">
        <v>2456</v>
      </c>
      <c r="F2445">
        <f>HYPERLINK("https://video.twimg.com/ext_tw_video/978369226640625664/pu/vid/1280x720/sDZIvDwQfctwg7zH.mp4", "https://video.twimg.com/ext_tw_video/978369226640625664/pu/vid/1280x720/sDZIvDwQfctwg7zH.mp4")</f>
        <v/>
      </c>
      <c r="G2445" t="s"/>
      <c r="H2445" t="s"/>
      <c r="I2445" t="s"/>
      <c r="J2445" t="n">
        <v>0.7739</v>
      </c>
      <c r="K2445" t="n">
        <v>0</v>
      </c>
      <c r="L2445" t="n">
        <v>0.711</v>
      </c>
      <c r="M2445" t="n">
        <v>0.289</v>
      </c>
    </row>
    <row r="2446" spans="1:13">
      <c r="A2446" s="1">
        <f>HYPERLINK("http://www.twitter.com/NathanBLawrence/status/978371843383091200", "978371843383091200")</f>
        <v/>
      </c>
      <c r="B2446" s="2" t="n">
        <v>43185.86341435185</v>
      </c>
      <c r="C2446" t="n">
        <v>0</v>
      </c>
      <c r="D2446" t="n">
        <v>3</v>
      </c>
      <c r="E2446" t="s">
        <v>2457</v>
      </c>
      <c r="F2446" t="s"/>
      <c r="G2446" t="s"/>
      <c r="H2446" t="s"/>
      <c r="I2446" t="s"/>
      <c r="J2446" t="n">
        <v>-0.4404</v>
      </c>
      <c r="K2446" t="n">
        <v>0.132</v>
      </c>
      <c r="L2446" t="n">
        <v>0.868</v>
      </c>
      <c r="M2446" t="n">
        <v>0</v>
      </c>
    </row>
    <row r="2447" spans="1:13">
      <c r="A2447" s="1">
        <f>HYPERLINK("http://www.twitter.com/NathanBLawrence/status/978371572015738880", "978371572015738880")</f>
        <v/>
      </c>
      <c r="B2447" s="2" t="n">
        <v>43185.86266203703</v>
      </c>
      <c r="C2447" t="n">
        <v>0</v>
      </c>
      <c r="D2447" t="n">
        <v>53</v>
      </c>
      <c r="E2447" t="s">
        <v>2458</v>
      </c>
      <c r="F2447" t="s"/>
      <c r="G2447" t="s"/>
      <c r="H2447" t="s"/>
      <c r="I2447" t="s"/>
      <c r="J2447" t="n">
        <v>-0.765</v>
      </c>
      <c r="K2447" t="n">
        <v>0.423</v>
      </c>
      <c r="L2447" t="n">
        <v>0.577</v>
      </c>
      <c r="M2447" t="n">
        <v>0</v>
      </c>
    </row>
    <row r="2448" spans="1:13">
      <c r="A2448" s="1">
        <f>HYPERLINK("http://www.twitter.com/NathanBLawrence/status/978371502486839296", "978371502486839296")</f>
        <v/>
      </c>
      <c r="B2448" s="2" t="n">
        <v>43185.86247685185</v>
      </c>
      <c r="C2448" t="n">
        <v>0</v>
      </c>
      <c r="D2448" t="n">
        <v>352</v>
      </c>
      <c r="E2448" t="s">
        <v>2459</v>
      </c>
      <c r="F2448">
        <f>HYPERLINK("http://pbs.twimg.com/media/DZOIFlYWsAEzDD5.jpg", "http://pbs.twimg.com/media/DZOIFlYWsAEzDD5.jpg")</f>
        <v/>
      </c>
      <c r="G2448" t="s"/>
      <c r="H2448" t="s"/>
      <c r="I2448" t="s"/>
      <c r="J2448" t="n">
        <v>0.296</v>
      </c>
      <c r="K2448" t="n">
        <v>0.057</v>
      </c>
      <c r="L2448" t="n">
        <v>0.833</v>
      </c>
      <c r="M2448" t="n">
        <v>0.11</v>
      </c>
    </row>
    <row r="2449" spans="1:13">
      <c r="A2449" s="1">
        <f>HYPERLINK("http://www.twitter.com/NathanBLawrence/status/978371039003578369", "978371039003578369")</f>
        <v/>
      </c>
      <c r="B2449" s="2" t="n">
        <v>43185.86119212963</v>
      </c>
      <c r="C2449" t="n">
        <v>0</v>
      </c>
      <c r="D2449" t="n">
        <v>403</v>
      </c>
      <c r="E2449" t="s">
        <v>2460</v>
      </c>
      <c r="F2449" t="s"/>
      <c r="G2449" t="s"/>
      <c r="H2449" t="s"/>
      <c r="I2449" t="s"/>
      <c r="J2449" t="n">
        <v>0</v>
      </c>
      <c r="K2449" t="n">
        <v>0</v>
      </c>
      <c r="L2449" t="n">
        <v>1</v>
      </c>
      <c r="M2449" t="n">
        <v>0</v>
      </c>
    </row>
    <row r="2450" spans="1:13">
      <c r="A2450" s="1">
        <f>HYPERLINK("http://www.twitter.com/NathanBLawrence/status/978370850247278592", "978370850247278592")</f>
        <v/>
      </c>
      <c r="B2450" s="2" t="n">
        <v>43185.86067129629</v>
      </c>
      <c r="C2450" t="n">
        <v>0</v>
      </c>
      <c r="D2450" t="n">
        <v>3655</v>
      </c>
      <c r="E2450" t="s">
        <v>2461</v>
      </c>
      <c r="F2450" t="s"/>
      <c r="G2450" t="s"/>
      <c r="H2450" t="s"/>
      <c r="I2450" t="s"/>
      <c r="J2450" t="n">
        <v>-0.2263</v>
      </c>
      <c r="K2450" t="n">
        <v>0.083</v>
      </c>
      <c r="L2450" t="n">
        <v>0.917</v>
      </c>
      <c r="M2450" t="n">
        <v>0</v>
      </c>
    </row>
    <row r="2451" spans="1:13">
      <c r="A2451" s="1">
        <f>HYPERLINK("http://www.twitter.com/NathanBLawrence/status/978370668705341442", "978370668705341442")</f>
        <v/>
      </c>
      <c r="B2451" s="2" t="n">
        <v>43185.86017361111</v>
      </c>
      <c r="C2451" t="n">
        <v>0</v>
      </c>
      <c r="D2451" t="n">
        <v>187</v>
      </c>
      <c r="E2451" t="s">
        <v>2462</v>
      </c>
      <c r="F2451">
        <f>HYPERLINK("http://pbs.twimg.com/media/DZPGSD4VoAAOUdV.jpg", "http://pbs.twimg.com/media/DZPGSD4VoAAOUdV.jpg")</f>
        <v/>
      </c>
      <c r="G2451" t="s"/>
      <c r="H2451" t="s"/>
      <c r="I2451" t="s"/>
      <c r="J2451" t="n">
        <v>-0.4939</v>
      </c>
      <c r="K2451" t="n">
        <v>0.231</v>
      </c>
      <c r="L2451" t="n">
        <v>0.672</v>
      </c>
      <c r="M2451" t="n">
        <v>0.097</v>
      </c>
    </row>
    <row r="2452" spans="1:13">
      <c r="A2452" s="1">
        <f>HYPERLINK("http://www.twitter.com/NathanBLawrence/status/978370597251055617", "978370597251055617")</f>
        <v/>
      </c>
      <c r="B2452" s="2" t="n">
        <v>43185.85997685185</v>
      </c>
      <c r="C2452" t="n">
        <v>0</v>
      </c>
      <c r="D2452" t="n">
        <v>89</v>
      </c>
      <c r="E2452" t="s">
        <v>2463</v>
      </c>
      <c r="F2452">
        <f>HYPERLINK("http://pbs.twimg.com/media/DZOZvCUXcAAUanv.jpg", "http://pbs.twimg.com/media/DZOZvCUXcAAUanv.jpg")</f>
        <v/>
      </c>
      <c r="G2452" t="s"/>
      <c r="H2452" t="s"/>
      <c r="I2452" t="s"/>
      <c r="J2452" t="n">
        <v>0.5423</v>
      </c>
      <c r="K2452" t="n">
        <v>0</v>
      </c>
      <c r="L2452" t="n">
        <v>0.857</v>
      </c>
      <c r="M2452" t="n">
        <v>0.143</v>
      </c>
    </row>
    <row r="2453" spans="1:13">
      <c r="A2453" s="1">
        <f>HYPERLINK("http://www.twitter.com/NathanBLawrence/status/978368036922118144", "978368036922118144")</f>
        <v/>
      </c>
      <c r="B2453" s="2" t="n">
        <v>43185.85290509259</v>
      </c>
      <c r="C2453" t="n">
        <v>3</v>
      </c>
      <c r="D2453" t="n">
        <v>0</v>
      </c>
      <c r="E2453" t="s">
        <v>2464</v>
      </c>
      <c r="F2453" t="s"/>
      <c r="G2453" t="s"/>
      <c r="H2453" t="s"/>
      <c r="I2453" t="s"/>
      <c r="J2453" t="n">
        <v>0</v>
      </c>
      <c r="K2453" t="n">
        <v>0</v>
      </c>
      <c r="L2453" t="n">
        <v>1</v>
      </c>
      <c r="M2453" t="n">
        <v>0</v>
      </c>
    </row>
    <row r="2454" spans="1:13">
      <c r="A2454" s="1">
        <f>HYPERLINK("http://www.twitter.com/NathanBLawrence/status/978367898837225478", "978367898837225478")</f>
        <v/>
      </c>
      <c r="B2454" s="2" t="n">
        <v>43185.85252314815</v>
      </c>
      <c r="C2454" t="n">
        <v>0</v>
      </c>
      <c r="D2454" t="n">
        <v>133</v>
      </c>
      <c r="E2454" t="s">
        <v>2465</v>
      </c>
      <c r="F2454">
        <f>HYPERLINK("http://pbs.twimg.com/media/DZPB3AWWkAIoAWH.jpg", "http://pbs.twimg.com/media/DZPB3AWWkAIoAWH.jpg")</f>
        <v/>
      </c>
      <c r="G2454" t="s"/>
      <c r="H2454" t="s"/>
      <c r="I2454" t="s"/>
      <c r="J2454" t="n">
        <v>0</v>
      </c>
      <c r="K2454" t="n">
        <v>0</v>
      </c>
      <c r="L2454" t="n">
        <v>1</v>
      </c>
      <c r="M2454" t="n">
        <v>0</v>
      </c>
    </row>
    <row r="2455" spans="1:13">
      <c r="A2455" s="1">
        <f>HYPERLINK("http://www.twitter.com/NathanBLawrence/status/978366668622716928", "978366668622716928")</f>
        <v/>
      </c>
      <c r="B2455" s="2" t="n">
        <v>43185.84913194444</v>
      </c>
      <c r="C2455" t="n">
        <v>0</v>
      </c>
      <c r="D2455" t="n">
        <v>3</v>
      </c>
      <c r="E2455" t="s">
        <v>2466</v>
      </c>
      <c r="F2455" t="s"/>
      <c r="G2455" t="s"/>
      <c r="H2455" t="s"/>
      <c r="I2455" t="s"/>
      <c r="J2455" t="n">
        <v>0.3182</v>
      </c>
      <c r="K2455" t="n">
        <v>0</v>
      </c>
      <c r="L2455" t="n">
        <v>0.859</v>
      </c>
      <c r="M2455" t="n">
        <v>0.141</v>
      </c>
    </row>
    <row r="2456" spans="1:13">
      <c r="A2456" s="1">
        <f>HYPERLINK("http://www.twitter.com/NathanBLawrence/status/978366583868481537", "978366583868481537")</f>
        <v/>
      </c>
      <c r="B2456" s="2" t="n">
        <v>43185.84890046297</v>
      </c>
      <c r="C2456" t="n">
        <v>0</v>
      </c>
      <c r="D2456" t="n">
        <v>90</v>
      </c>
      <c r="E2456" t="s">
        <v>2467</v>
      </c>
      <c r="F2456">
        <f>HYPERLINK("https://video.twimg.com/ext_tw_video/978364323121811456/pu/vid/1280x720/OC20XAYBYkP0SMgT.mp4", "https://video.twimg.com/ext_tw_video/978364323121811456/pu/vid/1280x720/OC20XAYBYkP0SMgT.mp4")</f>
        <v/>
      </c>
      <c r="G2456" t="s"/>
      <c r="H2456" t="s"/>
      <c r="I2456" t="s"/>
      <c r="J2456" t="n">
        <v>0.5266999999999999</v>
      </c>
      <c r="K2456" t="n">
        <v>0</v>
      </c>
      <c r="L2456" t="n">
        <v>0.855</v>
      </c>
      <c r="M2456" t="n">
        <v>0.145</v>
      </c>
    </row>
    <row r="2457" spans="1:13">
      <c r="A2457" s="1">
        <f>HYPERLINK("http://www.twitter.com/NathanBLawrence/status/978366293224157184", "978366293224157184")</f>
        <v/>
      </c>
      <c r="B2457" s="2" t="n">
        <v>43185.84810185185</v>
      </c>
      <c r="C2457" t="n">
        <v>0</v>
      </c>
      <c r="D2457" t="n">
        <v>666</v>
      </c>
      <c r="E2457" t="s">
        <v>2468</v>
      </c>
      <c r="F2457" t="s"/>
      <c r="G2457" t="s"/>
      <c r="H2457" t="s"/>
      <c r="I2457" t="s"/>
      <c r="J2457" t="n">
        <v>-0.802</v>
      </c>
      <c r="K2457" t="n">
        <v>0.275</v>
      </c>
      <c r="L2457" t="n">
        <v>0.725</v>
      </c>
      <c r="M2457" t="n">
        <v>0</v>
      </c>
    </row>
    <row r="2458" spans="1:13">
      <c r="A2458" s="1">
        <f>HYPERLINK("http://www.twitter.com/NathanBLawrence/status/978366200030822400", "978366200030822400")</f>
        <v/>
      </c>
      <c r="B2458" s="2" t="n">
        <v>43185.84783564815</v>
      </c>
      <c r="C2458" t="n">
        <v>0</v>
      </c>
      <c r="D2458" t="n">
        <v>1970</v>
      </c>
      <c r="E2458" t="s">
        <v>2469</v>
      </c>
      <c r="F2458" t="s"/>
      <c r="G2458" t="s"/>
      <c r="H2458" t="s"/>
      <c r="I2458" t="s"/>
      <c r="J2458" t="n">
        <v>0</v>
      </c>
      <c r="K2458" t="n">
        <v>0</v>
      </c>
      <c r="L2458" t="n">
        <v>1</v>
      </c>
      <c r="M2458" t="n">
        <v>0</v>
      </c>
    </row>
    <row r="2459" spans="1:13">
      <c r="A2459" s="1">
        <f>HYPERLINK("http://www.twitter.com/NathanBLawrence/status/978365842214801408", "978365842214801408")</f>
        <v/>
      </c>
      <c r="B2459" s="2" t="n">
        <v>43185.84685185185</v>
      </c>
      <c r="C2459" t="n">
        <v>0</v>
      </c>
      <c r="D2459" t="n">
        <v>1419</v>
      </c>
      <c r="E2459" t="s">
        <v>2470</v>
      </c>
      <c r="F2459" t="s"/>
      <c r="G2459" t="s"/>
      <c r="H2459" t="s"/>
      <c r="I2459" t="s"/>
      <c r="J2459" t="n">
        <v>0.8658</v>
      </c>
      <c r="K2459" t="n">
        <v>0</v>
      </c>
      <c r="L2459" t="n">
        <v>0.6840000000000001</v>
      </c>
      <c r="M2459" t="n">
        <v>0.316</v>
      </c>
    </row>
    <row r="2460" spans="1:13">
      <c r="A2460" s="1">
        <f>HYPERLINK("http://www.twitter.com/NathanBLawrence/status/978365767564582912", "978365767564582912")</f>
        <v/>
      </c>
      <c r="B2460" s="2" t="n">
        <v>43185.84664351852</v>
      </c>
      <c r="C2460" t="n">
        <v>0</v>
      </c>
      <c r="D2460" t="n">
        <v>377</v>
      </c>
      <c r="E2460" t="s">
        <v>2471</v>
      </c>
      <c r="F2460" t="s"/>
      <c r="G2460" t="s"/>
      <c r="H2460" t="s"/>
      <c r="I2460" t="s"/>
      <c r="J2460" t="n">
        <v>0.6633</v>
      </c>
      <c r="K2460" t="n">
        <v>0</v>
      </c>
      <c r="L2460" t="n">
        <v>0.734</v>
      </c>
      <c r="M2460" t="n">
        <v>0.266</v>
      </c>
    </row>
    <row r="2461" spans="1:13">
      <c r="A2461" s="1">
        <f>HYPERLINK("http://www.twitter.com/NathanBLawrence/status/978365401003450368", "978365401003450368")</f>
        <v/>
      </c>
      <c r="B2461" s="2" t="n">
        <v>43185.84563657407</v>
      </c>
      <c r="C2461" t="n">
        <v>0</v>
      </c>
      <c r="D2461" t="n">
        <v>2</v>
      </c>
      <c r="E2461" t="s">
        <v>2472</v>
      </c>
      <c r="F2461" t="s"/>
      <c r="G2461" t="s"/>
      <c r="H2461" t="s"/>
      <c r="I2461" t="s"/>
      <c r="J2461" t="n">
        <v>0.3818</v>
      </c>
      <c r="K2461" t="n">
        <v>0</v>
      </c>
      <c r="L2461" t="n">
        <v>0.867</v>
      </c>
      <c r="M2461" t="n">
        <v>0.133</v>
      </c>
    </row>
    <row r="2462" spans="1:13">
      <c r="A2462" s="1">
        <f>HYPERLINK("http://www.twitter.com/NathanBLawrence/status/978365289187463170", "978365289187463170")</f>
        <v/>
      </c>
      <c r="B2462" s="2" t="n">
        <v>43185.84532407407</v>
      </c>
      <c r="C2462" t="n">
        <v>0</v>
      </c>
      <c r="D2462" t="n">
        <v>1854</v>
      </c>
      <c r="E2462" t="s">
        <v>2473</v>
      </c>
      <c r="F2462" t="s"/>
      <c r="G2462" t="s"/>
      <c r="H2462" t="s"/>
      <c r="I2462" t="s"/>
      <c r="J2462" t="n">
        <v>0.1511</v>
      </c>
      <c r="K2462" t="n">
        <v>0</v>
      </c>
      <c r="L2462" t="n">
        <v>0.93</v>
      </c>
      <c r="M2462" t="n">
        <v>0.07000000000000001</v>
      </c>
    </row>
    <row r="2463" spans="1:13">
      <c r="A2463" s="1">
        <f>HYPERLINK("http://www.twitter.com/NathanBLawrence/status/978364620963491841", "978364620963491841")</f>
        <v/>
      </c>
      <c r="B2463" s="2" t="n">
        <v>43185.8434837963</v>
      </c>
      <c r="C2463" t="n">
        <v>0</v>
      </c>
      <c r="D2463" t="n">
        <v>1032</v>
      </c>
      <c r="E2463" t="s">
        <v>2474</v>
      </c>
      <c r="F2463">
        <f>HYPERLINK("http://pbs.twimg.com/media/DZPFkxeU8AAGiqy.jpg", "http://pbs.twimg.com/media/DZPFkxeU8AAGiqy.jpg")</f>
        <v/>
      </c>
      <c r="G2463" t="s"/>
      <c r="H2463" t="s"/>
      <c r="I2463" t="s"/>
      <c r="J2463" t="n">
        <v>0.4019</v>
      </c>
      <c r="K2463" t="n">
        <v>0</v>
      </c>
      <c r="L2463" t="n">
        <v>0.895</v>
      </c>
      <c r="M2463" t="n">
        <v>0.105</v>
      </c>
    </row>
    <row r="2464" spans="1:13">
      <c r="A2464" s="1">
        <f>HYPERLINK("http://www.twitter.com/NathanBLawrence/status/978364288090935296", "978364288090935296")</f>
        <v/>
      </c>
      <c r="B2464" s="2" t="n">
        <v>43185.84256944444</v>
      </c>
      <c r="C2464" t="n">
        <v>0</v>
      </c>
      <c r="D2464" t="n">
        <v>5700</v>
      </c>
      <c r="E2464" t="s">
        <v>2475</v>
      </c>
      <c r="F2464">
        <f>HYPERLINK("http://pbs.twimg.com/media/DZO6E48W0AEOjaT.jpg", "http://pbs.twimg.com/media/DZO6E48W0AEOjaT.jpg")</f>
        <v/>
      </c>
      <c r="G2464" t="s"/>
      <c r="H2464" t="s"/>
      <c r="I2464" t="s"/>
      <c r="J2464" t="n">
        <v>0.765</v>
      </c>
      <c r="K2464" t="n">
        <v>0</v>
      </c>
      <c r="L2464" t="n">
        <v>0.752</v>
      </c>
      <c r="M2464" t="n">
        <v>0.248</v>
      </c>
    </row>
    <row r="2465" spans="1:13">
      <c r="A2465" s="1">
        <f>HYPERLINK("http://www.twitter.com/NathanBLawrence/status/978363891959902208", "978363891959902208")</f>
        <v/>
      </c>
      <c r="B2465" s="2" t="n">
        <v>43185.84146990741</v>
      </c>
      <c r="C2465" t="n">
        <v>0</v>
      </c>
      <c r="D2465" t="n">
        <v>661</v>
      </c>
      <c r="E2465" t="s">
        <v>2476</v>
      </c>
      <c r="F2465">
        <f>HYPERLINK("http://pbs.twimg.com/media/DZPVBn8W4AAzQ_f.jpg", "http://pbs.twimg.com/media/DZPVBn8W4AAzQ_f.jpg")</f>
        <v/>
      </c>
      <c r="G2465" t="s"/>
      <c r="H2465" t="s"/>
      <c r="I2465" t="s"/>
      <c r="J2465" t="n">
        <v>-0.661</v>
      </c>
      <c r="K2465" t="n">
        <v>0.216</v>
      </c>
      <c r="L2465" t="n">
        <v>0.719</v>
      </c>
      <c r="M2465" t="n">
        <v>0.065</v>
      </c>
    </row>
    <row r="2466" spans="1:13">
      <c r="A2466" s="1">
        <f>HYPERLINK("http://www.twitter.com/NathanBLawrence/status/978360248418406400", "978360248418406400")</f>
        <v/>
      </c>
      <c r="B2466" s="2" t="n">
        <v>43185.83141203703</v>
      </c>
      <c r="C2466" t="n">
        <v>0</v>
      </c>
      <c r="D2466" t="n">
        <v>1842</v>
      </c>
      <c r="E2466" t="s">
        <v>2477</v>
      </c>
      <c r="F2466">
        <f>HYPERLINK("http://pbs.twimg.com/media/DZO-mZKVAAAXCBP.jpg", "http://pbs.twimg.com/media/DZO-mZKVAAAXCBP.jpg")</f>
        <v/>
      </c>
      <c r="G2466" t="s"/>
      <c r="H2466" t="s"/>
      <c r="I2466" t="s"/>
      <c r="J2466" t="n">
        <v>0.6249</v>
      </c>
      <c r="K2466" t="n">
        <v>0</v>
      </c>
      <c r="L2466" t="n">
        <v>0.843</v>
      </c>
      <c r="M2466" t="n">
        <v>0.157</v>
      </c>
    </row>
    <row r="2467" spans="1:13">
      <c r="A2467" s="1">
        <f>HYPERLINK("http://www.twitter.com/NathanBLawrence/status/978359290191900672", "978359290191900672")</f>
        <v/>
      </c>
      <c r="B2467" s="2" t="n">
        <v>43185.82877314815</v>
      </c>
      <c r="C2467" t="n">
        <v>0</v>
      </c>
      <c r="D2467" t="n">
        <v>962</v>
      </c>
      <c r="E2467" t="s">
        <v>2478</v>
      </c>
      <c r="F2467">
        <f>HYPERLINK("https://video.twimg.com/ext_tw_video/971857111054536705/pu/vid/1280x720/-qMPFU1U_D8ytwOR.mp4", "https://video.twimg.com/ext_tw_video/971857111054536705/pu/vid/1280x720/-qMPFU1U_D8ytwOR.mp4")</f>
        <v/>
      </c>
      <c r="G2467" t="s"/>
      <c r="H2467" t="s"/>
      <c r="I2467" t="s"/>
      <c r="J2467" t="n">
        <v>-0.2263</v>
      </c>
      <c r="K2467" t="n">
        <v>0.203</v>
      </c>
      <c r="L2467" t="n">
        <v>0.623</v>
      </c>
      <c r="M2467" t="n">
        <v>0.174</v>
      </c>
    </row>
    <row r="2468" spans="1:13">
      <c r="A2468" s="1">
        <f>HYPERLINK("http://www.twitter.com/NathanBLawrence/status/978358732542398464", "978358732542398464")</f>
        <v/>
      </c>
      <c r="B2468" s="2" t="n">
        <v>43185.8272337963</v>
      </c>
      <c r="C2468" t="n">
        <v>0</v>
      </c>
      <c r="D2468" t="n">
        <v>1335</v>
      </c>
      <c r="E2468" t="s">
        <v>2479</v>
      </c>
      <c r="F2468" t="s"/>
      <c r="G2468" t="s"/>
      <c r="H2468" t="s"/>
      <c r="I2468" t="s"/>
      <c r="J2468" t="n">
        <v>0</v>
      </c>
      <c r="K2468" t="n">
        <v>0</v>
      </c>
      <c r="L2468" t="n">
        <v>1</v>
      </c>
      <c r="M2468" t="n">
        <v>0</v>
      </c>
    </row>
    <row r="2469" spans="1:13">
      <c r="A2469" s="1">
        <f>HYPERLINK("http://www.twitter.com/NathanBLawrence/status/978358641337257984", "978358641337257984")</f>
        <v/>
      </c>
      <c r="B2469" s="2" t="n">
        <v>43185.82697916667</v>
      </c>
      <c r="C2469" t="n">
        <v>0</v>
      </c>
      <c r="D2469" t="n">
        <v>6774</v>
      </c>
      <c r="E2469" t="s">
        <v>2480</v>
      </c>
      <c r="F2469" t="s"/>
      <c r="G2469" t="s"/>
      <c r="H2469" t="s"/>
      <c r="I2469" t="s"/>
      <c r="J2469" t="n">
        <v>0.4329</v>
      </c>
      <c r="K2469" t="n">
        <v>0</v>
      </c>
      <c r="L2469" t="n">
        <v>0.897</v>
      </c>
      <c r="M2469" t="n">
        <v>0.103</v>
      </c>
    </row>
    <row r="2470" spans="1:13">
      <c r="A2470" s="1">
        <f>HYPERLINK("http://www.twitter.com/NathanBLawrence/status/978332602804383744", "978332602804383744")</f>
        <v/>
      </c>
      <c r="B2470" s="2" t="n">
        <v>43185.75512731481</v>
      </c>
      <c r="C2470" t="n">
        <v>0</v>
      </c>
      <c r="D2470" t="n">
        <v>200</v>
      </c>
      <c r="E2470" t="s">
        <v>2481</v>
      </c>
      <c r="F2470">
        <f>HYPERLINK("http://pbs.twimg.com/media/DZOYkwlVoAAkafF.jpg", "http://pbs.twimg.com/media/DZOYkwlVoAAkafF.jpg")</f>
        <v/>
      </c>
      <c r="G2470" t="s"/>
      <c r="H2470" t="s"/>
      <c r="I2470" t="s"/>
      <c r="J2470" t="n">
        <v>0</v>
      </c>
      <c r="K2470" t="n">
        <v>0</v>
      </c>
      <c r="L2470" t="n">
        <v>1</v>
      </c>
      <c r="M2470" t="n">
        <v>0</v>
      </c>
    </row>
    <row r="2471" spans="1:13">
      <c r="A2471" s="1">
        <f>HYPERLINK("http://www.twitter.com/NathanBLawrence/status/978332384541204481", "978332384541204481")</f>
        <v/>
      </c>
      <c r="B2471" s="2" t="n">
        <v>43185.75452546297</v>
      </c>
      <c r="C2471" t="n">
        <v>0</v>
      </c>
      <c r="D2471" t="n">
        <v>5205</v>
      </c>
      <c r="E2471" t="s">
        <v>2482</v>
      </c>
      <c r="F2471">
        <f>HYPERLINK("http://pbs.twimg.com/media/DZKU9uBVoAEVcTm.jpg", "http://pbs.twimg.com/media/DZKU9uBVoAEVcTm.jpg")</f>
        <v/>
      </c>
      <c r="G2471" t="s"/>
      <c r="H2471" t="s"/>
      <c r="I2471" t="s"/>
      <c r="J2471" t="n">
        <v>-0.3182</v>
      </c>
      <c r="K2471" t="n">
        <v>0.099</v>
      </c>
      <c r="L2471" t="n">
        <v>0.901</v>
      </c>
      <c r="M2471" t="n">
        <v>0</v>
      </c>
    </row>
    <row r="2472" spans="1:13">
      <c r="A2472" s="1">
        <f>HYPERLINK("http://www.twitter.com/NathanBLawrence/status/978332121336041474", "978332121336041474")</f>
        <v/>
      </c>
      <c r="B2472" s="2" t="n">
        <v>43185.7537962963</v>
      </c>
      <c r="C2472" t="n">
        <v>0</v>
      </c>
      <c r="D2472" t="n">
        <v>782</v>
      </c>
      <c r="E2472" t="s">
        <v>2483</v>
      </c>
      <c r="F2472">
        <f>HYPERLINK("https://video.twimg.com/amplify_video/977933908871385098/vid/1280x720/ZE9kXrUHmzAHsuix.mp4", "https://video.twimg.com/amplify_video/977933908871385098/vid/1280x720/ZE9kXrUHmzAHsuix.mp4")</f>
        <v/>
      </c>
      <c r="G2472" t="s"/>
      <c r="H2472" t="s"/>
      <c r="I2472" t="s"/>
      <c r="J2472" t="n">
        <v>0.2732</v>
      </c>
      <c r="K2472" t="n">
        <v>0</v>
      </c>
      <c r="L2472" t="n">
        <v>0.909</v>
      </c>
      <c r="M2472" t="n">
        <v>0.091</v>
      </c>
    </row>
    <row r="2473" spans="1:13">
      <c r="A2473" s="1">
        <f>HYPERLINK("http://www.twitter.com/NathanBLawrence/status/978331108323610624", "978331108323610624")</f>
        <v/>
      </c>
      <c r="B2473" s="2" t="n">
        <v>43185.75100694445</v>
      </c>
      <c r="C2473" t="n">
        <v>0</v>
      </c>
      <c r="D2473" t="n">
        <v>52</v>
      </c>
      <c r="E2473" t="s">
        <v>2484</v>
      </c>
      <c r="F2473">
        <f>HYPERLINK("http://pbs.twimg.com/media/DZO38qZVQAAQeZy.jpg", "http://pbs.twimg.com/media/DZO38qZVQAAQeZy.jpg")</f>
        <v/>
      </c>
      <c r="G2473">
        <f>HYPERLINK("http://pbs.twimg.com/media/DZO38qKU0AAK7Ok.jpg", "http://pbs.twimg.com/media/DZO38qKU0AAK7Ok.jpg")</f>
        <v/>
      </c>
      <c r="H2473">
        <f>HYPERLINK("http://pbs.twimg.com/media/DZO38p7VAAYuclc.jpg", "http://pbs.twimg.com/media/DZO38p7VAAYuclc.jpg")</f>
        <v/>
      </c>
      <c r="I2473" t="s"/>
      <c r="J2473" t="n">
        <v>0.4939</v>
      </c>
      <c r="K2473" t="n">
        <v>0.256</v>
      </c>
      <c r="L2473" t="n">
        <v>0.392</v>
      </c>
      <c r="M2473" t="n">
        <v>0.352</v>
      </c>
    </row>
    <row r="2474" spans="1:13">
      <c r="A2474" s="1">
        <f>HYPERLINK("http://www.twitter.com/NathanBLawrence/status/978330780224118784", "978330780224118784")</f>
        <v/>
      </c>
      <c r="B2474" s="2" t="n">
        <v>43185.75010416667</v>
      </c>
      <c r="C2474" t="n">
        <v>0</v>
      </c>
      <c r="D2474" t="n">
        <v>7547</v>
      </c>
      <c r="E2474" t="s">
        <v>2485</v>
      </c>
      <c r="F2474" t="s"/>
      <c r="G2474" t="s"/>
      <c r="H2474" t="s"/>
      <c r="I2474" t="s"/>
      <c r="J2474" t="n">
        <v>-0.8225</v>
      </c>
      <c r="K2474" t="n">
        <v>0.289</v>
      </c>
      <c r="L2474" t="n">
        <v>0.629</v>
      </c>
      <c r="M2474" t="n">
        <v>0.082</v>
      </c>
    </row>
    <row r="2475" spans="1:13">
      <c r="A2475" s="1">
        <f>HYPERLINK("http://www.twitter.com/NathanBLawrence/status/978330568701239296", "978330568701239296")</f>
        <v/>
      </c>
      <c r="B2475" s="2" t="n">
        <v>43185.74951388889</v>
      </c>
      <c r="C2475" t="n">
        <v>0</v>
      </c>
      <c r="D2475" t="n">
        <v>1052</v>
      </c>
      <c r="E2475" t="s">
        <v>2486</v>
      </c>
      <c r="F2475" t="s"/>
      <c r="G2475" t="s"/>
      <c r="H2475" t="s"/>
      <c r="I2475" t="s"/>
      <c r="J2475" t="n">
        <v>-0.4404</v>
      </c>
      <c r="K2475" t="n">
        <v>0.269</v>
      </c>
      <c r="L2475" t="n">
        <v>0.639</v>
      </c>
      <c r="M2475" t="n">
        <v>0.091</v>
      </c>
    </row>
    <row r="2476" spans="1:13">
      <c r="A2476" s="1">
        <f>HYPERLINK("http://www.twitter.com/NathanBLawrence/status/978329916889550848", "978329916889550848")</f>
        <v/>
      </c>
      <c r="B2476" s="2" t="n">
        <v>43185.74771990741</v>
      </c>
      <c r="C2476" t="n">
        <v>0</v>
      </c>
      <c r="D2476" t="n">
        <v>0</v>
      </c>
      <c r="E2476" t="s">
        <v>2487</v>
      </c>
      <c r="F2476" t="s"/>
      <c r="G2476" t="s"/>
      <c r="H2476" t="s"/>
      <c r="I2476" t="s"/>
      <c r="J2476" t="n">
        <v>0</v>
      </c>
      <c r="K2476" t="n">
        <v>0</v>
      </c>
      <c r="L2476" t="n">
        <v>1</v>
      </c>
      <c r="M2476" t="n">
        <v>0</v>
      </c>
    </row>
    <row r="2477" spans="1:13">
      <c r="A2477" s="1">
        <f>HYPERLINK("http://www.twitter.com/NathanBLawrence/status/978329772567691269", "978329772567691269")</f>
        <v/>
      </c>
      <c r="B2477" s="2" t="n">
        <v>43185.74731481481</v>
      </c>
      <c r="C2477" t="n">
        <v>0</v>
      </c>
      <c r="D2477" t="n">
        <v>162</v>
      </c>
      <c r="E2477" t="s">
        <v>2488</v>
      </c>
      <c r="F2477">
        <f>HYPERLINK("http://pbs.twimg.com/media/DZFUJOfVMAABLCu.jpg", "http://pbs.twimg.com/media/DZFUJOfVMAABLCu.jpg")</f>
        <v/>
      </c>
      <c r="G2477" t="s"/>
      <c r="H2477" t="s"/>
      <c r="I2477" t="s"/>
      <c r="J2477" t="n">
        <v>0.4954</v>
      </c>
      <c r="K2477" t="n">
        <v>0</v>
      </c>
      <c r="L2477" t="n">
        <v>0.878</v>
      </c>
      <c r="M2477" t="n">
        <v>0.122</v>
      </c>
    </row>
    <row r="2478" spans="1:13">
      <c r="A2478" s="1">
        <f>HYPERLINK("http://www.twitter.com/NathanBLawrence/status/978312311910912001", "978312311910912001")</f>
        <v/>
      </c>
      <c r="B2478" s="2" t="n">
        <v>43185.69913194444</v>
      </c>
      <c r="C2478" t="n">
        <v>0</v>
      </c>
      <c r="D2478" t="n">
        <v>345</v>
      </c>
      <c r="E2478" t="s">
        <v>2489</v>
      </c>
      <c r="F2478">
        <f>HYPERLINK("https://video.twimg.com/amplify_video/978099507996057600/vid/1280x720/Nr1nqPKNe1R_KbNR.mp4", "https://video.twimg.com/amplify_video/978099507996057600/vid/1280x720/Nr1nqPKNe1R_KbNR.mp4")</f>
        <v/>
      </c>
      <c r="G2478" t="s"/>
      <c r="H2478" t="s"/>
      <c r="I2478" t="s"/>
      <c r="J2478" t="n">
        <v>0.4588</v>
      </c>
      <c r="K2478" t="n">
        <v>0.07199999999999999</v>
      </c>
      <c r="L2478" t="n">
        <v>0.757</v>
      </c>
      <c r="M2478" t="n">
        <v>0.171</v>
      </c>
    </row>
    <row r="2479" spans="1:13">
      <c r="A2479" s="1">
        <f>HYPERLINK("http://www.twitter.com/NathanBLawrence/status/978309471045857280", "978309471045857280")</f>
        <v/>
      </c>
      <c r="B2479" s="2" t="n">
        <v>43185.6912962963</v>
      </c>
      <c r="C2479" t="n">
        <v>0</v>
      </c>
      <c r="D2479" t="n">
        <v>5</v>
      </c>
      <c r="E2479" t="s">
        <v>2490</v>
      </c>
      <c r="F2479" t="s"/>
      <c r="G2479" t="s"/>
      <c r="H2479" t="s"/>
      <c r="I2479" t="s"/>
      <c r="J2479" t="n">
        <v>0.3182</v>
      </c>
      <c r="K2479" t="n">
        <v>0</v>
      </c>
      <c r="L2479" t="n">
        <v>0.905</v>
      </c>
      <c r="M2479" t="n">
        <v>0.095</v>
      </c>
    </row>
    <row r="2480" spans="1:13">
      <c r="A2480" s="1">
        <f>HYPERLINK("http://www.twitter.com/NathanBLawrence/status/978308864142692352", "978308864142692352")</f>
        <v/>
      </c>
      <c r="B2480" s="2" t="n">
        <v>43185.68961805556</v>
      </c>
      <c r="C2480" t="n">
        <v>0</v>
      </c>
      <c r="D2480" t="n">
        <v>18</v>
      </c>
      <c r="E2480" t="s">
        <v>2491</v>
      </c>
      <c r="F2480" t="s"/>
      <c r="G2480" t="s"/>
      <c r="H2480" t="s"/>
      <c r="I2480" t="s"/>
      <c r="J2480" t="n">
        <v>0</v>
      </c>
      <c r="K2480" t="n">
        <v>0</v>
      </c>
      <c r="L2480" t="n">
        <v>1</v>
      </c>
      <c r="M2480" t="n">
        <v>0</v>
      </c>
    </row>
    <row r="2481" spans="1:13">
      <c r="A2481" s="1">
        <f>HYPERLINK("http://www.twitter.com/NathanBLawrence/status/978308687080165376", "978308687080165376")</f>
        <v/>
      </c>
      <c r="B2481" s="2" t="n">
        <v>43185.68913194445</v>
      </c>
      <c r="C2481" t="n">
        <v>0</v>
      </c>
      <c r="D2481" t="n">
        <v>1</v>
      </c>
      <c r="E2481" t="s">
        <v>2492</v>
      </c>
      <c r="F2481" t="s"/>
      <c r="G2481" t="s"/>
      <c r="H2481" t="s"/>
      <c r="I2481" t="s"/>
      <c r="J2481" t="n">
        <v>0</v>
      </c>
      <c r="K2481" t="n">
        <v>0</v>
      </c>
      <c r="L2481" t="n">
        <v>1</v>
      </c>
      <c r="M2481" t="n">
        <v>0</v>
      </c>
    </row>
    <row r="2482" spans="1:13">
      <c r="A2482" s="1">
        <f>HYPERLINK("http://www.twitter.com/NathanBLawrence/status/978306553160839168", "978306553160839168")</f>
        <v/>
      </c>
      <c r="B2482" s="2" t="n">
        <v>43185.68324074074</v>
      </c>
      <c r="C2482" t="n">
        <v>0</v>
      </c>
      <c r="D2482" t="n">
        <v>28</v>
      </c>
      <c r="E2482" t="s">
        <v>2493</v>
      </c>
      <c r="F2482">
        <f>HYPERLINK("http://pbs.twimg.com/media/DZOkEBEWAAAYtCU.jpg", "http://pbs.twimg.com/media/DZOkEBEWAAAYtCU.jpg")</f>
        <v/>
      </c>
      <c r="G2482" t="s"/>
      <c r="H2482" t="s"/>
      <c r="I2482" t="s"/>
      <c r="J2482" t="n">
        <v>0</v>
      </c>
      <c r="K2482" t="n">
        <v>0</v>
      </c>
      <c r="L2482" t="n">
        <v>1</v>
      </c>
      <c r="M2482" t="n">
        <v>0</v>
      </c>
    </row>
    <row r="2483" spans="1:13">
      <c r="A2483" s="1">
        <f>HYPERLINK("http://www.twitter.com/NathanBLawrence/status/978306263057682432", "978306263057682432")</f>
        <v/>
      </c>
      <c r="B2483" s="2" t="n">
        <v>43185.68244212963</v>
      </c>
      <c r="C2483" t="n">
        <v>0</v>
      </c>
      <c r="D2483" t="n">
        <v>703</v>
      </c>
      <c r="E2483" t="s">
        <v>2494</v>
      </c>
      <c r="F2483">
        <f>HYPERLINK("http://pbs.twimg.com/media/DZOkMLJWsAE-eWL.jpg", "http://pbs.twimg.com/media/DZOkMLJWsAE-eWL.jpg")</f>
        <v/>
      </c>
      <c r="G2483" t="s"/>
      <c r="H2483" t="s"/>
      <c r="I2483" t="s"/>
      <c r="J2483" t="n">
        <v>0.5106000000000001</v>
      </c>
      <c r="K2483" t="n">
        <v>0</v>
      </c>
      <c r="L2483" t="n">
        <v>0.864</v>
      </c>
      <c r="M2483" t="n">
        <v>0.136</v>
      </c>
    </row>
    <row r="2484" spans="1:13">
      <c r="A2484" s="1">
        <f>HYPERLINK("http://www.twitter.com/NathanBLawrence/status/978305336883994629", "978305336883994629")</f>
        <v/>
      </c>
      <c r="B2484" s="2" t="n">
        <v>43185.67989583333</v>
      </c>
      <c r="C2484" t="n">
        <v>0</v>
      </c>
      <c r="D2484" t="n">
        <v>353</v>
      </c>
      <c r="E2484" t="s">
        <v>2495</v>
      </c>
      <c r="F2484" t="s"/>
      <c r="G2484" t="s"/>
      <c r="H2484" t="s"/>
      <c r="I2484" t="s"/>
      <c r="J2484" t="n">
        <v>0</v>
      </c>
      <c r="K2484" t="n">
        <v>0</v>
      </c>
      <c r="L2484" t="n">
        <v>1</v>
      </c>
      <c r="M2484" t="n">
        <v>0</v>
      </c>
    </row>
    <row r="2485" spans="1:13">
      <c r="A2485" s="1">
        <f>HYPERLINK("http://www.twitter.com/NathanBLawrence/status/978302994310578176", "978302994310578176")</f>
        <v/>
      </c>
      <c r="B2485" s="2" t="n">
        <v>43185.67342592592</v>
      </c>
      <c r="C2485" t="n">
        <v>0</v>
      </c>
      <c r="D2485" t="n">
        <v>177</v>
      </c>
      <c r="E2485" t="s">
        <v>2496</v>
      </c>
      <c r="F2485">
        <f>HYPERLINK("http://pbs.twimg.com/media/DZN8SlgVQAQsTbJ.jpg", "http://pbs.twimg.com/media/DZN8SlgVQAQsTbJ.jpg")</f>
        <v/>
      </c>
      <c r="G2485" t="s"/>
      <c r="H2485" t="s"/>
      <c r="I2485" t="s"/>
      <c r="J2485" t="n">
        <v>-0.1984</v>
      </c>
      <c r="K2485" t="n">
        <v>0.09</v>
      </c>
      <c r="L2485" t="n">
        <v>0.91</v>
      </c>
      <c r="M2485" t="n">
        <v>0</v>
      </c>
    </row>
    <row r="2486" spans="1:13">
      <c r="A2486" s="1">
        <f>HYPERLINK("http://www.twitter.com/NathanBLawrence/status/978301961912111104", "978301961912111104")</f>
        <v/>
      </c>
      <c r="B2486" s="2" t="n">
        <v>43185.67057870371</v>
      </c>
      <c r="C2486" t="n">
        <v>0</v>
      </c>
      <c r="D2486" t="n">
        <v>47</v>
      </c>
      <c r="E2486" t="s">
        <v>2497</v>
      </c>
      <c r="F2486">
        <f>HYPERLINK("http://pbs.twimg.com/media/DZGqtkaU8AAjmog.jpg", "http://pbs.twimg.com/media/DZGqtkaU8AAjmog.jpg")</f>
        <v/>
      </c>
      <c r="G2486" t="s"/>
      <c r="H2486" t="s"/>
      <c r="I2486" t="s"/>
      <c r="J2486" t="n">
        <v>0</v>
      </c>
      <c r="K2486" t="n">
        <v>0</v>
      </c>
      <c r="L2486" t="n">
        <v>1</v>
      </c>
      <c r="M2486" t="n">
        <v>0</v>
      </c>
    </row>
    <row r="2487" spans="1:13">
      <c r="A2487" s="1">
        <f>HYPERLINK("http://www.twitter.com/NathanBLawrence/status/978301744261234690", "978301744261234690")</f>
        <v/>
      </c>
      <c r="B2487" s="2" t="n">
        <v>43185.66997685185</v>
      </c>
      <c r="C2487" t="n">
        <v>0</v>
      </c>
      <c r="D2487" t="n">
        <v>140</v>
      </c>
      <c r="E2487" t="s">
        <v>2498</v>
      </c>
      <c r="F2487" t="s"/>
      <c r="G2487" t="s"/>
      <c r="H2487" t="s"/>
      <c r="I2487" t="s"/>
      <c r="J2487" t="n">
        <v>-0.6486</v>
      </c>
      <c r="K2487" t="n">
        <v>0.238</v>
      </c>
      <c r="L2487" t="n">
        <v>0.762</v>
      </c>
      <c r="M2487" t="n">
        <v>0</v>
      </c>
    </row>
    <row r="2488" spans="1:13">
      <c r="A2488" s="1">
        <f>HYPERLINK("http://www.twitter.com/NathanBLawrence/status/978301677206896642", "978301677206896642")</f>
        <v/>
      </c>
      <c r="B2488" s="2" t="n">
        <v>43185.66979166667</v>
      </c>
      <c r="C2488" t="n">
        <v>0</v>
      </c>
      <c r="D2488" t="n">
        <v>44</v>
      </c>
      <c r="E2488" t="s">
        <v>2499</v>
      </c>
      <c r="F2488">
        <f>HYPERLINK("http://pbs.twimg.com/media/DYRcuvnVQAA1TRJ.jpg", "http://pbs.twimg.com/media/DYRcuvnVQAA1TRJ.jpg")</f>
        <v/>
      </c>
      <c r="G2488" t="s"/>
      <c r="H2488" t="s"/>
      <c r="I2488" t="s"/>
      <c r="J2488" t="n">
        <v>0.7739</v>
      </c>
      <c r="K2488" t="n">
        <v>0</v>
      </c>
      <c r="L2488" t="n">
        <v>0.711</v>
      </c>
      <c r="M2488" t="n">
        <v>0.289</v>
      </c>
    </row>
    <row r="2489" spans="1:13">
      <c r="A2489" s="1">
        <f>HYPERLINK("http://www.twitter.com/NathanBLawrence/status/978301130571681792", "978301130571681792")</f>
        <v/>
      </c>
      <c r="B2489" s="2" t="n">
        <v>43185.66828703704</v>
      </c>
      <c r="C2489" t="n">
        <v>0</v>
      </c>
      <c r="D2489" t="n">
        <v>73</v>
      </c>
      <c r="E2489" t="s">
        <v>2500</v>
      </c>
      <c r="F2489" t="s"/>
      <c r="G2489" t="s"/>
      <c r="H2489" t="s"/>
      <c r="I2489" t="s"/>
      <c r="J2489" t="n">
        <v>0.1531</v>
      </c>
      <c r="K2489" t="n">
        <v>0</v>
      </c>
      <c r="L2489" t="n">
        <v>0.902</v>
      </c>
      <c r="M2489" t="n">
        <v>0.098</v>
      </c>
    </row>
    <row r="2490" spans="1:13">
      <c r="A2490" s="1">
        <f>HYPERLINK("http://www.twitter.com/NathanBLawrence/status/978300812219834370", "978300812219834370")</f>
        <v/>
      </c>
      <c r="B2490" s="2" t="n">
        <v>43185.66740740741</v>
      </c>
      <c r="C2490" t="n">
        <v>0</v>
      </c>
      <c r="D2490" t="n">
        <v>1</v>
      </c>
      <c r="E2490" t="s">
        <v>2501</v>
      </c>
      <c r="F2490" t="s"/>
      <c r="G2490" t="s"/>
      <c r="H2490" t="s"/>
      <c r="I2490" t="s"/>
      <c r="J2490" t="n">
        <v>-0.5106000000000001</v>
      </c>
      <c r="K2490" t="n">
        <v>0.292</v>
      </c>
      <c r="L2490" t="n">
        <v>0.708</v>
      </c>
      <c r="M2490" t="n">
        <v>0</v>
      </c>
    </row>
    <row r="2491" spans="1:13">
      <c r="A2491" s="1">
        <f>HYPERLINK("http://www.twitter.com/NathanBLawrence/status/978300168922595328", "978300168922595328")</f>
        <v/>
      </c>
      <c r="B2491" s="2" t="n">
        <v>43185.665625</v>
      </c>
      <c r="C2491" t="n">
        <v>0</v>
      </c>
      <c r="D2491" t="n">
        <v>30</v>
      </c>
      <c r="E2491" t="s">
        <v>2502</v>
      </c>
      <c r="F2491">
        <f>HYPERLINK("http://pbs.twimg.com/media/DZN-lDyWAAE7T77.jpg", "http://pbs.twimg.com/media/DZN-lDyWAAE7T77.jpg")</f>
        <v/>
      </c>
      <c r="G2491" t="s"/>
      <c r="H2491" t="s"/>
      <c r="I2491" t="s"/>
      <c r="J2491" t="n">
        <v>-0.296</v>
      </c>
      <c r="K2491" t="n">
        <v>0.145</v>
      </c>
      <c r="L2491" t="n">
        <v>0.855</v>
      </c>
      <c r="M2491" t="n">
        <v>0</v>
      </c>
    </row>
    <row r="2492" spans="1:13">
      <c r="A2492" s="1">
        <f>HYPERLINK("http://www.twitter.com/NathanBLawrence/status/978299747432894466", "978299747432894466")</f>
        <v/>
      </c>
      <c r="B2492" s="2" t="n">
        <v>43185.66446759259</v>
      </c>
      <c r="C2492" t="n">
        <v>0</v>
      </c>
      <c r="D2492" t="n">
        <v>602</v>
      </c>
      <c r="E2492" t="s">
        <v>2503</v>
      </c>
      <c r="F2492">
        <f>HYPERLINK("http://pbs.twimg.com/media/DZN4qbsVQAEzVYZ.jpg", "http://pbs.twimg.com/media/DZN4qbsVQAEzVYZ.jpg")</f>
        <v/>
      </c>
      <c r="G2492" t="s"/>
      <c r="H2492" t="s"/>
      <c r="I2492" t="s"/>
      <c r="J2492" t="n">
        <v>0</v>
      </c>
      <c r="K2492" t="n">
        <v>0</v>
      </c>
      <c r="L2492" t="n">
        <v>1</v>
      </c>
      <c r="M2492" t="n">
        <v>0</v>
      </c>
    </row>
    <row r="2493" spans="1:13">
      <c r="A2493" s="1">
        <f>HYPERLINK("http://www.twitter.com/NathanBLawrence/status/978246245935435776", "978246245935435776")</f>
        <v/>
      </c>
      <c r="B2493" s="2" t="n">
        <v>43185.5168287037</v>
      </c>
      <c r="C2493" t="n">
        <v>0</v>
      </c>
      <c r="D2493" t="n">
        <v>158</v>
      </c>
      <c r="E2493" t="s">
        <v>2504</v>
      </c>
      <c r="F2493">
        <f>HYPERLINK("http://pbs.twimg.com/media/DZNr9EqWsAAQVhh.jpg", "http://pbs.twimg.com/media/DZNr9EqWsAAQVhh.jpg")</f>
        <v/>
      </c>
      <c r="G2493" t="s"/>
      <c r="H2493" t="s"/>
      <c r="I2493" t="s"/>
      <c r="J2493" t="n">
        <v>0</v>
      </c>
      <c r="K2493" t="n">
        <v>0</v>
      </c>
      <c r="L2493" t="n">
        <v>1</v>
      </c>
      <c r="M2493" t="n">
        <v>0</v>
      </c>
    </row>
    <row r="2494" spans="1:13">
      <c r="A2494" s="1">
        <f>HYPERLINK("http://www.twitter.com/NathanBLawrence/status/978244489537097728", "978244489537097728")</f>
        <v/>
      </c>
      <c r="B2494" s="2" t="n">
        <v>43185.51197916667</v>
      </c>
      <c r="C2494" t="n">
        <v>0</v>
      </c>
      <c r="D2494" t="n">
        <v>452</v>
      </c>
      <c r="E2494" t="s">
        <v>2505</v>
      </c>
      <c r="F2494">
        <f>HYPERLINK("http://pbs.twimg.com/media/DZLBqv1WAAIjtl1.jpg", "http://pbs.twimg.com/media/DZLBqv1WAAIjtl1.jpg")</f>
        <v/>
      </c>
      <c r="G2494" t="s"/>
      <c r="H2494" t="s"/>
      <c r="I2494" t="s"/>
      <c r="J2494" t="n">
        <v>-0.3595</v>
      </c>
      <c r="K2494" t="n">
        <v>0.238</v>
      </c>
      <c r="L2494" t="n">
        <v>0.762</v>
      </c>
      <c r="M2494" t="n">
        <v>0</v>
      </c>
    </row>
    <row r="2495" spans="1:13">
      <c r="A2495" s="1">
        <f>HYPERLINK("http://www.twitter.com/NathanBLawrence/status/978237498051776512", "978237498051776512")</f>
        <v/>
      </c>
      <c r="B2495" s="2" t="n">
        <v>43185.49268518519</v>
      </c>
      <c r="C2495" t="n">
        <v>0</v>
      </c>
      <c r="D2495" t="n">
        <v>782</v>
      </c>
      <c r="E2495" t="s">
        <v>2506</v>
      </c>
      <c r="F2495" t="s"/>
      <c r="G2495" t="s"/>
      <c r="H2495" t="s"/>
      <c r="I2495" t="s"/>
      <c r="J2495" t="n">
        <v>0</v>
      </c>
      <c r="K2495" t="n">
        <v>0</v>
      </c>
      <c r="L2495" t="n">
        <v>1</v>
      </c>
      <c r="M2495" t="n">
        <v>0</v>
      </c>
    </row>
    <row r="2496" spans="1:13">
      <c r="A2496" s="1">
        <f>HYPERLINK("http://www.twitter.com/NathanBLawrence/status/978236676156911617", "978236676156911617")</f>
        <v/>
      </c>
      <c r="B2496" s="2" t="n">
        <v>43185.49042824074</v>
      </c>
      <c r="C2496" t="n">
        <v>0</v>
      </c>
      <c r="D2496" t="n">
        <v>916</v>
      </c>
      <c r="E2496" t="s">
        <v>2507</v>
      </c>
      <c r="F2496" t="s"/>
      <c r="G2496" t="s"/>
      <c r="H2496" t="s"/>
      <c r="I2496" t="s"/>
      <c r="J2496" t="n">
        <v>0</v>
      </c>
      <c r="K2496" t="n">
        <v>0</v>
      </c>
      <c r="L2496" t="n">
        <v>1</v>
      </c>
      <c r="M2496" t="n">
        <v>0</v>
      </c>
    </row>
    <row r="2497" spans="1:13">
      <c r="A2497" s="1">
        <f>HYPERLINK("http://www.twitter.com/NathanBLawrence/status/978234054096117760", "978234054096117760")</f>
        <v/>
      </c>
      <c r="B2497" s="2" t="n">
        <v>43185.48318287037</v>
      </c>
      <c r="C2497" t="n">
        <v>0</v>
      </c>
      <c r="D2497" t="n">
        <v>1185</v>
      </c>
      <c r="E2497" t="s">
        <v>2508</v>
      </c>
      <c r="F2497">
        <f>HYPERLINK("http://pbs.twimg.com/media/DZDleH0XkAAFOmn.jpg", "http://pbs.twimg.com/media/DZDleH0XkAAFOmn.jpg")</f>
        <v/>
      </c>
      <c r="G2497" t="s"/>
      <c r="H2497" t="s"/>
      <c r="I2497" t="s"/>
      <c r="J2497" t="n">
        <v>0.7456</v>
      </c>
      <c r="K2497" t="n">
        <v>0</v>
      </c>
      <c r="L2497" t="n">
        <v>0.76</v>
      </c>
      <c r="M2497" t="n">
        <v>0.24</v>
      </c>
    </row>
    <row r="2498" spans="1:13">
      <c r="A2498" s="1">
        <f>HYPERLINK("http://www.twitter.com/NathanBLawrence/status/978233659592454144", "978233659592454144")</f>
        <v/>
      </c>
      <c r="B2498" s="2" t="n">
        <v>43185.48209490741</v>
      </c>
      <c r="C2498" t="n">
        <v>0</v>
      </c>
      <c r="D2498" t="n">
        <v>1477</v>
      </c>
      <c r="E2498" t="s">
        <v>2509</v>
      </c>
      <c r="F2498">
        <f>HYPERLINK("http://pbs.twimg.com/media/DZAC2XyVMAAFLnX.jpg", "http://pbs.twimg.com/media/DZAC2XyVMAAFLnX.jpg")</f>
        <v/>
      </c>
      <c r="G2498" t="s"/>
      <c r="H2498" t="s"/>
      <c r="I2498" t="s"/>
      <c r="J2498" t="n">
        <v>0</v>
      </c>
      <c r="K2498" t="n">
        <v>0</v>
      </c>
      <c r="L2498" t="n">
        <v>1</v>
      </c>
      <c r="M2498" t="n">
        <v>0</v>
      </c>
    </row>
    <row r="2499" spans="1:13">
      <c r="A2499" s="1">
        <f>HYPERLINK("http://www.twitter.com/NathanBLawrence/status/978233068673695744", "978233068673695744")</f>
        <v/>
      </c>
      <c r="B2499" s="2" t="n">
        <v>43185.48046296297</v>
      </c>
      <c r="C2499" t="n">
        <v>0</v>
      </c>
      <c r="D2499" t="n">
        <v>1</v>
      </c>
      <c r="E2499" t="s">
        <v>2510</v>
      </c>
      <c r="F2499" t="s"/>
      <c r="G2499" t="s"/>
      <c r="H2499" t="s"/>
      <c r="I2499" t="s"/>
      <c r="J2499" t="n">
        <v>0</v>
      </c>
      <c r="K2499" t="n">
        <v>0</v>
      </c>
      <c r="L2499" t="n">
        <v>1</v>
      </c>
      <c r="M2499" t="n">
        <v>0</v>
      </c>
    </row>
    <row r="2500" spans="1:13">
      <c r="A2500" s="1">
        <f>HYPERLINK("http://www.twitter.com/NathanBLawrence/status/978231525962670082", "978231525962670082")</f>
        <v/>
      </c>
      <c r="B2500" s="2" t="n">
        <v>43185.47621527778</v>
      </c>
      <c r="C2500" t="n">
        <v>0</v>
      </c>
      <c r="D2500" t="n">
        <v>1</v>
      </c>
      <c r="E2500" t="s">
        <v>2511</v>
      </c>
      <c r="F2500" t="s"/>
      <c r="G2500" t="s"/>
      <c r="H2500" t="s"/>
      <c r="I2500" t="s"/>
      <c r="J2500" t="n">
        <v>0.2732</v>
      </c>
      <c r="K2500" t="n">
        <v>0</v>
      </c>
      <c r="L2500" t="n">
        <v>0.9</v>
      </c>
      <c r="M2500" t="n">
        <v>0.1</v>
      </c>
    </row>
    <row r="2501" spans="1:13">
      <c r="A2501" s="1">
        <f>HYPERLINK("http://www.twitter.com/NathanBLawrence/status/978230405538177024", "978230405538177024")</f>
        <v/>
      </c>
      <c r="B2501" s="2" t="n">
        <v>43185.47311342593</v>
      </c>
      <c r="C2501" t="n">
        <v>0</v>
      </c>
      <c r="D2501" t="n">
        <v>144</v>
      </c>
      <c r="E2501" t="s">
        <v>2512</v>
      </c>
      <c r="F2501">
        <f>HYPERLINK("http://pbs.twimg.com/media/DZNeQy5X4AA5QZl.jpg", "http://pbs.twimg.com/media/DZNeQy5X4AA5QZl.jpg")</f>
        <v/>
      </c>
      <c r="G2501" t="s"/>
      <c r="H2501" t="s"/>
      <c r="I2501" t="s"/>
      <c r="J2501" t="n">
        <v>0</v>
      </c>
      <c r="K2501" t="n">
        <v>0</v>
      </c>
      <c r="L2501" t="n">
        <v>1</v>
      </c>
      <c r="M2501" t="n">
        <v>0</v>
      </c>
    </row>
    <row r="2502" spans="1:13">
      <c r="A2502" s="1">
        <f>HYPERLINK("http://www.twitter.com/NathanBLawrence/status/978229729403789313", "978229729403789313")</f>
        <v/>
      </c>
      <c r="B2502" s="2" t="n">
        <v>43185.47125</v>
      </c>
      <c r="C2502" t="n">
        <v>0</v>
      </c>
      <c r="D2502" t="n">
        <v>321</v>
      </c>
      <c r="E2502" t="s">
        <v>2513</v>
      </c>
      <c r="F2502">
        <f>HYPERLINK("http://pbs.twimg.com/media/DZNc-RZW0AAz1JJ.jpg", "http://pbs.twimg.com/media/DZNc-RZW0AAz1JJ.jpg")</f>
        <v/>
      </c>
      <c r="G2502" t="s"/>
      <c r="H2502" t="s"/>
      <c r="I2502" t="s"/>
      <c r="J2502" t="n">
        <v>0.25</v>
      </c>
      <c r="K2502" t="n">
        <v>0</v>
      </c>
      <c r="L2502" t="n">
        <v>0.778</v>
      </c>
      <c r="M2502" t="n">
        <v>0.222</v>
      </c>
    </row>
    <row r="2503" spans="1:13">
      <c r="A2503" s="1">
        <f>HYPERLINK("http://www.twitter.com/NathanBLawrence/status/978227409198739456", "978227409198739456")</f>
        <v/>
      </c>
      <c r="B2503" s="2" t="n">
        <v>43185.46484953703</v>
      </c>
      <c r="C2503" t="n">
        <v>0</v>
      </c>
      <c r="D2503" t="n">
        <v>888</v>
      </c>
      <c r="E2503" t="s">
        <v>2514</v>
      </c>
      <c r="F2503" t="s"/>
      <c r="G2503" t="s"/>
      <c r="H2503" t="s"/>
      <c r="I2503" t="s"/>
      <c r="J2503" t="n">
        <v>0</v>
      </c>
      <c r="K2503" t="n">
        <v>0</v>
      </c>
      <c r="L2503" t="n">
        <v>1</v>
      </c>
      <c r="M2503" t="n">
        <v>0</v>
      </c>
    </row>
    <row r="2504" spans="1:13">
      <c r="A2504" s="1">
        <f>HYPERLINK("http://www.twitter.com/NathanBLawrence/status/978227111356977152", "978227111356977152")</f>
        <v/>
      </c>
      <c r="B2504" s="2" t="n">
        <v>43185.46402777778</v>
      </c>
      <c r="C2504" t="n">
        <v>0</v>
      </c>
      <c r="D2504" t="n">
        <v>3500</v>
      </c>
      <c r="E2504" t="s">
        <v>2515</v>
      </c>
      <c r="F2504">
        <f>HYPERLINK("http://pbs.twimg.com/media/DZLLIG-XkAES7sU.jpg", "http://pbs.twimg.com/media/DZLLIG-XkAES7sU.jpg")</f>
        <v/>
      </c>
      <c r="G2504" t="s"/>
      <c r="H2504" t="s"/>
      <c r="I2504" t="s"/>
      <c r="J2504" t="n">
        <v>0.5719</v>
      </c>
      <c r="K2504" t="n">
        <v>0</v>
      </c>
      <c r="L2504" t="n">
        <v>0.856</v>
      </c>
      <c r="M2504" t="n">
        <v>0.144</v>
      </c>
    </row>
    <row r="2505" spans="1:13">
      <c r="A2505" s="1">
        <f>HYPERLINK("http://www.twitter.com/NathanBLawrence/status/978115367066271749", "978115367066271749")</f>
        <v/>
      </c>
      <c r="B2505" s="2" t="n">
        <v>43185.1556712963</v>
      </c>
      <c r="C2505" t="n">
        <v>0</v>
      </c>
      <c r="D2505" t="n">
        <v>777</v>
      </c>
      <c r="E2505" t="s">
        <v>2516</v>
      </c>
      <c r="F2505" t="s"/>
      <c r="G2505" t="s"/>
      <c r="H2505" t="s"/>
      <c r="I2505" t="s"/>
      <c r="J2505" t="n">
        <v>-0.4995</v>
      </c>
      <c r="K2505" t="n">
        <v>0.154</v>
      </c>
      <c r="L2505" t="n">
        <v>0.784</v>
      </c>
      <c r="M2505" t="n">
        <v>0.062</v>
      </c>
    </row>
    <row r="2506" spans="1:13">
      <c r="A2506" s="1">
        <f>HYPERLINK("http://www.twitter.com/NathanBLawrence/status/978115077453819904", "978115077453819904")</f>
        <v/>
      </c>
      <c r="B2506" s="2" t="n">
        <v>43185.15487268518</v>
      </c>
      <c r="C2506" t="n">
        <v>0</v>
      </c>
      <c r="D2506" t="n">
        <v>106</v>
      </c>
      <c r="E2506" t="s">
        <v>2517</v>
      </c>
      <c r="F2506" t="s"/>
      <c r="G2506" t="s"/>
      <c r="H2506" t="s"/>
      <c r="I2506" t="s"/>
      <c r="J2506" t="n">
        <v>0</v>
      </c>
      <c r="K2506" t="n">
        <v>0</v>
      </c>
      <c r="L2506" t="n">
        <v>1</v>
      </c>
      <c r="M2506" t="n">
        <v>0</v>
      </c>
    </row>
    <row r="2507" spans="1:13">
      <c r="A2507" s="1">
        <f>HYPERLINK("http://www.twitter.com/NathanBLawrence/status/978114044052885506", "978114044052885506")</f>
        <v/>
      </c>
      <c r="B2507" s="2" t="n">
        <v>43185.15202546296</v>
      </c>
      <c r="C2507" t="n">
        <v>0</v>
      </c>
      <c r="D2507" t="n">
        <v>339</v>
      </c>
      <c r="E2507" t="s">
        <v>2518</v>
      </c>
      <c r="F2507">
        <f>HYPERLINK("http://pbs.twimg.com/media/DYqGTvdW4AEKn5U.jpg", "http://pbs.twimg.com/media/DYqGTvdW4AEKn5U.jpg")</f>
        <v/>
      </c>
      <c r="G2507" t="s"/>
      <c r="H2507" t="s"/>
      <c r="I2507" t="s"/>
      <c r="J2507" t="n">
        <v>-0.631</v>
      </c>
      <c r="K2507" t="n">
        <v>0.243</v>
      </c>
      <c r="L2507" t="n">
        <v>0.757</v>
      </c>
      <c r="M2507" t="n">
        <v>0</v>
      </c>
    </row>
    <row r="2508" spans="1:13">
      <c r="A2508" s="1">
        <f>HYPERLINK("http://www.twitter.com/NathanBLawrence/status/978107566633910273", "978107566633910273")</f>
        <v/>
      </c>
      <c r="B2508" s="2" t="n">
        <v>43185.13414351852</v>
      </c>
      <c r="C2508" t="n">
        <v>0</v>
      </c>
      <c r="D2508" t="n">
        <v>3300</v>
      </c>
      <c r="E2508" t="s">
        <v>2519</v>
      </c>
      <c r="F2508">
        <f>HYPERLINK("http://pbs.twimg.com/media/DZEDsYXX0AUZjvv.jpg", "http://pbs.twimg.com/media/DZEDsYXX0AUZjvv.jpg")</f>
        <v/>
      </c>
      <c r="G2508">
        <f>HYPERLINK("http://pbs.twimg.com/media/DZEDsYcXkAEtSoy.jpg", "http://pbs.twimg.com/media/DZEDsYcXkAEtSoy.jpg")</f>
        <v/>
      </c>
      <c r="H2508">
        <f>HYPERLINK("http://pbs.twimg.com/media/DZEDsYXXcAMe8SW.jpg", "http://pbs.twimg.com/media/DZEDsYXXcAMe8SW.jpg")</f>
        <v/>
      </c>
      <c r="I2508">
        <f>HYPERLINK("http://pbs.twimg.com/media/DZEDsYaWsAAZLVq.jpg", "http://pbs.twimg.com/media/DZEDsYaWsAAZLVq.jpg")</f>
        <v/>
      </c>
      <c r="J2508" t="n">
        <v>0.8555</v>
      </c>
      <c r="K2508" t="n">
        <v>0</v>
      </c>
      <c r="L2508" t="n">
        <v>0.63</v>
      </c>
      <c r="M2508" t="n">
        <v>0.37</v>
      </c>
    </row>
    <row r="2509" spans="1:13">
      <c r="A2509" s="1">
        <f>HYPERLINK("http://www.twitter.com/NathanBLawrence/status/978107015745634311", "978107015745634311")</f>
        <v/>
      </c>
      <c r="B2509" s="2" t="n">
        <v>43185.13262731482</v>
      </c>
      <c r="C2509" t="n">
        <v>0</v>
      </c>
      <c r="D2509" t="n">
        <v>688</v>
      </c>
      <c r="E2509" t="s">
        <v>2520</v>
      </c>
      <c r="F2509">
        <f>HYPERLINK("http://pbs.twimg.com/media/DZKFJZJX0AAkuOi.jpg", "http://pbs.twimg.com/media/DZKFJZJX0AAkuOi.jpg")</f>
        <v/>
      </c>
      <c r="G2509" t="s"/>
      <c r="H2509" t="s"/>
      <c r="I2509" t="s"/>
      <c r="J2509" t="n">
        <v>0</v>
      </c>
      <c r="K2509" t="n">
        <v>0</v>
      </c>
      <c r="L2509" t="n">
        <v>1</v>
      </c>
      <c r="M2509" t="n">
        <v>0</v>
      </c>
    </row>
    <row r="2510" spans="1:13">
      <c r="A2510" s="1">
        <f>HYPERLINK("http://www.twitter.com/NathanBLawrence/status/977959553101975552", "977959553101975552")</f>
        <v/>
      </c>
      <c r="B2510" s="2" t="n">
        <v>43184.72570601852</v>
      </c>
      <c r="C2510" t="n">
        <v>0</v>
      </c>
      <c r="D2510" t="n">
        <v>1227</v>
      </c>
      <c r="E2510" t="s">
        <v>2521</v>
      </c>
      <c r="F2510">
        <f>HYPERLINK("https://video.twimg.com/ext_tw_video/977111013714636800/pu/vid/1280x720/gK2UKk_wUxK5lmCq.mp4", "https://video.twimg.com/ext_tw_video/977111013714636800/pu/vid/1280x720/gK2UKk_wUxK5lmCq.mp4")</f>
        <v/>
      </c>
      <c r="G2510" t="s"/>
      <c r="H2510" t="s"/>
      <c r="I2510" t="s"/>
      <c r="J2510" t="n">
        <v>-0.5319</v>
      </c>
      <c r="K2510" t="n">
        <v>0.168</v>
      </c>
      <c r="L2510" t="n">
        <v>0.832</v>
      </c>
      <c r="M2510" t="n">
        <v>0</v>
      </c>
    </row>
    <row r="2511" spans="1:13">
      <c r="A2511" s="1">
        <f>HYPERLINK("http://www.twitter.com/NathanBLawrence/status/977959495409250304", "977959495409250304")</f>
        <v/>
      </c>
      <c r="B2511" s="2" t="n">
        <v>43184.72554398148</v>
      </c>
      <c r="C2511" t="n">
        <v>0</v>
      </c>
      <c r="D2511" t="n">
        <v>382</v>
      </c>
      <c r="E2511" t="s">
        <v>2522</v>
      </c>
      <c r="F2511">
        <f>HYPERLINK("http://pbs.twimg.com/media/DZJQi0KVQAAg9Rn.jpg", "http://pbs.twimg.com/media/DZJQi0KVQAAg9Rn.jpg")</f>
        <v/>
      </c>
      <c r="G2511" t="s"/>
      <c r="H2511" t="s"/>
      <c r="I2511" t="s"/>
      <c r="J2511" t="n">
        <v>0.6833</v>
      </c>
      <c r="K2511" t="n">
        <v>0</v>
      </c>
      <c r="L2511" t="n">
        <v>0.786</v>
      </c>
      <c r="M2511" t="n">
        <v>0.214</v>
      </c>
    </row>
    <row r="2512" spans="1:13">
      <c r="A2512" s="1">
        <f>HYPERLINK("http://www.twitter.com/NathanBLawrence/status/977959435036495872", "977959435036495872")</f>
        <v/>
      </c>
      <c r="B2512" s="2" t="n">
        <v>43184.72538194444</v>
      </c>
      <c r="C2512" t="n">
        <v>0</v>
      </c>
      <c r="D2512" t="n">
        <v>2234</v>
      </c>
      <c r="E2512" t="s">
        <v>2523</v>
      </c>
      <c r="F2512">
        <f>HYPERLINK("http://pbs.twimg.com/media/DZFUdr-WkAIwz6A.jpg", "http://pbs.twimg.com/media/DZFUdr-WkAIwz6A.jpg")</f>
        <v/>
      </c>
      <c r="G2512" t="s"/>
      <c r="H2512" t="s"/>
      <c r="I2512" t="s"/>
      <c r="J2512" t="n">
        <v>-0.2023</v>
      </c>
      <c r="K2512" t="n">
        <v>0.147</v>
      </c>
      <c r="L2512" t="n">
        <v>0.699</v>
      </c>
      <c r="M2512" t="n">
        <v>0.154</v>
      </c>
    </row>
    <row r="2513" spans="1:13">
      <c r="A2513" s="1">
        <f>HYPERLINK("http://www.twitter.com/NathanBLawrence/status/977959342250053634", "977959342250053634")</f>
        <v/>
      </c>
      <c r="B2513" s="2" t="n">
        <v>43184.72512731481</v>
      </c>
      <c r="C2513" t="n">
        <v>0</v>
      </c>
      <c r="D2513" t="n">
        <v>47</v>
      </c>
      <c r="E2513" t="s">
        <v>2524</v>
      </c>
      <c r="F2513">
        <f>HYPERLINK("http://pbs.twimg.com/media/DZI7GIwUQAA6zVF.jpg", "http://pbs.twimg.com/media/DZI7GIwUQAA6zVF.jpg")</f>
        <v/>
      </c>
      <c r="G2513" t="s"/>
      <c r="H2513" t="s"/>
      <c r="I2513" t="s"/>
      <c r="J2513" t="n">
        <v>0</v>
      </c>
      <c r="K2513" t="n">
        <v>0</v>
      </c>
      <c r="L2513" t="n">
        <v>1</v>
      </c>
      <c r="M2513" t="n">
        <v>0</v>
      </c>
    </row>
    <row r="2514" spans="1:13">
      <c r="A2514" s="1">
        <f>HYPERLINK("http://www.twitter.com/NathanBLawrence/status/977959126197301249", "977959126197301249")</f>
        <v/>
      </c>
      <c r="B2514" s="2" t="n">
        <v>43184.72452546296</v>
      </c>
      <c r="C2514" t="n">
        <v>0</v>
      </c>
      <c r="D2514" t="n">
        <v>765</v>
      </c>
      <c r="E2514" t="s">
        <v>2525</v>
      </c>
      <c r="F2514">
        <f>HYPERLINK("http://pbs.twimg.com/media/DZI2_ZIVAAEXzYB.jpg", "http://pbs.twimg.com/media/DZI2_ZIVAAEXzYB.jpg")</f>
        <v/>
      </c>
      <c r="G2514" t="s"/>
      <c r="H2514" t="s"/>
      <c r="I2514" t="s"/>
      <c r="J2514" t="n">
        <v>0</v>
      </c>
      <c r="K2514" t="n">
        <v>0</v>
      </c>
      <c r="L2514" t="n">
        <v>1</v>
      </c>
      <c r="M2514" t="n">
        <v>0</v>
      </c>
    </row>
    <row r="2515" spans="1:13">
      <c r="A2515" s="1">
        <f>HYPERLINK("http://www.twitter.com/NathanBLawrence/status/977959031993196544", "977959031993196544")</f>
        <v/>
      </c>
      <c r="B2515" s="2" t="n">
        <v>43184.72427083334</v>
      </c>
      <c r="C2515" t="n">
        <v>0</v>
      </c>
      <c r="D2515" t="n">
        <v>11</v>
      </c>
      <c r="E2515" t="s">
        <v>2526</v>
      </c>
      <c r="F2515">
        <f>HYPERLINK("http://pbs.twimg.com/media/DZJjjJvXcAEpBuL.jpg", "http://pbs.twimg.com/media/DZJjjJvXcAEpBuL.jpg")</f>
        <v/>
      </c>
      <c r="G2515" t="s"/>
      <c r="H2515" t="s"/>
      <c r="I2515" t="s"/>
      <c r="J2515" t="n">
        <v>-0.4215</v>
      </c>
      <c r="K2515" t="n">
        <v>0.141</v>
      </c>
      <c r="L2515" t="n">
        <v>0.859</v>
      </c>
      <c r="M2515" t="n">
        <v>0</v>
      </c>
    </row>
    <row r="2516" spans="1:13">
      <c r="A2516" s="1">
        <f>HYPERLINK("http://www.twitter.com/NathanBLawrence/status/977958816800301056", "977958816800301056")</f>
        <v/>
      </c>
      <c r="B2516" s="2" t="n">
        <v>43184.72368055556</v>
      </c>
      <c r="C2516" t="n">
        <v>0</v>
      </c>
      <c r="D2516" t="n">
        <v>1670</v>
      </c>
      <c r="E2516" t="s">
        <v>2527</v>
      </c>
      <c r="F2516">
        <f>HYPERLINK("http://pbs.twimg.com/media/DZIE9ijVwAERTrD.jpg", "http://pbs.twimg.com/media/DZIE9ijVwAERTrD.jpg")</f>
        <v/>
      </c>
      <c r="G2516" t="s"/>
      <c r="H2516" t="s"/>
      <c r="I2516" t="s"/>
      <c r="J2516" t="n">
        <v>0</v>
      </c>
      <c r="K2516" t="n">
        <v>0</v>
      </c>
      <c r="L2516" t="n">
        <v>1</v>
      </c>
      <c r="M2516" t="n">
        <v>0</v>
      </c>
    </row>
    <row r="2517" spans="1:13">
      <c r="A2517" s="1">
        <f>HYPERLINK("http://www.twitter.com/NathanBLawrence/status/977958375181996032", "977958375181996032")</f>
        <v/>
      </c>
      <c r="B2517" s="2" t="n">
        <v>43184.7224537037</v>
      </c>
      <c r="C2517" t="n">
        <v>0</v>
      </c>
      <c r="D2517" t="n">
        <v>364</v>
      </c>
      <c r="E2517" t="s">
        <v>2528</v>
      </c>
      <c r="F2517">
        <f>HYPERLINK("http://pbs.twimg.com/media/DZJlHfYX4AAkotK.jpg", "http://pbs.twimg.com/media/DZJlHfYX4AAkotK.jpg")</f>
        <v/>
      </c>
      <c r="G2517" t="s"/>
      <c r="H2517" t="s"/>
      <c r="I2517" t="s"/>
      <c r="J2517" t="n">
        <v>0</v>
      </c>
      <c r="K2517" t="n">
        <v>0</v>
      </c>
      <c r="L2517" t="n">
        <v>1</v>
      </c>
      <c r="M2517" t="n">
        <v>0</v>
      </c>
    </row>
    <row r="2518" spans="1:13">
      <c r="A2518" s="1">
        <f>HYPERLINK("http://www.twitter.com/NathanBLawrence/status/977957715493388290", "977957715493388290")</f>
        <v/>
      </c>
      <c r="B2518" s="2" t="n">
        <v>43184.72063657407</v>
      </c>
      <c r="C2518" t="n">
        <v>0</v>
      </c>
      <c r="D2518" t="n">
        <v>2</v>
      </c>
      <c r="E2518" t="s">
        <v>2529</v>
      </c>
      <c r="F2518" t="s"/>
      <c r="G2518" t="s"/>
      <c r="H2518" t="s"/>
      <c r="I2518" t="s"/>
      <c r="J2518" t="n">
        <v>0</v>
      </c>
      <c r="K2518" t="n">
        <v>0</v>
      </c>
      <c r="L2518" t="n">
        <v>1</v>
      </c>
      <c r="M2518" t="n">
        <v>0</v>
      </c>
    </row>
    <row r="2519" spans="1:13">
      <c r="A2519" s="1">
        <f>HYPERLINK("http://www.twitter.com/NathanBLawrence/status/977954401385172993", "977954401385172993")</f>
        <v/>
      </c>
      <c r="B2519" s="2" t="n">
        <v>43184.71149305555</v>
      </c>
      <c r="C2519" t="n">
        <v>0</v>
      </c>
      <c r="D2519" t="n">
        <v>282</v>
      </c>
      <c r="E2519" t="s">
        <v>2530</v>
      </c>
      <c r="F2519" t="s"/>
      <c r="G2519" t="s"/>
      <c r="H2519" t="s"/>
      <c r="I2519" t="s"/>
      <c r="J2519" t="n">
        <v>0.9547</v>
      </c>
      <c r="K2519" t="n">
        <v>0</v>
      </c>
      <c r="L2519" t="n">
        <v>0.494</v>
      </c>
      <c r="M2519" t="n">
        <v>0.506</v>
      </c>
    </row>
    <row r="2520" spans="1:13">
      <c r="A2520" s="1">
        <f>HYPERLINK("http://www.twitter.com/NathanBLawrence/status/977953557830922242", "977953557830922242")</f>
        <v/>
      </c>
      <c r="B2520" s="2" t="n">
        <v>43184.70916666667</v>
      </c>
      <c r="C2520" t="n">
        <v>0</v>
      </c>
      <c r="D2520" t="n">
        <v>22</v>
      </c>
      <c r="E2520" t="s">
        <v>2531</v>
      </c>
      <c r="F2520" t="s"/>
      <c r="G2520" t="s"/>
      <c r="H2520" t="s"/>
      <c r="I2520" t="s"/>
      <c r="J2520" t="n">
        <v>-0.5106000000000001</v>
      </c>
      <c r="K2520" t="n">
        <v>0.163</v>
      </c>
      <c r="L2520" t="n">
        <v>0.837</v>
      </c>
      <c r="M2520" t="n">
        <v>0</v>
      </c>
    </row>
    <row r="2521" spans="1:13">
      <c r="A2521" s="1">
        <f>HYPERLINK("http://www.twitter.com/NathanBLawrence/status/977952739589349383", "977952739589349383")</f>
        <v/>
      </c>
      <c r="B2521" s="2" t="n">
        <v>43184.70690972222</v>
      </c>
      <c r="C2521" t="n">
        <v>0</v>
      </c>
      <c r="D2521" t="n">
        <v>250</v>
      </c>
      <c r="E2521" t="s">
        <v>2532</v>
      </c>
      <c r="F2521">
        <f>HYPERLINK("http://pbs.twimg.com/media/DZJaOy3XkAUzu05.jpg", "http://pbs.twimg.com/media/DZJaOy3XkAUzu05.jpg")</f>
        <v/>
      </c>
      <c r="G2521" t="s"/>
      <c r="H2521" t="s"/>
      <c r="I2521" t="s"/>
      <c r="J2521" t="n">
        <v>0</v>
      </c>
      <c r="K2521" t="n">
        <v>0</v>
      </c>
      <c r="L2521" t="n">
        <v>1</v>
      </c>
      <c r="M2521" t="n">
        <v>0</v>
      </c>
    </row>
    <row r="2522" spans="1:13">
      <c r="A2522" s="1">
        <f>HYPERLINK("http://www.twitter.com/NathanBLawrence/status/977951778577711104", "977951778577711104")</f>
        <v/>
      </c>
      <c r="B2522" s="2" t="n">
        <v>43184.70425925926</v>
      </c>
      <c r="C2522" t="n">
        <v>0</v>
      </c>
      <c r="D2522" t="n">
        <v>348</v>
      </c>
      <c r="E2522" t="s">
        <v>2533</v>
      </c>
      <c r="F2522">
        <f>HYPERLINK("http://pbs.twimg.com/media/DZFXkwaVMAAOSp2.jpg", "http://pbs.twimg.com/media/DZFXkwaVMAAOSp2.jpg")</f>
        <v/>
      </c>
      <c r="G2522" t="s"/>
      <c r="H2522" t="s"/>
      <c r="I2522" t="s"/>
      <c r="J2522" t="n">
        <v>0</v>
      </c>
      <c r="K2522" t="n">
        <v>0</v>
      </c>
      <c r="L2522" t="n">
        <v>1</v>
      </c>
      <c r="M2522" t="n">
        <v>0</v>
      </c>
    </row>
    <row r="2523" spans="1:13">
      <c r="A2523" s="1">
        <f>HYPERLINK("http://www.twitter.com/NathanBLawrence/status/977951217509945346", "977951217509945346")</f>
        <v/>
      </c>
      <c r="B2523" s="2" t="n">
        <v>43184.70270833333</v>
      </c>
      <c r="C2523" t="n">
        <v>0</v>
      </c>
      <c r="D2523" t="n">
        <v>120</v>
      </c>
      <c r="E2523" t="s">
        <v>2534</v>
      </c>
      <c r="F2523">
        <f>HYPERLINK("http://pbs.twimg.com/media/DZJUG6vXUAAIzHD.jpg", "http://pbs.twimg.com/media/DZJUG6vXUAAIzHD.jpg")</f>
        <v/>
      </c>
      <c r="G2523" t="s"/>
      <c r="H2523" t="s"/>
      <c r="I2523" t="s"/>
      <c r="J2523" t="n">
        <v>0</v>
      </c>
      <c r="K2523" t="n">
        <v>0</v>
      </c>
      <c r="L2523" t="n">
        <v>1</v>
      </c>
      <c r="M2523" t="n">
        <v>0</v>
      </c>
    </row>
    <row r="2524" spans="1:13">
      <c r="A2524" s="1">
        <f>HYPERLINK("http://www.twitter.com/NathanBLawrence/status/977951057472032770", "977951057472032770")</f>
        <v/>
      </c>
      <c r="B2524" s="2" t="n">
        <v>43184.70226851852</v>
      </c>
      <c r="C2524" t="n">
        <v>0</v>
      </c>
      <c r="D2524" t="n">
        <v>3</v>
      </c>
      <c r="E2524" t="s">
        <v>2535</v>
      </c>
      <c r="F2524" t="s"/>
      <c r="G2524" t="s"/>
      <c r="H2524" t="s"/>
      <c r="I2524" t="s"/>
      <c r="J2524" t="n">
        <v>0</v>
      </c>
      <c r="K2524" t="n">
        <v>0</v>
      </c>
      <c r="L2524" t="n">
        <v>1</v>
      </c>
      <c r="M2524" t="n">
        <v>0</v>
      </c>
    </row>
    <row r="2525" spans="1:13">
      <c r="A2525" s="1">
        <f>HYPERLINK("http://www.twitter.com/NathanBLawrence/status/977937758546202624", "977937758546202624")</f>
        <v/>
      </c>
      <c r="B2525" s="2" t="n">
        <v>43184.66556712963</v>
      </c>
      <c r="C2525" t="n">
        <v>0</v>
      </c>
      <c r="D2525" t="n">
        <v>46</v>
      </c>
      <c r="E2525" t="s">
        <v>2536</v>
      </c>
      <c r="F2525">
        <f>HYPERLINK("http://pbs.twimg.com/media/DZJQTB3XkAAz8Ya.jpg", "http://pbs.twimg.com/media/DZJQTB3XkAAz8Ya.jpg")</f>
        <v/>
      </c>
      <c r="G2525" t="s"/>
      <c r="H2525" t="s"/>
      <c r="I2525" t="s"/>
      <c r="J2525" t="n">
        <v>0</v>
      </c>
      <c r="K2525" t="n">
        <v>0</v>
      </c>
      <c r="L2525" t="n">
        <v>1</v>
      </c>
      <c r="M2525" t="n">
        <v>0</v>
      </c>
    </row>
    <row r="2526" spans="1:13">
      <c r="A2526" s="1">
        <f>HYPERLINK("http://www.twitter.com/NathanBLawrence/status/977933476484800513", "977933476484800513")</f>
        <v/>
      </c>
      <c r="B2526" s="2" t="n">
        <v>43184.65375</v>
      </c>
      <c r="C2526" t="n">
        <v>0</v>
      </c>
      <c r="D2526" t="n">
        <v>20</v>
      </c>
      <c r="E2526" t="s">
        <v>2537</v>
      </c>
      <c r="F2526">
        <f>HYPERLINK("http://pbs.twimg.com/media/DZJMsH9UQAAJgbh.jpg", "http://pbs.twimg.com/media/DZJMsH9UQAAJgbh.jpg")</f>
        <v/>
      </c>
      <c r="G2526" t="s"/>
      <c r="H2526" t="s"/>
      <c r="I2526" t="s"/>
      <c r="J2526" t="n">
        <v>0</v>
      </c>
      <c r="K2526" t="n">
        <v>0</v>
      </c>
      <c r="L2526" t="n">
        <v>1</v>
      </c>
      <c r="M2526" t="n">
        <v>0</v>
      </c>
    </row>
    <row r="2527" spans="1:13">
      <c r="A2527" s="1">
        <f>HYPERLINK("http://www.twitter.com/NathanBLawrence/status/977932640580980737", "977932640580980737")</f>
        <v/>
      </c>
      <c r="B2527" s="2" t="n">
        <v>43184.65144675926</v>
      </c>
      <c r="C2527" t="n">
        <v>0</v>
      </c>
      <c r="D2527" t="n">
        <v>2</v>
      </c>
      <c r="E2527" t="s">
        <v>2538</v>
      </c>
      <c r="F2527" t="s"/>
      <c r="G2527" t="s"/>
      <c r="H2527" t="s"/>
      <c r="I2527" t="s"/>
      <c r="J2527" t="n">
        <v>-0.5461</v>
      </c>
      <c r="K2527" t="n">
        <v>0.476</v>
      </c>
      <c r="L2527" t="n">
        <v>0.308</v>
      </c>
      <c r="M2527" t="n">
        <v>0.216</v>
      </c>
    </row>
    <row r="2528" spans="1:13">
      <c r="A2528" s="1">
        <f>HYPERLINK("http://www.twitter.com/NathanBLawrence/status/977922060381978625", "977922060381978625")</f>
        <v/>
      </c>
      <c r="B2528" s="2" t="n">
        <v>43184.62224537037</v>
      </c>
      <c r="C2528" t="n">
        <v>0</v>
      </c>
      <c r="D2528" t="n">
        <v>60</v>
      </c>
      <c r="E2528" t="s">
        <v>2539</v>
      </c>
      <c r="F2528">
        <f>HYPERLINK("http://pbs.twimg.com/media/DZJFPJsUQAAGS6S.jpg", "http://pbs.twimg.com/media/DZJFPJsUQAAGS6S.jpg")</f>
        <v/>
      </c>
      <c r="G2528" t="s"/>
      <c r="H2528" t="s"/>
      <c r="I2528" t="s"/>
      <c r="J2528" t="n">
        <v>0.7856</v>
      </c>
      <c r="K2528" t="n">
        <v>0</v>
      </c>
      <c r="L2528" t="n">
        <v>0.6840000000000001</v>
      </c>
      <c r="M2528" t="n">
        <v>0.316</v>
      </c>
    </row>
    <row r="2529" spans="1:13">
      <c r="A2529" s="1">
        <f>HYPERLINK("http://www.twitter.com/NathanBLawrence/status/977920723380555777", "977920723380555777")</f>
        <v/>
      </c>
      <c r="B2529" s="2" t="n">
        <v>43184.61855324074</v>
      </c>
      <c r="C2529" t="n">
        <v>0</v>
      </c>
      <c r="D2529" t="n">
        <v>56</v>
      </c>
      <c r="E2529" t="s">
        <v>2540</v>
      </c>
      <c r="F2529">
        <f>HYPERLINK("http://pbs.twimg.com/media/DZI_e38WsAEb4_b.jpg", "http://pbs.twimg.com/media/DZI_e38WsAEb4_b.jpg")</f>
        <v/>
      </c>
      <c r="G2529" t="s"/>
      <c r="H2529" t="s"/>
      <c r="I2529" t="s"/>
      <c r="J2529" t="n">
        <v>0.7901</v>
      </c>
      <c r="K2529" t="n">
        <v>0</v>
      </c>
      <c r="L2529" t="n">
        <v>0.68</v>
      </c>
      <c r="M2529" t="n">
        <v>0.32</v>
      </c>
    </row>
    <row r="2530" spans="1:13">
      <c r="A2530" s="1">
        <f>HYPERLINK("http://www.twitter.com/NathanBLawrence/status/977918413073985536", "977918413073985536")</f>
        <v/>
      </c>
      <c r="B2530" s="2" t="n">
        <v>43184.6121875</v>
      </c>
      <c r="C2530" t="n">
        <v>0</v>
      </c>
      <c r="D2530" t="n">
        <v>54</v>
      </c>
      <c r="E2530" t="s">
        <v>2541</v>
      </c>
      <c r="F2530">
        <f>HYPERLINK("http://pbs.twimg.com/media/DZJBWXOX0AAGULP.jpg", "http://pbs.twimg.com/media/DZJBWXOX0AAGULP.jpg")</f>
        <v/>
      </c>
      <c r="G2530" t="s"/>
      <c r="H2530" t="s"/>
      <c r="I2530" t="s"/>
      <c r="J2530" t="n">
        <v>0</v>
      </c>
      <c r="K2530" t="n">
        <v>0</v>
      </c>
      <c r="L2530" t="n">
        <v>1</v>
      </c>
      <c r="M2530" t="n">
        <v>0</v>
      </c>
    </row>
    <row r="2531" spans="1:13">
      <c r="A2531" s="1">
        <f>HYPERLINK("http://www.twitter.com/NathanBLawrence/status/977742925114339328", "977742925114339328")</f>
        <v/>
      </c>
      <c r="B2531" s="2" t="n">
        <v>43184.12792824074</v>
      </c>
      <c r="C2531" t="n">
        <v>0</v>
      </c>
      <c r="D2531" t="n">
        <v>26994</v>
      </c>
      <c r="E2531" t="s">
        <v>2542</v>
      </c>
      <c r="F2531">
        <f>HYPERLINK("https://video.twimg.com/ext_tw_video/977699785045102592/pu/vid/720x720/SYgdSBvDOh-FV6LJ.mp4", "https://video.twimg.com/ext_tw_video/977699785045102592/pu/vid/720x720/SYgdSBvDOh-FV6LJ.mp4")</f>
        <v/>
      </c>
      <c r="G2531" t="s"/>
      <c r="H2531" t="s"/>
      <c r="I2531" t="s"/>
      <c r="J2531" t="n">
        <v>-0.1027</v>
      </c>
      <c r="K2531" t="n">
        <v>0.062</v>
      </c>
      <c r="L2531" t="n">
        <v>0.9379999999999999</v>
      </c>
      <c r="M2531" t="n">
        <v>0</v>
      </c>
    </row>
    <row r="2532" spans="1:13">
      <c r="A2532" s="1">
        <f>HYPERLINK("http://www.twitter.com/NathanBLawrence/status/977739083475750913", "977739083475750913")</f>
        <v/>
      </c>
      <c r="B2532" s="2" t="n">
        <v>43184.11732638889</v>
      </c>
      <c r="C2532" t="n">
        <v>0</v>
      </c>
      <c r="D2532" t="n">
        <v>173</v>
      </c>
      <c r="E2532" t="s">
        <v>2543</v>
      </c>
      <c r="F2532" t="s"/>
      <c r="G2532" t="s"/>
      <c r="H2532" t="s"/>
      <c r="I2532" t="s"/>
      <c r="J2532" t="n">
        <v>0</v>
      </c>
      <c r="K2532" t="n">
        <v>0</v>
      </c>
      <c r="L2532" t="n">
        <v>1</v>
      </c>
      <c r="M2532" t="n">
        <v>0</v>
      </c>
    </row>
    <row r="2533" spans="1:13">
      <c r="A2533" s="1">
        <f>HYPERLINK("http://www.twitter.com/NathanBLawrence/status/977720190317232129", "977720190317232129")</f>
        <v/>
      </c>
      <c r="B2533" s="2" t="n">
        <v>43184.06519675926</v>
      </c>
      <c r="C2533" t="n">
        <v>0</v>
      </c>
      <c r="D2533" t="n">
        <v>516</v>
      </c>
      <c r="E2533" t="s">
        <v>2544</v>
      </c>
      <c r="F2533" t="s"/>
      <c r="G2533" t="s"/>
      <c r="H2533" t="s"/>
      <c r="I2533" t="s"/>
      <c r="J2533" t="n">
        <v>-0.7004</v>
      </c>
      <c r="K2533" t="n">
        <v>0.242</v>
      </c>
      <c r="L2533" t="n">
        <v>0.758</v>
      </c>
      <c r="M2533" t="n">
        <v>0</v>
      </c>
    </row>
    <row r="2534" spans="1:13">
      <c r="A2534" s="1">
        <f>HYPERLINK("http://www.twitter.com/NathanBLawrence/status/977568695085142016", "977568695085142016")</f>
        <v/>
      </c>
      <c r="B2534" s="2" t="n">
        <v>43183.64714120371</v>
      </c>
      <c r="C2534" t="n">
        <v>0</v>
      </c>
      <c r="D2534" t="n">
        <v>1</v>
      </c>
      <c r="E2534" t="s">
        <v>2545</v>
      </c>
      <c r="F2534" t="s"/>
      <c r="G2534" t="s"/>
      <c r="H2534" t="s"/>
      <c r="I2534" t="s"/>
      <c r="J2534" t="n">
        <v>-0.5574</v>
      </c>
      <c r="K2534" t="n">
        <v>0.146</v>
      </c>
      <c r="L2534" t="n">
        <v>0.854</v>
      </c>
      <c r="M2534" t="n">
        <v>0</v>
      </c>
    </row>
    <row r="2535" spans="1:13">
      <c r="A2535" s="1">
        <f>HYPERLINK("http://www.twitter.com/NathanBLawrence/status/977556895287382016", "977556895287382016")</f>
        <v/>
      </c>
      <c r="B2535" s="2" t="n">
        <v>43183.61458333334</v>
      </c>
      <c r="C2535" t="n">
        <v>0</v>
      </c>
      <c r="D2535" t="n">
        <v>1703</v>
      </c>
      <c r="E2535" t="s">
        <v>2546</v>
      </c>
      <c r="F2535">
        <f>HYPERLINK("http://pbs.twimg.com/media/DY7s6IsU8AAIUCX.jpg", "http://pbs.twimg.com/media/DY7s6IsU8AAIUCX.jpg")</f>
        <v/>
      </c>
      <c r="G2535" t="s"/>
      <c r="H2535" t="s"/>
      <c r="I2535" t="s"/>
      <c r="J2535" t="n">
        <v>0</v>
      </c>
      <c r="K2535" t="n">
        <v>0</v>
      </c>
      <c r="L2535" t="n">
        <v>1</v>
      </c>
      <c r="M2535" t="n">
        <v>0</v>
      </c>
    </row>
    <row r="2536" spans="1:13">
      <c r="A2536" s="1">
        <f>HYPERLINK("http://www.twitter.com/NathanBLawrence/status/977545417423507457", "977545417423507457")</f>
        <v/>
      </c>
      <c r="B2536" s="2" t="n">
        <v>43183.58291666667</v>
      </c>
      <c r="C2536" t="n">
        <v>0</v>
      </c>
      <c r="D2536" t="n">
        <v>27</v>
      </c>
      <c r="E2536" t="s">
        <v>2547</v>
      </c>
      <c r="F2536" t="s"/>
      <c r="G2536" t="s"/>
      <c r="H2536" t="s"/>
      <c r="I2536" t="s"/>
      <c r="J2536" t="n">
        <v>-0.7096</v>
      </c>
      <c r="K2536" t="n">
        <v>0.346</v>
      </c>
      <c r="L2536" t="n">
        <v>0.532</v>
      </c>
      <c r="M2536" t="n">
        <v>0.122</v>
      </c>
    </row>
    <row r="2537" spans="1:13">
      <c r="A2537" s="1">
        <f>HYPERLINK("http://www.twitter.com/NathanBLawrence/status/977545162791546880", "977545162791546880")</f>
        <v/>
      </c>
      <c r="B2537" s="2" t="n">
        <v>43183.58221064815</v>
      </c>
      <c r="C2537" t="n">
        <v>0</v>
      </c>
      <c r="D2537" t="n">
        <v>313</v>
      </c>
      <c r="E2537" t="s">
        <v>2548</v>
      </c>
      <c r="F2537" t="s"/>
      <c r="G2537" t="s"/>
      <c r="H2537" t="s"/>
      <c r="I2537" t="s"/>
      <c r="J2537" t="n">
        <v>0</v>
      </c>
      <c r="K2537" t="n">
        <v>0</v>
      </c>
      <c r="L2537" t="n">
        <v>1</v>
      </c>
      <c r="M2537" t="n">
        <v>0</v>
      </c>
    </row>
    <row r="2538" spans="1:13">
      <c r="A2538" s="1">
        <f>HYPERLINK("http://www.twitter.com/NathanBLawrence/status/977388116519596034", "977388116519596034")</f>
        <v/>
      </c>
      <c r="B2538" s="2" t="n">
        <v>43183.14884259259</v>
      </c>
      <c r="C2538" t="n">
        <v>0</v>
      </c>
      <c r="D2538" t="n">
        <v>5</v>
      </c>
      <c r="E2538" t="s">
        <v>2549</v>
      </c>
      <c r="F2538">
        <f>HYPERLINK("http://pbs.twimg.com/media/DZBe2QZU0AI76Gs.jpg", "http://pbs.twimg.com/media/DZBe2QZU0AI76Gs.jpg")</f>
        <v/>
      </c>
      <c r="G2538" t="s"/>
      <c r="H2538" t="s"/>
      <c r="I2538" t="s"/>
      <c r="J2538" t="n">
        <v>0.5574</v>
      </c>
      <c r="K2538" t="n">
        <v>0.052</v>
      </c>
      <c r="L2538" t="n">
        <v>0.804</v>
      </c>
      <c r="M2538" t="n">
        <v>0.143</v>
      </c>
    </row>
    <row r="2539" spans="1:13">
      <c r="A2539" s="1">
        <f>HYPERLINK("http://www.twitter.com/NathanBLawrence/status/977387814995230720", "977387814995230720")</f>
        <v/>
      </c>
      <c r="B2539" s="2" t="n">
        <v>43183.14800925926</v>
      </c>
      <c r="C2539" t="n">
        <v>0</v>
      </c>
      <c r="D2539" t="n">
        <v>1884</v>
      </c>
      <c r="E2539" t="s">
        <v>2550</v>
      </c>
      <c r="F2539">
        <f>HYPERLINK("http://pbs.twimg.com/media/DY_dZFYW0AAyM8y.jpg", "http://pbs.twimg.com/media/DY_dZFYW0AAyM8y.jpg")</f>
        <v/>
      </c>
      <c r="G2539" t="s"/>
      <c r="H2539" t="s"/>
      <c r="I2539" t="s"/>
      <c r="J2539" t="n">
        <v>0.2263</v>
      </c>
      <c r="K2539" t="n">
        <v>0.08400000000000001</v>
      </c>
      <c r="L2539" t="n">
        <v>0.797</v>
      </c>
      <c r="M2539" t="n">
        <v>0.12</v>
      </c>
    </row>
    <row r="2540" spans="1:13">
      <c r="A2540" s="1">
        <f>HYPERLINK("http://www.twitter.com/NathanBLawrence/status/977378613602504704", "977378613602504704")</f>
        <v/>
      </c>
      <c r="B2540" s="2" t="n">
        <v>43183.12261574074</v>
      </c>
      <c r="C2540" t="n">
        <v>0</v>
      </c>
      <c r="D2540" t="n">
        <v>5956</v>
      </c>
      <c r="E2540" t="s">
        <v>2551</v>
      </c>
      <c r="F2540" t="s"/>
      <c r="G2540" t="s"/>
      <c r="H2540" t="s"/>
      <c r="I2540" t="s"/>
      <c r="J2540" t="n">
        <v>-0.128</v>
      </c>
      <c r="K2540" t="n">
        <v>0.124</v>
      </c>
      <c r="L2540" t="n">
        <v>0.772</v>
      </c>
      <c r="M2540" t="n">
        <v>0.104</v>
      </c>
    </row>
    <row r="2541" spans="1:13">
      <c r="A2541" s="1">
        <f>HYPERLINK("http://www.twitter.com/NathanBLawrence/status/977338369830133760", "977338369830133760")</f>
        <v/>
      </c>
      <c r="B2541" s="2" t="n">
        <v>43183.01157407407</v>
      </c>
      <c r="C2541" t="n">
        <v>0</v>
      </c>
      <c r="D2541" t="n">
        <v>1511</v>
      </c>
      <c r="E2541" t="s">
        <v>2552</v>
      </c>
      <c r="F2541">
        <f>HYPERLINK("http://pbs.twimg.com/media/DY6TsqLWsAEsOoa.jpg", "http://pbs.twimg.com/media/DY6TsqLWsAEsOoa.jpg")</f>
        <v/>
      </c>
      <c r="G2541" t="s"/>
      <c r="H2541" t="s"/>
      <c r="I2541" t="s"/>
      <c r="J2541" t="n">
        <v>0</v>
      </c>
      <c r="K2541" t="n">
        <v>0</v>
      </c>
      <c r="L2541" t="n">
        <v>1</v>
      </c>
      <c r="M2541" t="n">
        <v>0</v>
      </c>
    </row>
    <row r="2542" spans="1:13">
      <c r="A2542" s="1">
        <f>HYPERLINK("http://www.twitter.com/NathanBLawrence/status/977279832387092480", "977279832387092480")</f>
        <v/>
      </c>
      <c r="B2542" s="2" t="n">
        <v>43182.85003472222</v>
      </c>
      <c r="C2542" t="n">
        <v>0</v>
      </c>
      <c r="D2542" t="n">
        <v>28</v>
      </c>
      <c r="E2542" t="s">
        <v>2553</v>
      </c>
      <c r="F2542">
        <f>HYPERLINK("http://pbs.twimg.com/media/DY_mtGVVwAEwUXQ.jpg", "http://pbs.twimg.com/media/DY_mtGVVwAEwUXQ.jpg")</f>
        <v/>
      </c>
      <c r="G2542" t="s"/>
      <c r="H2542" t="s"/>
      <c r="I2542" t="s"/>
      <c r="J2542" t="n">
        <v>-0.4451</v>
      </c>
      <c r="K2542" t="n">
        <v>0.173</v>
      </c>
      <c r="L2542" t="n">
        <v>0.827</v>
      </c>
      <c r="M2542" t="n">
        <v>0</v>
      </c>
    </row>
    <row r="2543" spans="1:13">
      <c r="A2543" s="1">
        <f>HYPERLINK("http://www.twitter.com/NathanBLawrence/status/977279222124306432", "977279222124306432")</f>
        <v/>
      </c>
      <c r="B2543" s="2" t="n">
        <v>43182.84835648148</v>
      </c>
      <c r="C2543" t="n">
        <v>0</v>
      </c>
      <c r="D2543" t="n">
        <v>300</v>
      </c>
      <c r="E2543" t="s">
        <v>2554</v>
      </c>
      <c r="F2543">
        <f>HYPERLINK("http://pbs.twimg.com/media/DY_3wlAVMAAOoCH.jpg", "http://pbs.twimg.com/media/DY_3wlAVMAAOoCH.jpg")</f>
        <v/>
      </c>
      <c r="G2543" t="s"/>
      <c r="H2543" t="s"/>
      <c r="I2543" t="s"/>
      <c r="J2543" t="n">
        <v>0.6369</v>
      </c>
      <c r="K2543" t="n">
        <v>0</v>
      </c>
      <c r="L2543" t="n">
        <v>0.846</v>
      </c>
      <c r="M2543" t="n">
        <v>0.154</v>
      </c>
    </row>
    <row r="2544" spans="1:13">
      <c r="A2544" s="1">
        <f>HYPERLINK("http://www.twitter.com/NathanBLawrence/status/977277866311323648", "977277866311323648")</f>
        <v/>
      </c>
      <c r="B2544" s="2" t="n">
        <v>43182.84460648148</v>
      </c>
      <c r="C2544" t="n">
        <v>0</v>
      </c>
      <c r="D2544" t="n">
        <v>5</v>
      </c>
      <c r="E2544" t="s">
        <v>2555</v>
      </c>
      <c r="F2544" t="s"/>
      <c r="G2544" t="s"/>
      <c r="H2544" t="s"/>
      <c r="I2544" t="s"/>
      <c r="J2544" t="n">
        <v>-0.2347</v>
      </c>
      <c r="K2544" t="n">
        <v>0.152</v>
      </c>
      <c r="L2544" t="n">
        <v>0.756</v>
      </c>
      <c r="M2544" t="n">
        <v>0.091</v>
      </c>
    </row>
    <row r="2545" spans="1:13">
      <c r="A2545" s="1">
        <f>HYPERLINK("http://www.twitter.com/NathanBLawrence/status/977262017479430144", "977262017479430144")</f>
        <v/>
      </c>
      <c r="B2545" s="2" t="n">
        <v>43182.80087962963</v>
      </c>
      <c r="C2545" t="n">
        <v>0</v>
      </c>
      <c r="D2545" t="n">
        <v>2188</v>
      </c>
      <c r="E2545" t="s">
        <v>2556</v>
      </c>
      <c r="F2545" t="s"/>
      <c r="G2545" t="s"/>
      <c r="H2545" t="s"/>
      <c r="I2545" t="s"/>
      <c r="J2545" t="n">
        <v>-0.296</v>
      </c>
      <c r="K2545" t="n">
        <v>0.08699999999999999</v>
      </c>
      <c r="L2545" t="n">
        <v>0.913</v>
      </c>
      <c r="M2545" t="n">
        <v>0</v>
      </c>
    </row>
    <row r="2546" spans="1:13">
      <c r="A2546" s="1">
        <f>HYPERLINK("http://www.twitter.com/NathanBLawrence/status/977261743469670401", "977261743469670401")</f>
        <v/>
      </c>
      <c r="B2546" s="2" t="n">
        <v>43182.80011574074</v>
      </c>
      <c r="C2546" t="n">
        <v>0</v>
      </c>
      <c r="D2546" t="n">
        <v>169</v>
      </c>
      <c r="E2546" t="s">
        <v>2557</v>
      </c>
      <c r="F2546">
        <f>HYPERLINK("http://pbs.twimg.com/media/DY_tnf6U0AALdyV.jpg", "http://pbs.twimg.com/media/DY_tnf6U0AALdyV.jpg")</f>
        <v/>
      </c>
      <c r="G2546" t="s"/>
      <c r="H2546" t="s"/>
      <c r="I2546" t="s"/>
      <c r="J2546" t="n">
        <v>-0.6908</v>
      </c>
      <c r="K2546" t="n">
        <v>0.192</v>
      </c>
      <c r="L2546" t="n">
        <v>0.8080000000000001</v>
      </c>
      <c r="M2546" t="n">
        <v>0</v>
      </c>
    </row>
    <row r="2547" spans="1:13">
      <c r="A2547" s="1">
        <f>HYPERLINK("http://www.twitter.com/NathanBLawrence/status/977261520332709888", "977261520332709888")</f>
        <v/>
      </c>
      <c r="B2547" s="2" t="n">
        <v>43182.79950231482</v>
      </c>
      <c r="C2547" t="n">
        <v>0</v>
      </c>
      <c r="D2547" t="n">
        <v>23</v>
      </c>
      <c r="E2547" t="s">
        <v>2558</v>
      </c>
      <c r="F2547">
        <f>HYPERLINK("http://pbs.twimg.com/media/DY_tjZ7XkAAx98n.jpg", "http://pbs.twimg.com/media/DY_tjZ7XkAAx98n.jpg")</f>
        <v/>
      </c>
      <c r="G2547" t="s"/>
      <c r="H2547" t="s"/>
      <c r="I2547" t="s"/>
      <c r="J2547" t="n">
        <v>0.743</v>
      </c>
      <c r="K2547" t="n">
        <v>0</v>
      </c>
      <c r="L2547" t="n">
        <v>0.704</v>
      </c>
      <c r="M2547" t="n">
        <v>0.296</v>
      </c>
    </row>
    <row r="2548" spans="1:13">
      <c r="A2548" s="1">
        <f>HYPERLINK("http://www.twitter.com/NathanBLawrence/status/977257110496038912", "977257110496038912")</f>
        <v/>
      </c>
      <c r="B2548" s="2" t="n">
        <v>43182.78733796296</v>
      </c>
      <c r="C2548" t="n">
        <v>0</v>
      </c>
      <c r="D2548" t="n">
        <v>155</v>
      </c>
      <c r="E2548" t="s">
        <v>2559</v>
      </c>
      <c r="F2548">
        <f>HYPERLINK("http://pbs.twimg.com/media/DY_g7AJWsAEhQcP.jpg", "http://pbs.twimg.com/media/DY_g7AJWsAEhQcP.jpg")</f>
        <v/>
      </c>
      <c r="G2548" t="s"/>
      <c r="H2548" t="s"/>
      <c r="I2548" t="s"/>
      <c r="J2548" t="n">
        <v>-0.7568</v>
      </c>
      <c r="K2548" t="n">
        <v>0.271</v>
      </c>
      <c r="L2548" t="n">
        <v>0.644</v>
      </c>
      <c r="M2548" t="n">
        <v>0.08500000000000001</v>
      </c>
    </row>
    <row r="2549" spans="1:13">
      <c r="A2549" s="1">
        <f>HYPERLINK("http://www.twitter.com/NathanBLawrence/status/977257055856812033", "977257055856812033")</f>
        <v/>
      </c>
      <c r="B2549" s="2" t="n">
        <v>43182.7871875</v>
      </c>
      <c r="C2549" t="n">
        <v>0</v>
      </c>
      <c r="D2549" t="n">
        <v>6</v>
      </c>
      <c r="E2549" t="s">
        <v>2560</v>
      </c>
      <c r="F2549">
        <f>HYPERLINK("http://pbs.twimg.com/media/DY_B7_HVMAEG0-K.jpg", "http://pbs.twimg.com/media/DY_B7_HVMAEG0-K.jpg")</f>
        <v/>
      </c>
      <c r="G2549" t="s"/>
      <c r="H2549" t="s"/>
      <c r="I2549" t="s"/>
      <c r="J2549" t="n">
        <v>0</v>
      </c>
      <c r="K2549" t="n">
        <v>0</v>
      </c>
      <c r="L2549" t="n">
        <v>1</v>
      </c>
      <c r="M2549" t="n">
        <v>0</v>
      </c>
    </row>
    <row r="2550" spans="1:13">
      <c r="A2550" s="1">
        <f>HYPERLINK("http://www.twitter.com/NathanBLawrence/status/977256983404400640", "977256983404400640")</f>
        <v/>
      </c>
      <c r="B2550" s="2" t="n">
        <v>43182.78699074074</v>
      </c>
      <c r="C2550" t="n">
        <v>0</v>
      </c>
      <c r="D2550" t="n">
        <v>1104</v>
      </c>
      <c r="E2550" t="s">
        <v>2561</v>
      </c>
      <c r="F2550" t="s"/>
      <c r="G2550" t="s"/>
      <c r="H2550" t="s"/>
      <c r="I2550" t="s"/>
      <c r="J2550" t="n">
        <v>-0.7268</v>
      </c>
      <c r="K2550" t="n">
        <v>0.243</v>
      </c>
      <c r="L2550" t="n">
        <v>0.757</v>
      </c>
      <c r="M2550" t="n">
        <v>0</v>
      </c>
    </row>
    <row r="2551" spans="1:13">
      <c r="A2551" s="1">
        <f>HYPERLINK("http://www.twitter.com/NathanBLawrence/status/977256614339207168", "977256614339207168")</f>
        <v/>
      </c>
      <c r="B2551" s="2" t="n">
        <v>43182.78597222222</v>
      </c>
      <c r="C2551" t="n">
        <v>0</v>
      </c>
      <c r="D2551" t="n">
        <v>3072</v>
      </c>
      <c r="E2551" t="s">
        <v>2562</v>
      </c>
      <c r="F2551" t="s"/>
      <c r="G2551" t="s"/>
      <c r="H2551" t="s"/>
      <c r="I2551" t="s"/>
      <c r="J2551" t="n">
        <v>0.3818</v>
      </c>
      <c r="K2551" t="n">
        <v>0</v>
      </c>
      <c r="L2551" t="n">
        <v>0.776</v>
      </c>
      <c r="M2551" t="n">
        <v>0.224</v>
      </c>
    </row>
    <row r="2552" spans="1:13">
      <c r="A2552" s="1">
        <f>HYPERLINK("http://www.twitter.com/NathanBLawrence/status/977256571842547712", "977256571842547712")</f>
        <v/>
      </c>
      <c r="B2552" s="2" t="n">
        <v>43182.7858449074</v>
      </c>
      <c r="C2552" t="n">
        <v>0</v>
      </c>
      <c r="D2552" t="n">
        <v>3</v>
      </c>
      <c r="E2552" t="s">
        <v>2563</v>
      </c>
      <c r="F2552">
        <f>HYPERLINK("http://pbs.twimg.com/media/DY_k1CoVwAA_sCg.jpg", "http://pbs.twimg.com/media/DY_k1CoVwAA_sCg.jpg")</f>
        <v/>
      </c>
      <c r="G2552" t="s"/>
      <c r="H2552" t="s"/>
      <c r="I2552" t="s"/>
      <c r="J2552" t="n">
        <v>0.5266999999999999</v>
      </c>
      <c r="K2552" t="n">
        <v>0</v>
      </c>
      <c r="L2552" t="n">
        <v>0.805</v>
      </c>
      <c r="M2552" t="n">
        <v>0.195</v>
      </c>
    </row>
    <row r="2553" spans="1:13">
      <c r="A2553" s="1">
        <f>HYPERLINK("http://www.twitter.com/NathanBLawrence/status/977256007125610496", "977256007125610496")</f>
        <v/>
      </c>
      <c r="B2553" s="2" t="n">
        <v>43182.78429398148</v>
      </c>
      <c r="C2553" t="n">
        <v>0</v>
      </c>
      <c r="D2553" t="n">
        <v>650</v>
      </c>
      <c r="E2553" t="s">
        <v>2564</v>
      </c>
      <c r="F2553" t="s"/>
      <c r="G2553" t="s"/>
      <c r="H2553" t="s"/>
      <c r="I2553" t="s"/>
      <c r="J2553" t="n">
        <v>-0.6682</v>
      </c>
      <c r="K2553" t="n">
        <v>0.272</v>
      </c>
      <c r="L2553" t="n">
        <v>0.728</v>
      </c>
      <c r="M2553" t="n">
        <v>0</v>
      </c>
    </row>
    <row r="2554" spans="1:13">
      <c r="A2554" s="1">
        <f>HYPERLINK("http://www.twitter.com/NathanBLawrence/status/977233167328464898", "977233167328464898")</f>
        <v/>
      </c>
      <c r="B2554" s="2" t="n">
        <v>43182.72126157407</v>
      </c>
      <c r="C2554" t="n">
        <v>0</v>
      </c>
      <c r="D2554" t="n">
        <v>1</v>
      </c>
      <c r="E2554" t="s">
        <v>2565</v>
      </c>
      <c r="F2554" t="s"/>
      <c r="G2554" t="s"/>
      <c r="H2554" t="s"/>
      <c r="I2554" t="s"/>
      <c r="J2554" t="n">
        <v>0.0258</v>
      </c>
      <c r="K2554" t="n">
        <v>0.126</v>
      </c>
      <c r="L2554" t="n">
        <v>0.741</v>
      </c>
      <c r="M2554" t="n">
        <v>0.133</v>
      </c>
    </row>
    <row r="2555" spans="1:13">
      <c r="A2555" s="1">
        <f>HYPERLINK("http://www.twitter.com/NathanBLawrence/status/977233081064153088", "977233081064153088")</f>
        <v/>
      </c>
      <c r="B2555" s="2" t="n">
        <v>43182.72103009259</v>
      </c>
      <c r="C2555" t="n">
        <v>0</v>
      </c>
      <c r="D2555" t="n">
        <v>23</v>
      </c>
      <c r="E2555" t="s">
        <v>2566</v>
      </c>
      <c r="F2555">
        <f>HYPERLINK("http://pbs.twimg.com/media/DY_R80NVoAEkFt-.jpg", "http://pbs.twimg.com/media/DY_R80NVoAEkFt-.jpg")</f>
        <v/>
      </c>
      <c r="G2555" t="s"/>
      <c r="H2555" t="s"/>
      <c r="I2555" t="s"/>
      <c r="J2555" t="n">
        <v>0</v>
      </c>
      <c r="K2555" t="n">
        <v>0</v>
      </c>
      <c r="L2555" t="n">
        <v>1</v>
      </c>
      <c r="M2555" t="n">
        <v>0</v>
      </c>
    </row>
    <row r="2556" spans="1:13">
      <c r="A2556" s="1">
        <f>HYPERLINK("http://www.twitter.com/NathanBLawrence/status/977232412202676224", "977232412202676224")</f>
        <v/>
      </c>
      <c r="B2556" s="2" t="n">
        <v>43182.71917824074</v>
      </c>
      <c r="C2556" t="n">
        <v>0</v>
      </c>
      <c r="D2556" t="n">
        <v>2005</v>
      </c>
      <c r="E2556" t="s">
        <v>2567</v>
      </c>
      <c r="F2556" t="s"/>
      <c r="G2556" t="s"/>
      <c r="H2556" t="s"/>
      <c r="I2556" t="s"/>
      <c r="J2556" t="n">
        <v>0.3182</v>
      </c>
      <c r="K2556" t="n">
        <v>0</v>
      </c>
      <c r="L2556" t="n">
        <v>0.916</v>
      </c>
      <c r="M2556" t="n">
        <v>0.08400000000000001</v>
      </c>
    </row>
    <row r="2557" spans="1:13">
      <c r="A2557" s="1">
        <f>HYPERLINK("http://www.twitter.com/NathanBLawrence/status/977232330745171968", "977232330745171968")</f>
        <v/>
      </c>
      <c r="B2557" s="2" t="n">
        <v>43182.71895833333</v>
      </c>
      <c r="C2557" t="n">
        <v>0</v>
      </c>
      <c r="D2557" t="n">
        <v>3</v>
      </c>
      <c r="E2557" t="s">
        <v>2568</v>
      </c>
      <c r="F2557" t="s"/>
      <c r="G2557" t="s"/>
      <c r="H2557" t="s"/>
      <c r="I2557" t="s"/>
      <c r="J2557" t="n">
        <v>-0.0516</v>
      </c>
      <c r="K2557" t="n">
        <v>0.103</v>
      </c>
      <c r="L2557" t="n">
        <v>0.802</v>
      </c>
      <c r="M2557" t="n">
        <v>0.095</v>
      </c>
    </row>
    <row r="2558" spans="1:13">
      <c r="A2558" s="1">
        <f>HYPERLINK("http://www.twitter.com/NathanBLawrence/status/977231794683699200", "977231794683699200")</f>
        <v/>
      </c>
      <c r="B2558" s="2" t="n">
        <v>43182.71747685185</v>
      </c>
      <c r="C2558" t="n">
        <v>0</v>
      </c>
      <c r="D2558" t="n">
        <v>42</v>
      </c>
      <c r="E2558" t="s">
        <v>2569</v>
      </c>
      <c r="F2558" t="s"/>
      <c r="G2558" t="s"/>
      <c r="H2558" t="s"/>
      <c r="I2558" t="s"/>
      <c r="J2558" t="n">
        <v>0</v>
      </c>
      <c r="K2558" t="n">
        <v>0</v>
      </c>
      <c r="L2558" t="n">
        <v>1</v>
      </c>
      <c r="M2558" t="n">
        <v>0</v>
      </c>
    </row>
    <row r="2559" spans="1:13">
      <c r="A2559" s="1">
        <f>HYPERLINK("http://www.twitter.com/NathanBLawrence/status/977231355829506048", "977231355829506048")</f>
        <v/>
      </c>
      <c r="B2559" s="2" t="n">
        <v>43182.71626157407</v>
      </c>
      <c r="C2559" t="n">
        <v>0</v>
      </c>
      <c r="D2559" t="n">
        <v>697</v>
      </c>
      <c r="E2559" t="s">
        <v>2570</v>
      </c>
      <c r="F2559">
        <f>HYPERLINK("http://pbs.twimg.com/media/DY7xgrHUQAAaylp.jpg", "http://pbs.twimg.com/media/DY7xgrHUQAAaylp.jpg")</f>
        <v/>
      </c>
      <c r="G2559" t="s"/>
      <c r="H2559" t="s"/>
      <c r="I2559" t="s"/>
      <c r="J2559" t="n">
        <v>0.6124000000000001</v>
      </c>
      <c r="K2559" t="n">
        <v>0</v>
      </c>
      <c r="L2559" t="n">
        <v>0.8149999999999999</v>
      </c>
      <c r="M2559" t="n">
        <v>0.185</v>
      </c>
    </row>
    <row r="2560" spans="1:13">
      <c r="A2560" s="1">
        <f>HYPERLINK("http://www.twitter.com/NathanBLawrence/status/977230844443193349", "977230844443193349")</f>
        <v/>
      </c>
      <c r="B2560" s="2" t="n">
        <v>43182.71486111111</v>
      </c>
      <c r="C2560" t="n">
        <v>0</v>
      </c>
      <c r="D2560" t="n">
        <v>15</v>
      </c>
      <c r="E2560" t="s">
        <v>2571</v>
      </c>
      <c r="F2560" t="s"/>
      <c r="G2560" t="s"/>
      <c r="H2560" t="s"/>
      <c r="I2560" t="s"/>
      <c r="J2560" t="n">
        <v>0.3182</v>
      </c>
      <c r="K2560" t="n">
        <v>0</v>
      </c>
      <c r="L2560" t="n">
        <v>0.919</v>
      </c>
      <c r="M2560" t="n">
        <v>0.081</v>
      </c>
    </row>
    <row r="2561" spans="1:13">
      <c r="A2561" s="1">
        <f>HYPERLINK("http://www.twitter.com/NathanBLawrence/status/977230688184356864", "977230688184356864")</f>
        <v/>
      </c>
      <c r="B2561" s="2" t="n">
        <v>43182.7144212963</v>
      </c>
      <c r="C2561" t="n">
        <v>0</v>
      </c>
      <c r="D2561" t="n">
        <v>403</v>
      </c>
      <c r="E2561" t="s">
        <v>2572</v>
      </c>
      <c r="F2561" t="s"/>
      <c r="G2561" t="s"/>
      <c r="H2561" t="s"/>
      <c r="I2561" t="s"/>
      <c r="J2561" t="n">
        <v>0</v>
      </c>
      <c r="K2561" t="n">
        <v>0</v>
      </c>
      <c r="L2561" t="n">
        <v>1</v>
      </c>
      <c r="M2561" t="n">
        <v>0</v>
      </c>
    </row>
    <row r="2562" spans="1:13">
      <c r="A2562" s="1">
        <f>HYPERLINK("http://www.twitter.com/NathanBLawrence/status/977228596644384768", "977228596644384768")</f>
        <v/>
      </c>
      <c r="B2562" s="2" t="n">
        <v>43182.70865740741</v>
      </c>
      <c r="C2562" t="n">
        <v>0</v>
      </c>
      <c r="D2562" t="n">
        <v>227</v>
      </c>
      <c r="E2562" t="s">
        <v>2573</v>
      </c>
      <c r="F2562">
        <f>HYPERLINK("http://pbs.twimg.com/media/DY6N4pSX4AAAY-K.jpg", "http://pbs.twimg.com/media/DY6N4pSX4AAAY-K.jpg")</f>
        <v/>
      </c>
      <c r="G2562" t="s"/>
      <c r="H2562" t="s"/>
      <c r="I2562" t="s"/>
      <c r="J2562" t="n">
        <v>0</v>
      </c>
      <c r="K2562" t="n">
        <v>0</v>
      </c>
      <c r="L2562" t="n">
        <v>1</v>
      </c>
      <c r="M2562" t="n">
        <v>0</v>
      </c>
    </row>
    <row r="2563" spans="1:13">
      <c r="A2563" s="1">
        <f>HYPERLINK("http://www.twitter.com/NathanBLawrence/status/977228425499959297", "977228425499959297")</f>
        <v/>
      </c>
      <c r="B2563" s="2" t="n">
        <v>43182.70818287037</v>
      </c>
      <c r="C2563" t="n">
        <v>0</v>
      </c>
      <c r="D2563" t="n">
        <v>9491</v>
      </c>
      <c r="E2563" t="s">
        <v>2574</v>
      </c>
      <c r="F2563" t="s"/>
      <c r="G2563" t="s"/>
      <c r="H2563" t="s"/>
      <c r="I2563" t="s"/>
      <c r="J2563" t="n">
        <v>0</v>
      </c>
      <c r="K2563" t="n">
        <v>0</v>
      </c>
      <c r="L2563" t="n">
        <v>1</v>
      </c>
      <c r="M2563" t="n">
        <v>0</v>
      </c>
    </row>
    <row r="2564" spans="1:13">
      <c r="A2564" s="1">
        <f>HYPERLINK("http://www.twitter.com/NathanBLawrence/status/977228067537072128", "977228067537072128")</f>
        <v/>
      </c>
      <c r="B2564" s="2" t="n">
        <v>43182.7071875</v>
      </c>
      <c r="C2564" t="n">
        <v>0</v>
      </c>
      <c r="D2564" t="n">
        <v>38</v>
      </c>
      <c r="E2564" t="s">
        <v>2575</v>
      </c>
      <c r="F2564">
        <f>HYPERLINK("http://pbs.twimg.com/media/DY_OlFXWsAAw3wt.jpg", "http://pbs.twimg.com/media/DY_OlFXWsAAw3wt.jpg")</f>
        <v/>
      </c>
      <c r="G2564" t="s"/>
      <c r="H2564" t="s"/>
      <c r="I2564" t="s"/>
      <c r="J2564" t="n">
        <v>0</v>
      </c>
      <c r="K2564" t="n">
        <v>0</v>
      </c>
      <c r="L2564" t="n">
        <v>1</v>
      </c>
      <c r="M2564" t="n">
        <v>0</v>
      </c>
    </row>
    <row r="2565" spans="1:13">
      <c r="A2565" s="1">
        <f>HYPERLINK("http://www.twitter.com/NathanBLawrence/status/977227648651821056", "977227648651821056")</f>
        <v/>
      </c>
      <c r="B2565" s="2" t="n">
        <v>43182.70604166666</v>
      </c>
      <c r="C2565" t="n">
        <v>0</v>
      </c>
      <c r="D2565" t="n">
        <v>9150</v>
      </c>
      <c r="E2565" t="s">
        <v>2576</v>
      </c>
      <c r="F2565" t="s"/>
      <c r="G2565" t="s"/>
      <c r="H2565" t="s"/>
      <c r="I2565" t="s"/>
      <c r="J2565" t="n">
        <v>0.7717000000000001</v>
      </c>
      <c r="K2565" t="n">
        <v>0</v>
      </c>
      <c r="L2565" t="n">
        <v>0.7</v>
      </c>
      <c r="M2565" t="n">
        <v>0.3</v>
      </c>
    </row>
    <row r="2566" spans="1:13">
      <c r="A2566" s="1">
        <f>HYPERLINK("http://www.twitter.com/NathanBLawrence/status/977227366966616064", "977227366966616064")</f>
        <v/>
      </c>
      <c r="B2566" s="2" t="n">
        <v>43182.70525462963</v>
      </c>
      <c r="C2566" t="n">
        <v>0</v>
      </c>
      <c r="D2566" t="n">
        <v>17</v>
      </c>
      <c r="E2566" t="s">
        <v>2577</v>
      </c>
      <c r="F2566" t="s"/>
      <c r="G2566" t="s"/>
      <c r="H2566" t="s"/>
      <c r="I2566" t="s"/>
      <c r="J2566" t="n">
        <v>0.6124000000000001</v>
      </c>
      <c r="K2566" t="n">
        <v>0</v>
      </c>
      <c r="L2566" t="n">
        <v>0.773</v>
      </c>
      <c r="M2566" t="n">
        <v>0.227</v>
      </c>
    </row>
    <row r="2567" spans="1:13">
      <c r="A2567" s="1">
        <f>HYPERLINK("http://www.twitter.com/NathanBLawrence/status/977226361206165506", "977226361206165506")</f>
        <v/>
      </c>
      <c r="B2567" s="2" t="n">
        <v>43182.70248842592</v>
      </c>
      <c r="C2567" t="n">
        <v>0</v>
      </c>
      <c r="D2567" t="n">
        <v>23</v>
      </c>
      <c r="E2567" t="s">
        <v>2578</v>
      </c>
      <c r="F2567" t="s"/>
      <c r="G2567" t="s"/>
      <c r="H2567" t="s"/>
      <c r="I2567" t="s"/>
      <c r="J2567" t="n">
        <v>0.4003</v>
      </c>
      <c r="K2567" t="n">
        <v>0.103</v>
      </c>
      <c r="L2567" t="n">
        <v>0.718</v>
      </c>
      <c r="M2567" t="n">
        <v>0.179</v>
      </c>
    </row>
    <row r="2568" spans="1:13">
      <c r="A2568" s="1">
        <f>HYPERLINK("http://www.twitter.com/NathanBLawrence/status/977226197900955648", "977226197900955648")</f>
        <v/>
      </c>
      <c r="B2568" s="2" t="n">
        <v>43182.70203703704</v>
      </c>
      <c r="C2568" t="n">
        <v>0</v>
      </c>
      <c r="D2568" t="n">
        <v>606</v>
      </c>
      <c r="E2568" t="s">
        <v>2579</v>
      </c>
      <c r="F2568" t="s"/>
      <c r="G2568" t="s"/>
      <c r="H2568" t="s"/>
      <c r="I2568" t="s"/>
      <c r="J2568" t="n">
        <v>-0.4588</v>
      </c>
      <c r="K2568" t="n">
        <v>0.136</v>
      </c>
      <c r="L2568" t="n">
        <v>0.864</v>
      </c>
      <c r="M2568" t="n">
        <v>0</v>
      </c>
    </row>
    <row r="2569" spans="1:13">
      <c r="A2569" s="1">
        <f>HYPERLINK("http://www.twitter.com/NathanBLawrence/status/977226086626021376", "977226086626021376")</f>
        <v/>
      </c>
      <c r="B2569" s="2" t="n">
        <v>43182.70172453704</v>
      </c>
      <c r="C2569" t="n">
        <v>0</v>
      </c>
      <c r="D2569" t="n">
        <v>64</v>
      </c>
      <c r="E2569" t="s">
        <v>2580</v>
      </c>
      <c r="F2569">
        <f>HYPERLINK("http://pbs.twimg.com/media/DY95-ztVoAAcb9t.jpg", "http://pbs.twimg.com/media/DY95-ztVoAAcb9t.jpg")</f>
        <v/>
      </c>
      <c r="G2569">
        <f>HYPERLINK("http://pbs.twimg.com/media/DY95-0nU0AE73rY.jpg", "http://pbs.twimg.com/media/DY95-0nU0AE73rY.jpg")</f>
        <v/>
      </c>
      <c r="H2569" t="s"/>
      <c r="I2569" t="s"/>
      <c r="J2569" t="n">
        <v>-0.7284</v>
      </c>
      <c r="K2569" t="n">
        <v>0.304</v>
      </c>
      <c r="L2569" t="n">
        <v>0.5610000000000001</v>
      </c>
      <c r="M2569" t="n">
        <v>0.135</v>
      </c>
    </row>
    <row r="2570" spans="1:13">
      <c r="A2570" s="1">
        <f>HYPERLINK("http://www.twitter.com/NathanBLawrence/status/977225625122623488", "977225625122623488")</f>
        <v/>
      </c>
      <c r="B2570" s="2" t="n">
        <v>43182.70045138889</v>
      </c>
      <c r="C2570" t="n">
        <v>0</v>
      </c>
      <c r="D2570" t="n">
        <v>1454</v>
      </c>
      <c r="E2570" t="s">
        <v>2581</v>
      </c>
      <c r="F2570">
        <f>HYPERLINK("https://video.twimg.com/ext_tw_video/977024705231114240/pu/vid/1080x720/yc1qzaZM3WiHgj-9.mp4", "https://video.twimg.com/ext_tw_video/977024705231114240/pu/vid/1080x720/yc1qzaZM3WiHgj-9.mp4")</f>
        <v/>
      </c>
      <c r="G2570" t="s"/>
      <c r="H2570" t="s"/>
      <c r="I2570" t="s"/>
      <c r="J2570" t="n">
        <v>-0.8256</v>
      </c>
      <c r="K2570" t="n">
        <v>0.267</v>
      </c>
      <c r="L2570" t="n">
        <v>0.733</v>
      </c>
      <c r="M2570" t="n">
        <v>0</v>
      </c>
    </row>
    <row r="2571" spans="1:13">
      <c r="A2571" s="1">
        <f>HYPERLINK("http://www.twitter.com/NathanBLawrence/status/977224160404492288", "977224160404492288")</f>
        <v/>
      </c>
      <c r="B2571" s="2" t="n">
        <v>43182.69641203704</v>
      </c>
      <c r="C2571" t="n">
        <v>0</v>
      </c>
      <c r="D2571" t="n">
        <v>17</v>
      </c>
      <c r="E2571" t="s">
        <v>2582</v>
      </c>
      <c r="F2571" t="s"/>
      <c r="G2571" t="s"/>
      <c r="H2571" t="s"/>
      <c r="I2571" t="s"/>
      <c r="J2571" t="n">
        <v>0</v>
      </c>
      <c r="K2571" t="n">
        <v>0</v>
      </c>
      <c r="L2571" t="n">
        <v>1</v>
      </c>
      <c r="M2571" t="n">
        <v>0</v>
      </c>
    </row>
    <row r="2572" spans="1:13">
      <c r="A2572" s="1">
        <f>HYPERLINK("http://www.twitter.com/NathanBLawrence/status/977223909178306566", "977223909178306566")</f>
        <v/>
      </c>
      <c r="B2572" s="2" t="n">
        <v>43182.69571759259</v>
      </c>
      <c r="C2572" t="n">
        <v>0</v>
      </c>
      <c r="D2572" t="n">
        <v>103</v>
      </c>
      <c r="E2572" t="s">
        <v>2583</v>
      </c>
      <c r="F2572" t="s"/>
      <c r="G2572" t="s"/>
      <c r="H2572" t="s"/>
      <c r="I2572" t="s"/>
      <c r="J2572" t="n">
        <v>0</v>
      </c>
      <c r="K2572" t="n">
        <v>0</v>
      </c>
      <c r="L2572" t="n">
        <v>1</v>
      </c>
      <c r="M2572" t="n">
        <v>0</v>
      </c>
    </row>
    <row r="2573" spans="1:13">
      <c r="A2573" s="1">
        <f>HYPERLINK("http://www.twitter.com/NathanBLawrence/status/977223599911264257", "977223599911264257")</f>
        <v/>
      </c>
      <c r="B2573" s="2" t="n">
        <v>43182.69486111111</v>
      </c>
      <c r="C2573" t="n">
        <v>0</v>
      </c>
      <c r="D2573" t="n">
        <v>55</v>
      </c>
      <c r="E2573" t="s">
        <v>2584</v>
      </c>
      <c r="F2573" t="s"/>
      <c r="G2573" t="s"/>
      <c r="H2573" t="s"/>
      <c r="I2573" t="s"/>
      <c r="J2573" t="n">
        <v>0</v>
      </c>
      <c r="K2573" t="n">
        <v>0</v>
      </c>
      <c r="L2573" t="n">
        <v>1</v>
      </c>
      <c r="M2573" t="n">
        <v>0</v>
      </c>
    </row>
    <row r="2574" spans="1:13">
      <c r="A2574" s="1">
        <f>HYPERLINK("http://www.twitter.com/NathanBLawrence/status/977223578054782977", "977223578054782977")</f>
        <v/>
      </c>
      <c r="B2574" s="2" t="n">
        <v>43182.69480324074</v>
      </c>
      <c r="C2574" t="n">
        <v>0</v>
      </c>
      <c r="D2574" t="n">
        <v>28</v>
      </c>
      <c r="E2574" t="s">
        <v>2585</v>
      </c>
      <c r="F2574">
        <f>HYPERLINK("http://pbs.twimg.com/media/DY_KK4lVwAAi0yx.jpg", "http://pbs.twimg.com/media/DY_KK4lVwAAi0yx.jpg")</f>
        <v/>
      </c>
      <c r="G2574" t="s"/>
      <c r="H2574" t="s"/>
      <c r="I2574" t="s"/>
      <c r="J2574" t="n">
        <v>0</v>
      </c>
      <c r="K2574" t="n">
        <v>0</v>
      </c>
      <c r="L2574" t="n">
        <v>1</v>
      </c>
      <c r="M2574" t="n">
        <v>0</v>
      </c>
    </row>
    <row r="2575" spans="1:13">
      <c r="A2575" s="1">
        <f>HYPERLINK("http://www.twitter.com/NathanBLawrence/status/977223533733535744", "977223533733535744")</f>
        <v/>
      </c>
      <c r="B2575" s="2" t="n">
        <v>43182.6946875</v>
      </c>
      <c r="C2575" t="n">
        <v>0</v>
      </c>
      <c r="D2575" t="n">
        <v>3</v>
      </c>
      <c r="E2575" t="s">
        <v>2586</v>
      </c>
      <c r="F2575" t="s"/>
      <c r="G2575" t="s"/>
      <c r="H2575" t="s"/>
      <c r="I2575" t="s"/>
      <c r="J2575" t="n">
        <v>0</v>
      </c>
      <c r="K2575" t="n">
        <v>0</v>
      </c>
      <c r="L2575" t="n">
        <v>1</v>
      </c>
      <c r="M2575" t="n">
        <v>0</v>
      </c>
    </row>
    <row r="2576" spans="1:13">
      <c r="A2576" s="1">
        <f>HYPERLINK("http://www.twitter.com/NathanBLawrence/status/977223045436895233", "977223045436895233")</f>
        <v/>
      </c>
      <c r="B2576" s="2" t="n">
        <v>43182.69333333334</v>
      </c>
      <c r="C2576" t="n">
        <v>0</v>
      </c>
      <c r="D2576" t="n">
        <v>101</v>
      </c>
      <c r="E2576" t="s">
        <v>2587</v>
      </c>
      <c r="F2576" t="s"/>
      <c r="G2576" t="s"/>
      <c r="H2576" t="s"/>
      <c r="I2576" t="s"/>
      <c r="J2576" t="n">
        <v>0</v>
      </c>
      <c r="K2576" t="n">
        <v>0</v>
      </c>
      <c r="L2576" t="n">
        <v>1</v>
      </c>
      <c r="M2576" t="n">
        <v>0</v>
      </c>
    </row>
    <row r="2577" spans="1:13">
      <c r="A2577" s="1">
        <f>HYPERLINK("http://www.twitter.com/NathanBLawrence/status/977221340989095938", "977221340989095938")</f>
        <v/>
      </c>
      <c r="B2577" s="2" t="n">
        <v>43182.68863425926</v>
      </c>
      <c r="C2577" t="n">
        <v>0</v>
      </c>
      <c r="D2577" t="n">
        <v>639</v>
      </c>
      <c r="E2577" t="s">
        <v>2588</v>
      </c>
      <c r="F2577" t="s"/>
      <c r="G2577" t="s"/>
      <c r="H2577" t="s"/>
      <c r="I2577" t="s"/>
      <c r="J2577" t="n">
        <v>0.6486</v>
      </c>
      <c r="K2577" t="n">
        <v>0</v>
      </c>
      <c r="L2577" t="n">
        <v>0.791</v>
      </c>
      <c r="M2577" t="n">
        <v>0.209</v>
      </c>
    </row>
    <row r="2578" spans="1:13">
      <c r="A2578" s="1">
        <f>HYPERLINK("http://www.twitter.com/NathanBLawrence/status/977221283497824256", "977221283497824256")</f>
        <v/>
      </c>
      <c r="B2578" s="2" t="n">
        <v>43182.68847222222</v>
      </c>
      <c r="C2578" t="n">
        <v>0</v>
      </c>
      <c r="D2578" t="n">
        <v>4122</v>
      </c>
      <c r="E2578" t="s">
        <v>2589</v>
      </c>
      <c r="F2578">
        <f>HYPERLINK("http://pbs.twimg.com/media/DY7RrB1UQAA3CVu.jpg", "http://pbs.twimg.com/media/DY7RrB1UQAA3CVu.jpg")</f>
        <v/>
      </c>
      <c r="G2578" t="s"/>
      <c r="H2578" t="s"/>
      <c r="I2578" t="s"/>
      <c r="J2578" t="n">
        <v>-0.4019</v>
      </c>
      <c r="K2578" t="n">
        <v>0.278</v>
      </c>
      <c r="L2578" t="n">
        <v>0.722</v>
      </c>
      <c r="M2578" t="n">
        <v>0</v>
      </c>
    </row>
    <row r="2579" spans="1:13">
      <c r="A2579" s="1">
        <f>HYPERLINK("http://www.twitter.com/NathanBLawrence/status/977220872930021376", "977220872930021376")</f>
        <v/>
      </c>
      <c r="B2579" s="2" t="n">
        <v>43182.68733796296</v>
      </c>
      <c r="C2579" t="n">
        <v>0</v>
      </c>
      <c r="D2579" t="n">
        <v>1</v>
      </c>
      <c r="E2579" t="s">
        <v>2590</v>
      </c>
      <c r="F2579" t="s"/>
      <c r="G2579" t="s"/>
      <c r="H2579" t="s"/>
      <c r="I2579" t="s"/>
      <c r="J2579" t="n">
        <v>0</v>
      </c>
      <c r="K2579" t="n">
        <v>0</v>
      </c>
      <c r="L2579" t="n">
        <v>1</v>
      </c>
      <c r="M2579" t="n">
        <v>0</v>
      </c>
    </row>
    <row r="2580" spans="1:13">
      <c r="A2580" s="1">
        <f>HYPERLINK("http://www.twitter.com/NathanBLawrence/status/977220160510623746", "977220160510623746")</f>
        <v/>
      </c>
      <c r="B2580" s="2" t="n">
        <v>43182.68537037037</v>
      </c>
      <c r="C2580" t="n">
        <v>0</v>
      </c>
      <c r="D2580" t="n">
        <v>39</v>
      </c>
      <c r="E2580" t="s">
        <v>2591</v>
      </c>
      <c r="F2580">
        <f>HYPERLINK("http://pbs.twimg.com/media/DY_Ac18XUAAXrWb.png", "http://pbs.twimg.com/media/DY_Ac18XUAAXrWb.png")</f>
        <v/>
      </c>
      <c r="G2580" t="s"/>
      <c r="H2580" t="s"/>
      <c r="I2580" t="s"/>
      <c r="J2580" t="n">
        <v>-0.3182</v>
      </c>
      <c r="K2580" t="n">
        <v>0.152</v>
      </c>
      <c r="L2580" t="n">
        <v>0.741</v>
      </c>
      <c r="M2580" t="n">
        <v>0.108</v>
      </c>
    </row>
    <row r="2581" spans="1:13">
      <c r="A2581" s="1">
        <f>HYPERLINK("http://www.twitter.com/NathanBLawrence/status/977219861439971330", "977219861439971330")</f>
        <v/>
      </c>
      <c r="B2581" s="2" t="n">
        <v>43182.68454861111</v>
      </c>
      <c r="C2581" t="n">
        <v>0</v>
      </c>
      <c r="D2581" t="n">
        <v>2</v>
      </c>
      <c r="E2581" t="s">
        <v>2592</v>
      </c>
      <c r="F2581" t="s"/>
      <c r="G2581" t="s"/>
      <c r="H2581" t="s"/>
      <c r="I2581" t="s"/>
      <c r="J2581" t="n">
        <v>0</v>
      </c>
      <c r="K2581" t="n">
        <v>0</v>
      </c>
      <c r="L2581" t="n">
        <v>1</v>
      </c>
      <c r="M2581" t="n">
        <v>0</v>
      </c>
    </row>
    <row r="2582" spans="1:13">
      <c r="A2582" s="1">
        <f>HYPERLINK("http://www.twitter.com/NathanBLawrence/status/977217607957966850", "977217607957966850")</f>
        <v/>
      </c>
      <c r="B2582" s="2" t="n">
        <v>43182.67833333334</v>
      </c>
      <c r="C2582" t="n">
        <v>0</v>
      </c>
      <c r="D2582" t="n">
        <v>4331</v>
      </c>
      <c r="E2582" t="s">
        <v>2593</v>
      </c>
      <c r="F2582" t="s"/>
      <c r="G2582" t="s"/>
      <c r="H2582" t="s"/>
      <c r="I2582" t="s"/>
      <c r="J2582" t="n">
        <v>0.0258</v>
      </c>
      <c r="K2582" t="n">
        <v>0.118</v>
      </c>
      <c r="L2582" t="n">
        <v>0.759</v>
      </c>
      <c r="M2582" t="n">
        <v>0.122</v>
      </c>
    </row>
    <row r="2583" spans="1:13">
      <c r="A2583" s="1">
        <f>HYPERLINK("http://www.twitter.com/NathanBLawrence/status/977216920847085568", "977216920847085568")</f>
        <v/>
      </c>
      <c r="B2583" s="2" t="n">
        <v>43182.67643518518</v>
      </c>
      <c r="C2583" t="n">
        <v>0</v>
      </c>
      <c r="D2583" t="n">
        <v>7</v>
      </c>
      <c r="E2583" t="s">
        <v>2594</v>
      </c>
      <c r="F2583">
        <f>HYPERLINK("http://pbs.twimg.com/media/DY9ZS1pWAAEQMJB.jpg", "http://pbs.twimg.com/media/DY9ZS1pWAAEQMJB.jpg")</f>
        <v/>
      </c>
      <c r="G2583" t="s"/>
      <c r="H2583" t="s"/>
      <c r="I2583" t="s"/>
      <c r="J2583" t="n">
        <v>0</v>
      </c>
      <c r="K2583" t="n">
        <v>0</v>
      </c>
      <c r="L2583" t="n">
        <v>1</v>
      </c>
      <c r="M2583" t="n">
        <v>0</v>
      </c>
    </row>
    <row r="2584" spans="1:13">
      <c r="A2584" s="1">
        <f>HYPERLINK("http://www.twitter.com/NathanBLawrence/status/977216370105634817", "977216370105634817")</f>
        <v/>
      </c>
      <c r="B2584" s="2" t="n">
        <v>43182.67491898148</v>
      </c>
      <c r="C2584" t="n">
        <v>0</v>
      </c>
      <c r="D2584" t="n">
        <v>12</v>
      </c>
      <c r="E2584" t="s">
        <v>2595</v>
      </c>
      <c r="F2584" t="s"/>
      <c r="G2584" t="s"/>
      <c r="H2584" t="s"/>
      <c r="I2584" t="s"/>
      <c r="J2584" t="n">
        <v>0</v>
      </c>
      <c r="K2584" t="n">
        <v>0</v>
      </c>
      <c r="L2584" t="n">
        <v>1</v>
      </c>
      <c r="M2584" t="n">
        <v>0</v>
      </c>
    </row>
    <row r="2585" spans="1:13">
      <c r="A2585" s="1">
        <f>HYPERLINK("http://www.twitter.com/NathanBLawrence/status/977215731304730624", "977215731304730624")</f>
        <v/>
      </c>
      <c r="B2585" s="2" t="n">
        <v>43182.67314814815</v>
      </c>
      <c r="C2585" t="n">
        <v>0</v>
      </c>
      <c r="D2585" t="n">
        <v>702</v>
      </c>
      <c r="E2585" t="s">
        <v>2596</v>
      </c>
      <c r="F2585">
        <f>HYPERLINK("https://video.twimg.com/ext_tw_video/976221590445809666/pu/vid/320x180/_B_N-iCPSgnfDiUn.mp4", "https://video.twimg.com/ext_tw_video/976221590445809666/pu/vid/320x180/_B_N-iCPSgnfDiUn.mp4")</f>
        <v/>
      </c>
      <c r="G2585" t="s"/>
      <c r="H2585" t="s"/>
      <c r="I2585" t="s"/>
      <c r="J2585" t="n">
        <v>0.6808</v>
      </c>
      <c r="K2585" t="n">
        <v>0.113</v>
      </c>
      <c r="L2585" t="n">
        <v>0.597</v>
      </c>
      <c r="M2585" t="n">
        <v>0.289</v>
      </c>
    </row>
    <row r="2586" spans="1:13">
      <c r="A2586" s="1">
        <f>HYPERLINK("http://www.twitter.com/NathanBLawrence/status/977215126133792774", "977215126133792774")</f>
        <v/>
      </c>
      <c r="B2586" s="2" t="n">
        <v>43182.67148148148</v>
      </c>
      <c r="C2586" t="n">
        <v>0</v>
      </c>
      <c r="D2586" t="n">
        <v>7403</v>
      </c>
      <c r="E2586" t="s">
        <v>2597</v>
      </c>
      <c r="F2586">
        <f>HYPERLINK("http://pbs.twimg.com/media/DY2jBJcVwAEtmj5.jpg", "http://pbs.twimg.com/media/DY2jBJcVwAEtmj5.jpg")</f>
        <v/>
      </c>
      <c r="G2586" t="s"/>
      <c r="H2586" t="s"/>
      <c r="I2586" t="s"/>
      <c r="J2586" t="n">
        <v>-0.628</v>
      </c>
      <c r="K2586" t="n">
        <v>0.171</v>
      </c>
      <c r="L2586" t="n">
        <v>0.829</v>
      </c>
      <c r="M2586" t="n">
        <v>0</v>
      </c>
    </row>
    <row r="2587" spans="1:13">
      <c r="A2587" s="1">
        <f>HYPERLINK("http://www.twitter.com/NathanBLawrence/status/977214984018186240", "977214984018186240")</f>
        <v/>
      </c>
      <c r="B2587" s="2" t="n">
        <v>43182.67108796296</v>
      </c>
      <c r="C2587" t="n">
        <v>0</v>
      </c>
      <c r="D2587" t="n">
        <v>4472</v>
      </c>
      <c r="E2587" t="s">
        <v>2598</v>
      </c>
      <c r="F2587">
        <f>HYPERLINK("http://pbs.twimg.com/media/DY7SB-oU0AARX0r.jpg", "http://pbs.twimg.com/media/DY7SB-oU0AARX0r.jpg")</f>
        <v/>
      </c>
      <c r="G2587" t="s"/>
      <c r="H2587" t="s"/>
      <c r="I2587" t="s"/>
      <c r="J2587" t="n">
        <v>0</v>
      </c>
      <c r="K2587" t="n">
        <v>0</v>
      </c>
      <c r="L2587" t="n">
        <v>1</v>
      </c>
      <c r="M2587" t="n">
        <v>0</v>
      </c>
    </row>
    <row r="2588" spans="1:13">
      <c r="A2588" s="1">
        <f>HYPERLINK("http://www.twitter.com/NathanBLawrence/status/977214913646092289", "977214913646092289")</f>
        <v/>
      </c>
      <c r="B2588" s="2" t="n">
        <v>43182.67089120371</v>
      </c>
      <c r="C2588" t="n">
        <v>0</v>
      </c>
      <c r="D2588" t="n">
        <v>222</v>
      </c>
      <c r="E2588" t="s">
        <v>2599</v>
      </c>
      <c r="F2588">
        <f>HYPERLINK("http://pbs.twimg.com/media/DY-tJ9hX0AISYE3.jpg", "http://pbs.twimg.com/media/DY-tJ9hX0AISYE3.jpg")</f>
        <v/>
      </c>
      <c r="G2588" t="s"/>
      <c r="H2588" t="s"/>
      <c r="I2588" t="s"/>
      <c r="J2588" t="n">
        <v>0.3612</v>
      </c>
      <c r="K2588" t="n">
        <v>0.078</v>
      </c>
      <c r="L2588" t="n">
        <v>0.779</v>
      </c>
      <c r="M2588" t="n">
        <v>0.143</v>
      </c>
    </row>
    <row r="2589" spans="1:13">
      <c r="A2589" s="1">
        <f>HYPERLINK("http://www.twitter.com/NathanBLawrence/status/977214687678029829", "977214687678029829")</f>
        <v/>
      </c>
      <c r="B2589" s="2" t="n">
        <v>43182.67026620371</v>
      </c>
      <c r="C2589" t="n">
        <v>0</v>
      </c>
      <c r="D2589" t="n">
        <v>22</v>
      </c>
      <c r="E2589" t="s">
        <v>2600</v>
      </c>
      <c r="F2589" t="s"/>
      <c r="G2589" t="s"/>
      <c r="H2589" t="s"/>
      <c r="I2589" t="s"/>
      <c r="J2589" t="n">
        <v>0</v>
      </c>
      <c r="K2589" t="n">
        <v>0</v>
      </c>
      <c r="L2589" t="n">
        <v>1</v>
      </c>
      <c r="M2589" t="n">
        <v>0</v>
      </c>
    </row>
    <row r="2590" spans="1:13">
      <c r="A2590" s="1">
        <f>HYPERLINK("http://www.twitter.com/NathanBLawrence/status/977214201776263168", "977214201776263168")</f>
        <v/>
      </c>
      <c r="B2590" s="2" t="n">
        <v>43182.66893518518</v>
      </c>
      <c r="C2590" t="n">
        <v>0</v>
      </c>
      <c r="D2590" t="n">
        <v>311</v>
      </c>
      <c r="E2590" t="s">
        <v>2601</v>
      </c>
      <c r="F2590" t="s"/>
      <c r="G2590" t="s"/>
      <c r="H2590" t="s"/>
      <c r="I2590" t="s"/>
      <c r="J2590" t="n">
        <v>0</v>
      </c>
      <c r="K2590" t="n">
        <v>0</v>
      </c>
      <c r="L2590" t="n">
        <v>1</v>
      </c>
      <c r="M2590" t="n">
        <v>0</v>
      </c>
    </row>
    <row r="2591" spans="1:13">
      <c r="A2591" s="1">
        <f>HYPERLINK("http://www.twitter.com/NathanBLawrence/status/977213911601745921", "977213911601745921")</f>
        <v/>
      </c>
      <c r="B2591" s="2" t="n">
        <v>43182.668125</v>
      </c>
      <c r="C2591" t="n">
        <v>0</v>
      </c>
      <c r="D2591" t="n">
        <v>674</v>
      </c>
      <c r="E2591" t="s">
        <v>2602</v>
      </c>
      <c r="F2591">
        <f>HYPERLINK("https://video.twimg.com/ext_tw_video/976991353652604928/pu/vid/1280x720/liVUiCMRhwFReRek.mp4", "https://video.twimg.com/ext_tw_video/976991353652604928/pu/vid/1280x720/liVUiCMRhwFReRek.mp4")</f>
        <v/>
      </c>
      <c r="G2591" t="s"/>
      <c r="H2591" t="s"/>
      <c r="I2591" t="s"/>
      <c r="J2591" t="n">
        <v>0.4939</v>
      </c>
      <c r="K2591" t="n">
        <v>0</v>
      </c>
      <c r="L2591" t="n">
        <v>0.878</v>
      </c>
      <c r="M2591" t="n">
        <v>0.122</v>
      </c>
    </row>
    <row r="2592" spans="1:13">
      <c r="A2592" s="1">
        <f>HYPERLINK("http://www.twitter.com/NathanBLawrence/status/977213389595381762", "977213389595381762")</f>
        <v/>
      </c>
      <c r="B2592" s="2" t="n">
        <v>43182.66668981482</v>
      </c>
      <c r="C2592" t="n">
        <v>0</v>
      </c>
      <c r="D2592" t="n">
        <v>28</v>
      </c>
      <c r="E2592" t="s">
        <v>2603</v>
      </c>
      <c r="F2592" t="s"/>
      <c r="G2592" t="s"/>
      <c r="H2592" t="s"/>
      <c r="I2592" t="s"/>
      <c r="J2592" t="n">
        <v>0</v>
      </c>
      <c r="K2592" t="n">
        <v>0</v>
      </c>
      <c r="L2592" t="n">
        <v>1</v>
      </c>
      <c r="M2592" t="n">
        <v>0</v>
      </c>
    </row>
    <row r="2593" spans="1:13">
      <c r="A2593" s="1">
        <f>HYPERLINK("http://www.twitter.com/NathanBLawrence/status/977213176017293312", "977213176017293312")</f>
        <v/>
      </c>
      <c r="B2593" s="2" t="n">
        <v>43182.66609953704</v>
      </c>
      <c r="C2593" t="n">
        <v>0</v>
      </c>
      <c r="D2593" t="n">
        <v>3</v>
      </c>
      <c r="E2593" t="s">
        <v>2604</v>
      </c>
      <c r="F2593" t="s"/>
      <c r="G2593" t="s"/>
      <c r="H2593" t="s"/>
      <c r="I2593" t="s"/>
      <c r="J2593" t="n">
        <v>-0.4215</v>
      </c>
      <c r="K2593" t="n">
        <v>0.237</v>
      </c>
      <c r="L2593" t="n">
        <v>0.763</v>
      </c>
      <c r="M2593" t="n">
        <v>0</v>
      </c>
    </row>
    <row r="2594" spans="1:13">
      <c r="A2594" s="1">
        <f>HYPERLINK("http://www.twitter.com/NathanBLawrence/status/977213097978015744", "977213097978015744")</f>
        <v/>
      </c>
      <c r="B2594" s="2" t="n">
        <v>43182.66587962963</v>
      </c>
      <c r="C2594" t="n">
        <v>0</v>
      </c>
      <c r="D2594" t="n">
        <v>3765</v>
      </c>
      <c r="E2594" t="s">
        <v>2605</v>
      </c>
      <c r="F2594">
        <f>HYPERLINK("https://video.twimg.com/ext_tw_video/976984639612112901/pu/vid/640x360/TbsQd04RDCvgcm0T.mp4", "https://video.twimg.com/ext_tw_video/976984639612112901/pu/vid/640x360/TbsQd04RDCvgcm0T.mp4")</f>
        <v/>
      </c>
      <c r="G2594" t="s"/>
      <c r="H2594" t="s"/>
      <c r="I2594" t="s"/>
      <c r="J2594" t="n">
        <v>-0.0772</v>
      </c>
      <c r="K2594" t="n">
        <v>0.091</v>
      </c>
      <c r="L2594" t="n">
        <v>0.83</v>
      </c>
      <c r="M2594" t="n">
        <v>0.079</v>
      </c>
    </row>
    <row r="2595" spans="1:13">
      <c r="A2595" s="1">
        <f>HYPERLINK("http://www.twitter.com/NathanBLawrence/status/977212964523708418", "977212964523708418")</f>
        <v/>
      </c>
      <c r="B2595" s="2" t="n">
        <v>43182.66552083333</v>
      </c>
      <c r="C2595" t="n">
        <v>0</v>
      </c>
      <c r="D2595" t="n">
        <v>9</v>
      </c>
      <c r="E2595" t="s">
        <v>2606</v>
      </c>
      <c r="F2595" t="s"/>
      <c r="G2595" t="s"/>
      <c r="H2595" t="s"/>
      <c r="I2595" t="s"/>
      <c r="J2595" t="n">
        <v>0</v>
      </c>
      <c r="K2595" t="n">
        <v>0</v>
      </c>
      <c r="L2595" t="n">
        <v>1</v>
      </c>
      <c r="M2595" t="n">
        <v>0</v>
      </c>
    </row>
    <row r="2596" spans="1:13">
      <c r="A2596" s="1">
        <f>HYPERLINK("http://www.twitter.com/NathanBLawrence/status/977212663909568512", "977212663909568512")</f>
        <v/>
      </c>
      <c r="B2596" s="2" t="n">
        <v>43182.6646875</v>
      </c>
      <c r="C2596" t="n">
        <v>0</v>
      </c>
      <c r="D2596" t="n">
        <v>4</v>
      </c>
      <c r="E2596" t="s">
        <v>2607</v>
      </c>
      <c r="F2596" t="s"/>
      <c r="G2596" t="s"/>
      <c r="H2596" t="s"/>
      <c r="I2596" t="s"/>
      <c r="J2596" t="n">
        <v>0</v>
      </c>
      <c r="K2596" t="n">
        <v>0</v>
      </c>
      <c r="L2596" t="n">
        <v>1</v>
      </c>
      <c r="M2596" t="n">
        <v>0</v>
      </c>
    </row>
    <row r="2597" spans="1:13">
      <c r="A2597" s="1">
        <f>HYPERLINK("http://www.twitter.com/NathanBLawrence/status/977211126781042688", "977211126781042688")</f>
        <v/>
      </c>
      <c r="B2597" s="2" t="n">
        <v>43182.66043981481</v>
      </c>
      <c r="C2597" t="n">
        <v>0</v>
      </c>
      <c r="D2597" t="n">
        <v>2572</v>
      </c>
      <c r="E2597" t="s">
        <v>2608</v>
      </c>
      <c r="F2597" t="s"/>
      <c r="G2597" t="s"/>
      <c r="H2597" t="s"/>
      <c r="I2597" t="s"/>
      <c r="J2597" t="n">
        <v>0.4404</v>
      </c>
      <c r="K2597" t="n">
        <v>0</v>
      </c>
      <c r="L2597" t="n">
        <v>0.854</v>
      </c>
      <c r="M2597" t="n">
        <v>0.146</v>
      </c>
    </row>
    <row r="2598" spans="1:13">
      <c r="A2598" s="1">
        <f>HYPERLINK("http://www.twitter.com/NathanBLawrence/status/977210631903465477", "977210631903465477")</f>
        <v/>
      </c>
      <c r="B2598" s="2" t="n">
        <v>43182.65907407407</v>
      </c>
      <c r="C2598" t="n">
        <v>0</v>
      </c>
      <c r="D2598" t="n">
        <v>2</v>
      </c>
      <c r="E2598" t="s">
        <v>2609</v>
      </c>
      <c r="F2598" t="s"/>
      <c r="G2598" t="s"/>
      <c r="H2598" t="s"/>
      <c r="I2598" t="s"/>
      <c r="J2598" t="n">
        <v>0</v>
      </c>
      <c r="K2598" t="n">
        <v>0</v>
      </c>
      <c r="L2598" t="n">
        <v>1</v>
      </c>
      <c r="M2598" t="n">
        <v>0</v>
      </c>
    </row>
    <row r="2599" spans="1:13">
      <c r="A2599" s="1">
        <f>HYPERLINK("http://www.twitter.com/NathanBLawrence/status/977206770044194816", "977206770044194816")</f>
        <v/>
      </c>
      <c r="B2599" s="2" t="n">
        <v>43182.64842592592</v>
      </c>
      <c r="C2599" t="n">
        <v>0</v>
      </c>
      <c r="D2599" t="n">
        <v>355</v>
      </c>
      <c r="E2599" t="s">
        <v>2610</v>
      </c>
      <c r="F2599" t="s"/>
      <c r="G2599" t="s"/>
      <c r="H2599" t="s"/>
      <c r="I2599" t="s"/>
      <c r="J2599" t="n">
        <v>-0.1531</v>
      </c>
      <c r="K2599" t="n">
        <v>0.151</v>
      </c>
      <c r="L2599" t="n">
        <v>0.849</v>
      </c>
      <c r="M2599" t="n">
        <v>0</v>
      </c>
    </row>
    <row r="2600" spans="1:13">
      <c r="A2600" s="1">
        <f>HYPERLINK("http://www.twitter.com/NathanBLawrence/status/977206496831397888", "977206496831397888")</f>
        <v/>
      </c>
      <c r="B2600" s="2" t="n">
        <v>43182.64767361111</v>
      </c>
      <c r="C2600" t="n">
        <v>0</v>
      </c>
      <c r="D2600" t="n">
        <v>16</v>
      </c>
      <c r="E2600" t="s">
        <v>2611</v>
      </c>
      <c r="F2600" t="s"/>
      <c r="G2600" t="s"/>
      <c r="H2600" t="s"/>
      <c r="I2600" t="s"/>
      <c r="J2600" t="n">
        <v>-0.5983000000000001</v>
      </c>
      <c r="K2600" t="n">
        <v>0.266</v>
      </c>
      <c r="L2600" t="n">
        <v>0.633</v>
      </c>
      <c r="M2600" t="n">
        <v>0.101</v>
      </c>
    </row>
    <row r="2601" spans="1:13">
      <c r="A2601" s="1">
        <f>HYPERLINK("http://www.twitter.com/NathanBLawrence/status/977205518522552322", "977205518522552322")</f>
        <v/>
      </c>
      <c r="B2601" s="2" t="n">
        <v>43182.64496527778</v>
      </c>
      <c r="C2601" t="n">
        <v>0</v>
      </c>
      <c r="D2601" t="n">
        <v>4</v>
      </c>
      <c r="E2601" t="s">
        <v>2612</v>
      </c>
      <c r="F2601" t="s"/>
      <c r="G2601" t="s"/>
      <c r="H2601" t="s"/>
      <c r="I2601" t="s"/>
      <c r="J2601" t="n">
        <v>-0.0258</v>
      </c>
      <c r="K2601" t="n">
        <v>0.093</v>
      </c>
      <c r="L2601" t="n">
        <v>0.8169999999999999</v>
      </c>
      <c r="M2601" t="n">
        <v>0.089</v>
      </c>
    </row>
    <row r="2602" spans="1:13">
      <c r="A2602" s="1">
        <f>HYPERLINK("http://www.twitter.com/NathanBLawrence/status/977204771999420416", "977204771999420416")</f>
        <v/>
      </c>
      <c r="B2602" s="2" t="n">
        <v>43182.64290509259</v>
      </c>
      <c r="C2602" t="n">
        <v>0</v>
      </c>
      <c r="D2602" t="n">
        <v>862</v>
      </c>
      <c r="E2602" t="s">
        <v>2613</v>
      </c>
      <c r="F2602">
        <f>HYPERLINK("https://video.twimg.com/amplify_video/976980919742615554/vid/1280x720/SmzYkARy8kLV4aJ_.mp4", "https://video.twimg.com/amplify_video/976980919742615554/vid/1280x720/SmzYkARy8kLV4aJ_.mp4")</f>
        <v/>
      </c>
      <c r="G2602" t="s"/>
      <c r="H2602" t="s"/>
      <c r="I2602" t="s"/>
      <c r="J2602" t="n">
        <v>-0.5214</v>
      </c>
      <c r="K2602" t="n">
        <v>0.133</v>
      </c>
      <c r="L2602" t="n">
        <v>0.867</v>
      </c>
      <c r="M2602" t="n">
        <v>0</v>
      </c>
    </row>
    <row r="2603" spans="1:13">
      <c r="A2603" s="1">
        <f>HYPERLINK("http://www.twitter.com/NathanBLawrence/status/977204126571532289", "977204126571532289")</f>
        <v/>
      </c>
      <c r="B2603" s="2" t="n">
        <v>43182.64113425926</v>
      </c>
      <c r="C2603" t="n">
        <v>0</v>
      </c>
      <c r="D2603" t="n">
        <v>6</v>
      </c>
      <c r="E2603" t="s">
        <v>2614</v>
      </c>
      <c r="F2603" t="s"/>
      <c r="G2603" t="s"/>
      <c r="H2603" t="s"/>
      <c r="I2603" t="s"/>
      <c r="J2603" t="n">
        <v>0</v>
      </c>
      <c r="K2603" t="n">
        <v>0</v>
      </c>
      <c r="L2603" t="n">
        <v>1</v>
      </c>
      <c r="M2603" t="n">
        <v>0</v>
      </c>
    </row>
    <row r="2604" spans="1:13">
      <c r="A2604" s="1">
        <f>HYPERLINK("http://www.twitter.com/NathanBLawrence/status/977203975396249600", "977203975396249600")</f>
        <v/>
      </c>
      <c r="B2604" s="2" t="n">
        <v>43182.64070601852</v>
      </c>
      <c r="C2604" t="n">
        <v>0</v>
      </c>
      <c r="D2604" t="n">
        <v>841</v>
      </c>
      <c r="E2604" t="s">
        <v>2615</v>
      </c>
      <c r="F2604">
        <f>HYPERLINK("http://pbs.twimg.com/media/DY-v0W6V4AAWhkp.jpg", "http://pbs.twimg.com/media/DY-v0W6V4AAWhkp.jpg")</f>
        <v/>
      </c>
      <c r="G2604" t="s"/>
      <c r="H2604" t="s"/>
      <c r="I2604" t="s"/>
      <c r="J2604" t="n">
        <v>-0.3182</v>
      </c>
      <c r="K2604" t="n">
        <v>0.163</v>
      </c>
      <c r="L2604" t="n">
        <v>0.73</v>
      </c>
      <c r="M2604" t="n">
        <v>0.107</v>
      </c>
    </row>
    <row r="2605" spans="1:13">
      <c r="A2605" s="1">
        <f>HYPERLINK("http://www.twitter.com/NathanBLawrence/status/977201032018132992", "977201032018132992")</f>
        <v/>
      </c>
      <c r="B2605" s="2" t="n">
        <v>43182.63259259259</v>
      </c>
      <c r="C2605" t="n">
        <v>0</v>
      </c>
      <c r="D2605" t="n">
        <v>261</v>
      </c>
      <c r="E2605" t="s">
        <v>2616</v>
      </c>
      <c r="F2605">
        <f>HYPERLINK("http://pbs.twimg.com/media/DY7hEORVoAAWnx7.jpg", "http://pbs.twimg.com/media/DY7hEORVoAAWnx7.jpg")</f>
        <v/>
      </c>
      <c r="G2605" t="s"/>
      <c r="H2605" t="s"/>
      <c r="I2605" t="s"/>
      <c r="J2605" t="n">
        <v>0</v>
      </c>
      <c r="K2605" t="n">
        <v>0</v>
      </c>
      <c r="L2605" t="n">
        <v>1</v>
      </c>
      <c r="M2605" t="n">
        <v>0</v>
      </c>
    </row>
    <row r="2606" spans="1:13">
      <c r="A2606" s="1">
        <f>HYPERLINK("http://www.twitter.com/NathanBLawrence/status/977199547683401728", "977199547683401728")</f>
        <v/>
      </c>
      <c r="B2606" s="2" t="n">
        <v>43182.62849537037</v>
      </c>
      <c r="C2606" t="n">
        <v>0</v>
      </c>
      <c r="D2606" t="n">
        <v>110</v>
      </c>
      <c r="E2606" t="s">
        <v>2617</v>
      </c>
      <c r="F2606" t="s"/>
      <c r="G2606" t="s"/>
      <c r="H2606" t="s"/>
      <c r="I2606" t="s"/>
      <c r="J2606" t="n">
        <v>0.3612</v>
      </c>
      <c r="K2606" t="n">
        <v>0</v>
      </c>
      <c r="L2606" t="n">
        <v>0.906</v>
      </c>
      <c r="M2606" t="n">
        <v>0.094</v>
      </c>
    </row>
    <row r="2607" spans="1:13">
      <c r="A2607" s="1">
        <f>HYPERLINK("http://www.twitter.com/NathanBLawrence/status/977198987777380353", "977198987777380353")</f>
        <v/>
      </c>
      <c r="B2607" s="2" t="n">
        <v>43182.62694444445</v>
      </c>
      <c r="C2607" t="n">
        <v>0</v>
      </c>
      <c r="D2607" t="n">
        <v>2</v>
      </c>
      <c r="E2607" t="s">
        <v>2618</v>
      </c>
      <c r="F2607">
        <f>HYPERLINK("http://pbs.twimg.com/media/DY-zS-JXUAAPfYQ.jpg", "http://pbs.twimg.com/media/DY-zS-JXUAAPfYQ.jpg")</f>
        <v/>
      </c>
      <c r="G2607" t="s"/>
      <c r="H2607" t="s"/>
      <c r="I2607" t="s"/>
      <c r="J2607" t="n">
        <v>-0.2732</v>
      </c>
      <c r="K2607" t="n">
        <v>0.123</v>
      </c>
      <c r="L2607" t="n">
        <v>0.877</v>
      </c>
      <c r="M2607" t="n">
        <v>0</v>
      </c>
    </row>
    <row r="2608" spans="1:13">
      <c r="A2608" s="1">
        <f>HYPERLINK("http://www.twitter.com/NathanBLawrence/status/977198772936757248", "977198772936757248")</f>
        <v/>
      </c>
      <c r="B2608" s="2" t="n">
        <v>43182.62635416666</v>
      </c>
      <c r="C2608" t="n">
        <v>0</v>
      </c>
      <c r="D2608" t="n">
        <v>205</v>
      </c>
      <c r="E2608" t="s">
        <v>2619</v>
      </c>
      <c r="F2608">
        <f>HYPERLINK("http://pbs.twimg.com/media/DY-y0foXcAAEPk2.jpg", "http://pbs.twimg.com/media/DY-y0foXcAAEPk2.jpg")</f>
        <v/>
      </c>
      <c r="G2608" t="s"/>
      <c r="H2608" t="s"/>
      <c r="I2608" t="s"/>
      <c r="J2608" t="n">
        <v>0</v>
      </c>
      <c r="K2608" t="n">
        <v>0</v>
      </c>
      <c r="L2608" t="n">
        <v>1</v>
      </c>
      <c r="M2608" t="n">
        <v>0</v>
      </c>
    </row>
    <row r="2609" spans="1:13">
      <c r="A2609" s="1">
        <f>HYPERLINK("http://www.twitter.com/NathanBLawrence/status/977196147411443712", "977196147411443712")</f>
        <v/>
      </c>
      <c r="B2609" s="2" t="n">
        <v>43182.61910879629</v>
      </c>
      <c r="C2609" t="n">
        <v>0</v>
      </c>
      <c r="D2609" t="n">
        <v>657</v>
      </c>
      <c r="E2609" t="s">
        <v>2620</v>
      </c>
      <c r="F2609">
        <f>HYPERLINK("https://video.twimg.com/ext_tw_video/977185786574622721/pu/vid/1280x720/ADBAk3DpQZCqVBnl.mp4", "https://video.twimg.com/ext_tw_video/977185786574622721/pu/vid/1280x720/ADBAk3DpQZCqVBnl.mp4")</f>
        <v/>
      </c>
      <c r="G2609" t="s"/>
      <c r="H2609" t="s"/>
      <c r="I2609" t="s"/>
      <c r="J2609" t="n">
        <v>-0.4588</v>
      </c>
      <c r="K2609" t="n">
        <v>0.183</v>
      </c>
      <c r="L2609" t="n">
        <v>0.754</v>
      </c>
      <c r="M2609" t="n">
        <v>0.063</v>
      </c>
    </row>
    <row r="2610" spans="1:13">
      <c r="A2610" s="1">
        <f>HYPERLINK("http://www.twitter.com/NathanBLawrence/status/977195606757212162", "977195606757212162")</f>
        <v/>
      </c>
      <c r="B2610" s="2" t="n">
        <v>43182.61761574074</v>
      </c>
      <c r="C2610" t="n">
        <v>0</v>
      </c>
      <c r="D2610" t="n">
        <v>157</v>
      </c>
      <c r="E2610" t="s">
        <v>2621</v>
      </c>
      <c r="F2610">
        <f>HYPERLINK("https://video.twimg.com/ext_tw_video/974725204235530240/pu/vid/1280x720/zZkeTomQb4uCVmQq.mp4", "https://video.twimg.com/ext_tw_video/974725204235530240/pu/vid/1280x720/zZkeTomQb4uCVmQq.mp4")</f>
        <v/>
      </c>
      <c r="G2610" t="s"/>
      <c r="H2610" t="s"/>
      <c r="I2610" t="s"/>
      <c r="J2610" t="n">
        <v>0</v>
      </c>
      <c r="K2610" t="n">
        <v>0</v>
      </c>
      <c r="L2610" t="n">
        <v>1</v>
      </c>
      <c r="M2610" t="n">
        <v>0</v>
      </c>
    </row>
    <row r="2611" spans="1:13">
      <c r="A2611" s="1">
        <f>HYPERLINK("http://www.twitter.com/NathanBLawrence/status/977195375344914433", "977195375344914433")</f>
        <v/>
      </c>
      <c r="B2611" s="2" t="n">
        <v>43182.61697916667</v>
      </c>
      <c r="C2611" t="n">
        <v>0</v>
      </c>
      <c r="D2611" t="n">
        <v>3438</v>
      </c>
      <c r="E2611" t="s">
        <v>2622</v>
      </c>
      <c r="F2611">
        <f>HYPERLINK("https://video.twimg.com/ext_tw_video/961469663245844480/pu/vid/1280x720/CpUpIuTMpsmv9Hvh.mp4", "https://video.twimg.com/ext_tw_video/961469663245844480/pu/vid/1280x720/CpUpIuTMpsmv9Hvh.mp4")</f>
        <v/>
      </c>
      <c r="G2611" t="s"/>
      <c r="H2611" t="s"/>
      <c r="I2611" t="s"/>
      <c r="J2611" t="n">
        <v>-0.2023</v>
      </c>
      <c r="K2611" t="n">
        <v>0.122</v>
      </c>
      <c r="L2611" t="n">
        <v>0.878</v>
      </c>
      <c r="M2611" t="n">
        <v>0</v>
      </c>
    </row>
    <row r="2612" spans="1:13">
      <c r="A2612" s="1">
        <f>HYPERLINK("http://www.twitter.com/NathanBLawrence/status/977192368268087296", "977192368268087296")</f>
        <v/>
      </c>
      <c r="B2612" s="2" t="n">
        <v>43182.60868055555</v>
      </c>
      <c r="C2612" t="n">
        <v>0</v>
      </c>
      <c r="D2612" t="n">
        <v>34</v>
      </c>
      <c r="E2612" t="s">
        <v>2623</v>
      </c>
      <c r="F2612" t="s"/>
      <c r="G2612" t="s"/>
      <c r="H2612" t="s"/>
      <c r="I2612" t="s"/>
      <c r="J2612" t="n">
        <v>-0.2656</v>
      </c>
      <c r="K2612" t="n">
        <v>0.201</v>
      </c>
      <c r="L2612" t="n">
        <v>0.6820000000000001</v>
      </c>
      <c r="M2612" t="n">
        <v>0.118</v>
      </c>
    </row>
    <row r="2613" spans="1:13">
      <c r="A2613" s="1">
        <f>HYPERLINK("http://www.twitter.com/NathanBLawrence/status/977184044285943809", "977184044285943809")</f>
        <v/>
      </c>
      <c r="B2613" s="2" t="n">
        <v>43182.58571759259</v>
      </c>
      <c r="C2613" t="n">
        <v>0</v>
      </c>
      <c r="D2613" t="n">
        <v>1044</v>
      </c>
      <c r="E2613" t="s">
        <v>2624</v>
      </c>
      <c r="F2613">
        <f>HYPERLINK("https://video.twimg.com/ext_tw_video/977009930715541504/pu/vid/1280x720/0G-asa3GPYIA8d09.mp4", "https://video.twimg.com/ext_tw_video/977009930715541504/pu/vid/1280x720/0G-asa3GPYIA8d09.mp4")</f>
        <v/>
      </c>
      <c r="G2613" t="s"/>
      <c r="H2613" t="s"/>
      <c r="I2613" t="s"/>
      <c r="J2613" t="n">
        <v>-0.5574</v>
      </c>
      <c r="K2613" t="n">
        <v>0.187</v>
      </c>
      <c r="L2613" t="n">
        <v>0.8129999999999999</v>
      </c>
      <c r="M2613" t="n">
        <v>0</v>
      </c>
    </row>
    <row r="2614" spans="1:13">
      <c r="A2614" s="1">
        <f>HYPERLINK("http://www.twitter.com/NathanBLawrence/status/977183737837441024", "977183737837441024")</f>
        <v/>
      </c>
      <c r="B2614" s="2" t="n">
        <v>43182.58486111111</v>
      </c>
      <c r="C2614" t="n">
        <v>0</v>
      </c>
      <c r="D2614" t="n">
        <v>1892</v>
      </c>
      <c r="E2614" t="s">
        <v>2625</v>
      </c>
      <c r="F2614">
        <f>HYPERLINK("http://pbs.twimg.com/media/DY8GWgaU0AACX13.jpg", "http://pbs.twimg.com/media/DY8GWgaU0AACX13.jpg")</f>
        <v/>
      </c>
      <c r="G2614" t="s"/>
      <c r="H2614" t="s"/>
      <c r="I2614" t="s"/>
      <c r="J2614" t="n">
        <v>0.5574</v>
      </c>
      <c r="K2614" t="n">
        <v>0.073</v>
      </c>
      <c r="L2614" t="n">
        <v>0.6879999999999999</v>
      </c>
      <c r="M2614" t="n">
        <v>0.239</v>
      </c>
    </row>
    <row r="2615" spans="1:13">
      <c r="A2615" s="1">
        <f>HYPERLINK("http://www.twitter.com/NathanBLawrence/status/977177136783089664", "977177136783089664")</f>
        <v/>
      </c>
      <c r="B2615" s="2" t="n">
        <v>43182.5666550926</v>
      </c>
      <c r="C2615" t="n">
        <v>0</v>
      </c>
      <c r="D2615" t="n">
        <v>48</v>
      </c>
      <c r="E2615" t="s">
        <v>2626</v>
      </c>
      <c r="F2615">
        <f>HYPERLINK("http://pbs.twimg.com/media/DY-ORFiXkAA9cgl.jpg", "http://pbs.twimg.com/media/DY-ORFiXkAA9cgl.jpg")</f>
        <v/>
      </c>
      <c r="G2615" t="s"/>
      <c r="H2615" t="s"/>
      <c r="I2615" t="s"/>
      <c r="J2615" t="n">
        <v>0</v>
      </c>
      <c r="K2615" t="n">
        <v>0</v>
      </c>
      <c r="L2615" t="n">
        <v>1</v>
      </c>
      <c r="M2615" t="n">
        <v>0</v>
      </c>
    </row>
    <row r="2616" spans="1:13">
      <c r="A2616" s="1">
        <f>HYPERLINK("http://www.twitter.com/NathanBLawrence/status/977042690977292288", "977042690977292288")</f>
        <v/>
      </c>
      <c r="B2616" s="2" t="n">
        <v>43182.19564814815</v>
      </c>
      <c r="C2616" t="n">
        <v>0</v>
      </c>
      <c r="D2616" t="n">
        <v>16</v>
      </c>
      <c r="E2616" t="s">
        <v>2627</v>
      </c>
      <c r="F2616" t="s"/>
      <c r="G2616" t="s"/>
      <c r="H2616" t="s"/>
      <c r="I2616" t="s"/>
      <c r="J2616" t="n">
        <v>0</v>
      </c>
      <c r="K2616" t="n">
        <v>0</v>
      </c>
      <c r="L2616" t="n">
        <v>1</v>
      </c>
      <c r="M2616" t="n">
        <v>0</v>
      </c>
    </row>
    <row r="2617" spans="1:13">
      <c r="A2617" s="1">
        <f>HYPERLINK("http://www.twitter.com/NathanBLawrence/status/977042461318090752", "977042461318090752")</f>
        <v/>
      </c>
      <c r="B2617" s="2" t="n">
        <v>43182.19502314815</v>
      </c>
      <c r="C2617" t="n">
        <v>0</v>
      </c>
      <c r="D2617" t="n">
        <v>142</v>
      </c>
      <c r="E2617" t="s">
        <v>2628</v>
      </c>
      <c r="F2617">
        <f>HYPERLINK("http://pbs.twimg.com/media/DY7KpyzV4AAKyZ-.jpg", "http://pbs.twimg.com/media/DY7KpyzV4AAKyZ-.jpg")</f>
        <v/>
      </c>
      <c r="G2617" t="s"/>
      <c r="H2617" t="s"/>
      <c r="I2617" t="s"/>
      <c r="J2617" t="n">
        <v>0</v>
      </c>
      <c r="K2617" t="n">
        <v>0</v>
      </c>
      <c r="L2617" t="n">
        <v>1</v>
      </c>
      <c r="M2617" t="n">
        <v>0</v>
      </c>
    </row>
    <row r="2618" spans="1:13">
      <c r="A2618" s="1">
        <f>HYPERLINK("http://www.twitter.com/NathanBLawrence/status/977042263669968896", "977042263669968896")</f>
        <v/>
      </c>
      <c r="B2618" s="2" t="n">
        <v>43182.19446759259</v>
      </c>
      <c r="C2618" t="n">
        <v>0</v>
      </c>
      <c r="D2618" t="n">
        <v>1710</v>
      </c>
      <c r="E2618" t="s">
        <v>2629</v>
      </c>
      <c r="F2618" t="s"/>
      <c r="G2618" t="s"/>
      <c r="H2618" t="s"/>
      <c r="I2618" t="s"/>
      <c r="J2618" t="n">
        <v>0.4404</v>
      </c>
      <c r="K2618" t="n">
        <v>0</v>
      </c>
      <c r="L2618" t="n">
        <v>0.892</v>
      </c>
      <c r="M2618" t="n">
        <v>0.108</v>
      </c>
    </row>
    <row r="2619" spans="1:13">
      <c r="A2619" s="1">
        <f>HYPERLINK("http://www.twitter.com/NathanBLawrence/status/977041947482361856", "977041947482361856")</f>
        <v/>
      </c>
      <c r="B2619" s="2" t="n">
        <v>43182.19359953704</v>
      </c>
      <c r="C2619" t="n">
        <v>0</v>
      </c>
      <c r="D2619" t="n">
        <v>438</v>
      </c>
      <c r="E2619" t="s">
        <v>2630</v>
      </c>
      <c r="F2619">
        <f>HYPERLINK("https://video.twimg.com/ext_tw_video/976980072048377856/pu/vid/1280x720/zN7u0XJ6edClsd5T.mp4", "https://video.twimg.com/ext_tw_video/976980072048377856/pu/vid/1280x720/zN7u0XJ6edClsd5T.mp4")</f>
        <v/>
      </c>
      <c r="G2619" t="s"/>
      <c r="H2619" t="s"/>
      <c r="I2619" t="s"/>
      <c r="J2619" t="n">
        <v>0</v>
      </c>
      <c r="K2619" t="n">
        <v>0</v>
      </c>
      <c r="L2619" t="n">
        <v>1</v>
      </c>
      <c r="M2619" t="n">
        <v>0</v>
      </c>
    </row>
    <row r="2620" spans="1:13">
      <c r="A2620" s="1">
        <f>HYPERLINK("http://www.twitter.com/NathanBLawrence/status/977041768830160897", "977041768830160897")</f>
        <v/>
      </c>
      <c r="B2620" s="2" t="n">
        <v>43182.19310185185</v>
      </c>
      <c r="C2620" t="n">
        <v>0</v>
      </c>
      <c r="D2620" t="n">
        <v>10</v>
      </c>
      <c r="E2620" t="s">
        <v>2631</v>
      </c>
      <c r="F2620" t="s"/>
      <c r="G2620" t="s"/>
      <c r="H2620" t="s"/>
      <c r="I2620" t="s"/>
      <c r="J2620" t="n">
        <v>0.3182</v>
      </c>
      <c r="K2620" t="n">
        <v>0</v>
      </c>
      <c r="L2620" t="n">
        <v>0.635</v>
      </c>
      <c r="M2620" t="n">
        <v>0.365</v>
      </c>
    </row>
    <row r="2621" spans="1:13">
      <c r="A2621" s="1">
        <f>HYPERLINK("http://www.twitter.com/NathanBLawrence/status/977041606405775360", "977041606405775360")</f>
        <v/>
      </c>
      <c r="B2621" s="2" t="n">
        <v>43182.19266203704</v>
      </c>
      <c r="C2621" t="n">
        <v>0</v>
      </c>
      <c r="D2621" t="n">
        <v>211</v>
      </c>
      <c r="E2621" t="s">
        <v>2632</v>
      </c>
      <c r="F2621">
        <f>HYPERLINK("http://pbs.twimg.com/media/DY5iliYXUAEk7X8.jpg", "http://pbs.twimg.com/media/DY5iliYXUAEk7X8.jpg")</f>
        <v/>
      </c>
      <c r="G2621">
        <f>HYPERLINK("http://pbs.twimg.com/media/DY5ilvnX0AAigrk.jpg", "http://pbs.twimg.com/media/DY5ilvnX0AAigrk.jpg")</f>
        <v/>
      </c>
      <c r="H2621">
        <f>HYPERLINK("http://pbs.twimg.com/media/DY5il9XX4AAyZUx.jpg", "http://pbs.twimg.com/media/DY5il9XX4AAyZUx.jpg")</f>
        <v/>
      </c>
      <c r="I2621" t="s"/>
      <c r="J2621" t="n">
        <v>0.4939</v>
      </c>
      <c r="K2621" t="n">
        <v>0</v>
      </c>
      <c r="L2621" t="n">
        <v>0.873</v>
      </c>
      <c r="M2621" t="n">
        <v>0.127</v>
      </c>
    </row>
    <row r="2622" spans="1:13">
      <c r="A2622" s="1">
        <f>HYPERLINK("http://www.twitter.com/NathanBLawrence/status/977041445621202944", "977041445621202944")</f>
        <v/>
      </c>
      <c r="B2622" s="2" t="n">
        <v>43182.19221064815</v>
      </c>
      <c r="C2622" t="n">
        <v>0</v>
      </c>
      <c r="D2622" t="n">
        <v>51</v>
      </c>
      <c r="E2622" t="s">
        <v>2633</v>
      </c>
      <c r="F2622" t="s"/>
      <c r="G2622" t="s"/>
      <c r="H2622" t="s"/>
      <c r="I2622" t="s"/>
      <c r="J2622" t="n">
        <v>0.765</v>
      </c>
      <c r="K2622" t="n">
        <v>0</v>
      </c>
      <c r="L2622" t="n">
        <v>0.68</v>
      </c>
      <c r="M2622" t="n">
        <v>0.32</v>
      </c>
    </row>
    <row r="2623" spans="1:13">
      <c r="A2623" s="1">
        <f>HYPERLINK("http://www.twitter.com/NathanBLawrence/status/977041263844261890", "977041263844261890")</f>
        <v/>
      </c>
      <c r="B2623" s="2" t="n">
        <v>43182.19171296297</v>
      </c>
      <c r="C2623" t="n">
        <v>0</v>
      </c>
      <c r="D2623" t="n">
        <v>180</v>
      </c>
      <c r="E2623" t="s">
        <v>2634</v>
      </c>
      <c r="F2623" t="s"/>
      <c r="G2623" t="s"/>
      <c r="H2623" t="s"/>
      <c r="I2623" t="s"/>
      <c r="J2623" t="n">
        <v>0.0431</v>
      </c>
      <c r="K2623" t="n">
        <v>0.154</v>
      </c>
      <c r="L2623" t="n">
        <v>0.6830000000000001</v>
      </c>
      <c r="M2623" t="n">
        <v>0.163</v>
      </c>
    </row>
    <row r="2624" spans="1:13">
      <c r="A2624" s="1">
        <f>HYPERLINK("http://www.twitter.com/NathanBLawrence/status/977040856116088833", "977040856116088833")</f>
        <v/>
      </c>
      <c r="B2624" s="2" t="n">
        <v>43182.19059027778</v>
      </c>
      <c r="C2624" t="n">
        <v>0</v>
      </c>
      <c r="D2624" t="n">
        <v>7065</v>
      </c>
      <c r="E2624" t="s">
        <v>2635</v>
      </c>
      <c r="F2624" t="s"/>
      <c r="G2624" t="s"/>
      <c r="H2624" t="s"/>
      <c r="I2624" t="s"/>
      <c r="J2624" t="n">
        <v>0.0516</v>
      </c>
      <c r="K2624" t="n">
        <v>0.083</v>
      </c>
      <c r="L2624" t="n">
        <v>0.827</v>
      </c>
      <c r="M2624" t="n">
        <v>0.09</v>
      </c>
    </row>
    <row r="2625" spans="1:13">
      <c r="A2625" s="1">
        <f>HYPERLINK("http://www.twitter.com/NathanBLawrence/status/977002711244853248", "977002711244853248")</f>
        <v/>
      </c>
      <c r="B2625" s="2" t="n">
        <v>43182.08532407408</v>
      </c>
      <c r="C2625" t="n">
        <v>0</v>
      </c>
      <c r="D2625" t="n">
        <v>194</v>
      </c>
      <c r="E2625" t="s">
        <v>2636</v>
      </c>
      <c r="F2625">
        <f>HYPERLINK("https://video.twimg.com/ext_tw_video/976984639612112901/pu/vid/640x360/TbsQd04RDCvgcm0T.mp4", "https://video.twimg.com/ext_tw_video/976984639612112901/pu/vid/640x360/TbsQd04RDCvgcm0T.mp4")</f>
        <v/>
      </c>
      <c r="G2625" t="s"/>
      <c r="H2625" t="s"/>
      <c r="I2625" t="s"/>
      <c r="J2625" t="n">
        <v>0</v>
      </c>
      <c r="K2625" t="n">
        <v>0</v>
      </c>
      <c r="L2625" t="n">
        <v>1</v>
      </c>
      <c r="M2625" t="n">
        <v>0</v>
      </c>
    </row>
    <row r="2626" spans="1:13">
      <c r="A2626" s="1">
        <f>HYPERLINK("http://www.twitter.com/NathanBLawrence/status/977001412780609537", "977001412780609537")</f>
        <v/>
      </c>
      <c r="B2626" s="2" t="n">
        <v>43182.08174768519</v>
      </c>
      <c r="C2626" t="n">
        <v>0</v>
      </c>
      <c r="D2626" t="n">
        <v>1559</v>
      </c>
      <c r="E2626" t="s">
        <v>2637</v>
      </c>
      <c r="F2626" t="s"/>
      <c r="G2626" t="s"/>
      <c r="H2626" t="s"/>
      <c r="I2626" t="s"/>
      <c r="J2626" t="n">
        <v>0</v>
      </c>
      <c r="K2626" t="n">
        <v>0</v>
      </c>
      <c r="L2626" t="n">
        <v>1</v>
      </c>
      <c r="M2626" t="n">
        <v>0</v>
      </c>
    </row>
    <row r="2627" spans="1:13">
      <c r="A2627" s="1">
        <f>HYPERLINK("http://www.twitter.com/NathanBLawrence/status/977001286313922560", "977001286313922560")</f>
        <v/>
      </c>
      <c r="B2627" s="2" t="n">
        <v>43182.08140046296</v>
      </c>
      <c r="C2627" t="n">
        <v>0</v>
      </c>
      <c r="D2627" t="n">
        <v>58</v>
      </c>
      <c r="E2627" t="s">
        <v>2638</v>
      </c>
      <c r="F2627" t="s"/>
      <c r="G2627" t="s"/>
      <c r="H2627" t="s"/>
      <c r="I2627" t="s"/>
      <c r="J2627" t="n">
        <v>0.5574</v>
      </c>
      <c r="K2627" t="n">
        <v>0</v>
      </c>
      <c r="L2627" t="n">
        <v>0.8129999999999999</v>
      </c>
      <c r="M2627" t="n">
        <v>0.187</v>
      </c>
    </row>
    <row r="2628" spans="1:13">
      <c r="A2628" s="1">
        <f>HYPERLINK("http://www.twitter.com/NathanBLawrence/status/976998555939418112", "976998555939418112")</f>
        <v/>
      </c>
      <c r="B2628" s="2" t="n">
        <v>43182.07386574074</v>
      </c>
      <c r="C2628" t="n">
        <v>0</v>
      </c>
      <c r="D2628" t="n">
        <v>2271</v>
      </c>
      <c r="E2628" t="s">
        <v>2639</v>
      </c>
      <c r="F2628" t="s"/>
      <c r="G2628" t="s"/>
      <c r="H2628" t="s"/>
      <c r="I2628" t="s"/>
      <c r="J2628" t="n">
        <v>0.4767</v>
      </c>
      <c r="K2628" t="n">
        <v>0</v>
      </c>
      <c r="L2628" t="n">
        <v>0.86</v>
      </c>
      <c r="M2628" t="n">
        <v>0.14</v>
      </c>
    </row>
    <row r="2629" spans="1:13">
      <c r="A2629" s="1">
        <f>HYPERLINK("http://www.twitter.com/NathanBLawrence/status/976997492758908931", "976997492758908931")</f>
        <v/>
      </c>
      <c r="B2629" s="2" t="n">
        <v>43182.07092592592</v>
      </c>
      <c r="C2629" t="n">
        <v>0</v>
      </c>
      <c r="D2629" t="n">
        <v>49</v>
      </c>
      <c r="E2629" t="s">
        <v>2640</v>
      </c>
      <c r="F2629">
        <f>HYPERLINK("http://pbs.twimg.com/media/DY2xbN6U8AA3Caf.jpg", "http://pbs.twimg.com/media/DY2xbN6U8AA3Caf.jpg")</f>
        <v/>
      </c>
      <c r="G2629" t="s"/>
      <c r="H2629" t="s"/>
      <c r="I2629" t="s"/>
      <c r="J2629" t="n">
        <v>0.6249</v>
      </c>
      <c r="K2629" t="n">
        <v>0</v>
      </c>
      <c r="L2629" t="n">
        <v>0.709</v>
      </c>
      <c r="M2629" t="n">
        <v>0.291</v>
      </c>
    </row>
    <row r="2630" spans="1:13">
      <c r="A2630" s="1">
        <f>HYPERLINK("http://www.twitter.com/NathanBLawrence/status/976997221400014853", "976997221400014853")</f>
        <v/>
      </c>
      <c r="B2630" s="2" t="n">
        <v>43182.07017361111</v>
      </c>
      <c r="C2630" t="n">
        <v>0</v>
      </c>
      <c r="D2630" t="n">
        <v>329</v>
      </c>
      <c r="E2630" t="s">
        <v>2641</v>
      </c>
      <c r="F2630">
        <f>HYPERLINK("http://pbs.twimg.com/media/DY4aqJsX4AAbG3b.jpg", "http://pbs.twimg.com/media/DY4aqJsX4AAbG3b.jpg")</f>
        <v/>
      </c>
      <c r="G2630" t="s"/>
      <c r="H2630" t="s"/>
      <c r="I2630" t="s"/>
      <c r="J2630" t="n">
        <v>0</v>
      </c>
      <c r="K2630" t="n">
        <v>0</v>
      </c>
      <c r="L2630" t="n">
        <v>1</v>
      </c>
      <c r="M2630" t="n">
        <v>0</v>
      </c>
    </row>
    <row r="2631" spans="1:13">
      <c r="A2631" s="1">
        <f>HYPERLINK("http://www.twitter.com/NathanBLawrence/status/976996730393845761", "976996730393845761")</f>
        <v/>
      </c>
      <c r="B2631" s="2" t="n">
        <v>43182.06881944444</v>
      </c>
      <c r="C2631" t="n">
        <v>0</v>
      </c>
      <c r="D2631" t="n">
        <v>803</v>
      </c>
      <c r="E2631" t="s">
        <v>2642</v>
      </c>
      <c r="F2631" t="s"/>
      <c r="G2631" t="s"/>
      <c r="H2631" t="s"/>
      <c r="I2631" t="s"/>
      <c r="J2631" t="n">
        <v>0.4404</v>
      </c>
      <c r="K2631" t="n">
        <v>0</v>
      </c>
      <c r="L2631" t="n">
        <v>0.879</v>
      </c>
      <c r="M2631" t="n">
        <v>0.121</v>
      </c>
    </row>
    <row r="2632" spans="1:13">
      <c r="A2632" s="1">
        <f>HYPERLINK("http://www.twitter.com/NathanBLawrence/status/976996516605911041", "976996516605911041")</f>
        <v/>
      </c>
      <c r="B2632" s="2" t="n">
        <v>43182.06822916667</v>
      </c>
      <c r="C2632" t="n">
        <v>0</v>
      </c>
      <c r="D2632" t="n">
        <v>64</v>
      </c>
      <c r="E2632" t="s">
        <v>2643</v>
      </c>
      <c r="F2632" t="s"/>
      <c r="G2632" t="s"/>
      <c r="H2632" t="s"/>
      <c r="I2632" t="s"/>
      <c r="J2632" t="n">
        <v>-0.6408</v>
      </c>
      <c r="K2632" t="n">
        <v>0.268</v>
      </c>
      <c r="L2632" t="n">
        <v>0.732</v>
      </c>
      <c r="M2632" t="n">
        <v>0</v>
      </c>
    </row>
    <row r="2633" spans="1:13">
      <c r="A2633" s="1">
        <f>HYPERLINK("http://www.twitter.com/NathanBLawrence/status/976995729595084800", "976995729595084800")</f>
        <v/>
      </c>
      <c r="B2633" s="2" t="n">
        <v>43182.06606481481</v>
      </c>
      <c r="C2633" t="n">
        <v>0</v>
      </c>
      <c r="D2633" t="n">
        <v>1</v>
      </c>
      <c r="E2633" t="s">
        <v>2644</v>
      </c>
      <c r="F2633" t="s"/>
      <c r="G2633" t="s"/>
      <c r="H2633" t="s"/>
      <c r="I2633" t="s"/>
      <c r="J2633" t="n">
        <v>0</v>
      </c>
      <c r="K2633" t="n">
        <v>0</v>
      </c>
      <c r="L2633" t="n">
        <v>1</v>
      </c>
      <c r="M2633" t="n">
        <v>0</v>
      </c>
    </row>
    <row r="2634" spans="1:13">
      <c r="A2634" s="1">
        <f>HYPERLINK("http://www.twitter.com/NathanBLawrence/status/976995122620575744", "976995122620575744")</f>
        <v/>
      </c>
      <c r="B2634" s="2" t="n">
        <v>43182.06438657407</v>
      </c>
      <c r="C2634" t="n">
        <v>0</v>
      </c>
      <c r="D2634" t="n">
        <v>2</v>
      </c>
      <c r="E2634" t="s">
        <v>2645</v>
      </c>
      <c r="F2634" t="s"/>
      <c r="G2634" t="s"/>
      <c r="H2634" t="s"/>
      <c r="I2634" t="s"/>
      <c r="J2634" t="n">
        <v>-0.5719</v>
      </c>
      <c r="K2634" t="n">
        <v>0.207</v>
      </c>
      <c r="L2634" t="n">
        <v>0.793</v>
      </c>
      <c r="M2634" t="n">
        <v>0</v>
      </c>
    </row>
    <row r="2635" spans="1:13">
      <c r="A2635" s="1">
        <f>HYPERLINK("http://www.twitter.com/NathanBLawrence/status/976994476509089792", "976994476509089792")</f>
        <v/>
      </c>
      <c r="B2635" s="2" t="n">
        <v>43182.06260416667</v>
      </c>
      <c r="C2635" t="n">
        <v>0</v>
      </c>
      <c r="D2635" t="n">
        <v>413</v>
      </c>
      <c r="E2635" t="s">
        <v>2646</v>
      </c>
      <c r="F2635" t="s"/>
      <c r="G2635" t="s"/>
      <c r="H2635" t="s"/>
      <c r="I2635" t="s"/>
      <c r="J2635" t="n">
        <v>0</v>
      </c>
      <c r="K2635" t="n">
        <v>0</v>
      </c>
      <c r="L2635" t="n">
        <v>1</v>
      </c>
      <c r="M2635" t="n">
        <v>0</v>
      </c>
    </row>
    <row r="2636" spans="1:13">
      <c r="A2636" s="1">
        <f>HYPERLINK("http://www.twitter.com/NathanBLawrence/status/976991124320645130", "976991124320645130")</f>
        <v/>
      </c>
      <c r="B2636" s="2" t="n">
        <v>43182.05335648148</v>
      </c>
      <c r="C2636" t="n">
        <v>0</v>
      </c>
      <c r="D2636" t="n">
        <v>369</v>
      </c>
      <c r="E2636" t="s">
        <v>2647</v>
      </c>
      <c r="F2636" t="s"/>
      <c r="G2636" t="s"/>
      <c r="H2636" t="s"/>
      <c r="I2636" t="s"/>
      <c r="J2636" t="n">
        <v>0.7481</v>
      </c>
      <c r="K2636" t="n">
        <v>0</v>
      </c>
      <c r="L2636" t="n">
        <v>0.715</v>
      </c>
      <c r="M2636" t="n">
        <v>0.285</v>
      </c>
    </row>
    <row r="2637" spans="1:13">
      <c r="A2637" s="1">
        <f>HYPERLINK("http://www.twitter.com/NathanBLawrence/status/976990854459084800", "976990854459084800")</f>
        <v/>
      </c>
      <c r="B2637" s="2" t="n">
        <v>43182.05260416667</v>
      </c>
      <c r="C2637" t="n">
        <v>0</v>
      </c>
      <c r="D2637" t="n">
        <v>595</v>
      </c>
      <c r="E2637" t="s">
        <v>2648</v>
      </c>
      <c r="F2637">
        <f>HYPERLINK("https://video.twimg.com/ext_tw_video/976971838235521025/pu/vid/640x360/qJoshvOSHB4pyO00.mp4", "https://video.twimg.com/ext_tw_video/976971838235521025/pu/vid/640x360/qJoshvOSHB4pyO00.mp4")</f>
        <v/>
      </c>
      <c r="G2637" t="s"/>
      <c r="H2637" t="s"/>
      <c r="I2637" t="s"/>
      <c r="J2637" t="n">
        <v>0</v>
      </c>
      <c r="K2637" t="n">
        <v>0</v>
      </c>
      <c r="L2637" t="n">
        <v>1</v>
      </c>
      <c r="M2637" t="n">
        <v>0</v>
      </c>
    </row>
    <row r="2638" spans="1:13">
      <c r="A2638" s="1">
        <f>HYPERLINK("http://www.twitter.com/NathanBLawrence/status/976990759860793345", "976990759860793345")</f>
        <v/>
      </c>
      <c r="B2638" s="2" t="n">
        <v>43182.05234953704</v>
      </c>
      <c r="C2638" t="n">
        <v>0</v>
      </c>
      <c r="D2638" t="n">
        <v>2668</v>
      </c>
      <c r="E2638" t="s">
        <v>2649</v>
      </c>
      <c r="F2638">
        <f>HYPERLINK("https://video.twimg.com/ext_tw_video/976529339352338432/pu/vid/640x360/W_9AYGYuQ9tD0i94.mp4", "https://video.twimg.com/ext_tw_video/976529339352338432/pu/vid/640x360/W_9AYGYuQ9tD0i94.mp4")</f>
        <v/>
      </c>
      <c r="G2638" t="s"/>
      <c r="H2638" t="s"/>
      <c r="I2638" t="s"/>
      <c r="J2638" t="n">
        <v>0</v>
      </c>
      <c r="K2638" t="n">
        <v>0</v>
      </c>
      <c r="L2638" t="n">
        <v>1</v>
      </c>
      <c r="M2638" t="n">
        <v>0</v>
      </c>
    </row>
    <row r="2639" spans="1:13">
      <c r="A2639" s="1">
        <f>HYPERLINK("http://www.twitter.com/NathanBLawrence/status/976990468922847232", "976990468922847232")</f>
        <v/>
      </c>
      <c r="B2639" s="2" t="n">
        <v>43182.05155092593</v>
      </c>
      <c r="C2639" t="n">
        <v>0</v>
      </c>
      <c r="D2639" t="n">
        <v>190</v>
      </c>
      <c r="E2639" t="s">
        <v>2650</v>
      </c>
      <c r="F2639">
        <f>HYPERLINK("http://pbs.twimg.com/media/DY6mEiPVQAAihr5.jpg", "http://pbs.twimg.com/media/DY6mEiPVQAAihr5.jpg")</f>
        <v/>
      </c>
      <c r="G2639" t="s"/>
      <c r="H2639" t="s"/>
      <c r="I2639" t="s"/>
      <c r="J2639" t="n">
        <v>-0.6705</v>
      </c>
      <c r="K2639" t="n">
        <v>0.216</v>
      </c>
      <c r="L2639" t="n">
        <v>0.784</v>
      </c>
      <c r="M2639" t="n">
        <v>0</v>
      </c>
    </row>
    <row r="2640" spans="1:13">
      <c r="A2640" s="1">
        <f>HYPERLINK("http://www.twitter.com/NathanBLawrence/status/976990321375633418", "976990321375633418")</f>
        <v/>
      </c>
      <c r="B2640" s="2" t="n">
        <v>43182.05113425926</v>
      </c>
      <c r="C2640" t="n">
        <v>0</v>
      </c>
      <c r="D2640" t="n">
        <v>71</v>
      </c>
      <c r="E2640" t="s">
        <v>2651</v>
      </c>
      <c r="F2640">
        <f>HYPERLINK("http://pbs.twimg.com/media/DY7yiDHVMAAKxKV.jpg", "http://pbs.twimg.com/media/DY7yiDHVMAAKxKV.jpg")</f>
        <v/>
      </c>
      <c r="G2640" t="s"/>
      <c r="H2640" t="s"/>
      <c r="I2640" t="s"/>
      <c r="J2640" t="n">
        <v>0</v>
      </c>
      <c r="K2640" t="n">
        <v>0</v>
      </c>
      <c r="L2640" t="n">
        <v>1</v>
      </c>
      <c r="M2640" t="n">
        <v>0</v>
      </c>
    </row>
    <row r="2641" spans="1:13">
      <c r="A2641" s="1">
        <f>HYPERLINK("http://www.twitter.com/NathanBLawrence/status/976990102500110336", "976990102500110336")</f>
        <v/>
      </c>
      <c r="B2641" s="2" t="n">
        <v>43182.0505324074</v>
      </c>
      <c r="C2641" t="n">
        <v>0</v>
      </c>
      <c r="D2641" t="n">
        <v>2</v>
      </c>
      <c r="E2641" t="s">
        <v>2652</v>
      </c>
      <c r="F2641" t="s"/>
      <c r="G2641" t="s"/>
      <c r="H2641" t="s"/>
      <c r="I2641" t="s"/>
      <c r="J2641" t="n">
        <v>-0.34</v>
      </c>
      <c r="K2641" t="n">
        <v>0.167</v>
      </c>
      <c r="L2641" t="n">
        <v>0.833</v>
      </c>
      <c r="M2641" t="n">
        <v>0</v>
      </c>
    </row>
    <row r="2642" spans="1:13">
      <c r="A2642" s="1">
        <f>HYPERLINK("http://www.twitter.com/NathanBLawrence/status/976989664082087938", "976989664082087938")</f>
        <v/>
      </c>
      <c r="B2642" s="2" t="n">
        <v>43182.0493287037</v>
      </c>
      <c r="C2642" t="n">
        <v>0</v>
      </c>
      <c r="D2642" t="n">
        <v>205</v>
      </c>
      <c r="E2642" t="s">
        <v>2653</v>
      </c>
      <c r="F2642" t="s"/>
      <c r="G2642" t="s"/>
      <c r="H2642" t="s"/>
      <c r="I2642" t="s"/>
      <c r="J2642" t="n">
        <v>0</v>
      </c>
      <c r="K2642" t="n">
        <v>0</v>
      </c>
      <c r="L2642" t="n">
        <v>1</v>
      </c>
      <c r="M2642" t="n">
        <v>0</v>
      </c>
    </row>
    <row r="2643" spans="1:13">
      <c r="A2643" s="1">
        <f>HYPERLINK("http://www.twitter.com/NathanBLawrence/status/976987217053802496", "976987217053802496")</f>
        <v/>
      </c>
      <c r="B2643" s="2" t="n">
        <v>43182.04256944444</v>
      </c>
      <c r="C2643" t="n">
        <v>0</v>
      </c>
      <c r="D2643" t="n">
        <v>11</v>
      </c>
      <c r="E2643" t="s">
        <v>2654</v>
      </c>
      <c r="F2643">
        <f>HYPERLINK("http://pbs.twimg.com/media/DY7uxnvUQAAY8qN.jpg", "http://pbs.twimg.com/media/DY7uxnvUQAAY8qN.jpg")</f>
        <v/>
      </c>
      <c r="G2643" t="s"/>
      <c r="H2643" t="s"/>
      <c r="I2643" t="s"/>
      <c r="J2643" t="n">
        <v>0.54</v>
      </c>
      <c r="K2643" t="n">
        <v>0</v>
      </c>
      <c r="L2643" t="n">
        <v>0.858</v>
      </c>
      <c r="M2643" t="n">
        <v>0.142</v>
      </c>
    </row>
    <row r="2644" spans="1:13">
      <c r="A2644" s="1">
        <f>HYPERLINK("http://www.twitter.com/NathanBLawrence/status/976986866850435072", "976986866850435072")</f>
        <v/>
      </c>
      <c r="B2644" s="2" t="n">
        <v>43182.04160879629</v>
      </c>
      <c r="C2644" t="n">
        <v>0</v>
      </c>
      <c r="D2644" t="n">
        <v>5735</v>
      </c>
      <c r="E2644" t="s">
        <v>2655</v>
      </c>
      <c r="F2644" t="s"/>
      <c r="G2644" t="s"/>
      <c r="H2644" t="s"/>
      <c r="I2644" t="s"/>
      <c r="J2644" t="n">
        <v>0</v>
      </c>
      <c r="K2644" t="n">
        <v>0</v>
      </c>
      <c r="L2644" t="n">
        <v>1</v>
      </c>
      <c r="M2644" t="n">
        <v>0</v>
      </c>
    </row>
    <row r="2645" spans="1:13">
      <c r="A2645" s="1">
        <f>HYPERLINK("http://www.twitter.com/NathanBLawrence/status/976940398437421057", "976940398437421057")</f>
        <v/>
      </c>
      <c r="B2645" s="2" t="n">
        <v>43181.91337962963</v>
      </c>
      <c r="C2645" t="n">
        <v>0</v>
      </c>
      <c r="D2645" t="n">
        <v>1844</v>
      </c>
      <c r="E2645" t="s">
        <v>2656</v>
      </c>
      <c r="F2645" t="s"/>
      <c r="G2645" t="s"/>
      <c r="H2645" t="s"/>
      <c r="I2645" t="s"/>
      <c r="J2645" t="n">
        <v>-0.4215</v>
      </c>
      <c r="K2645" t="n">
        <v>0.135</v>
      </c>
      <c r="L2645" t="n">
        <v>0.865</v>
      </c>
      <c r="M2645" t="n">
        <v>0</v>
      </c>
    </row>
    <row r="2646" spans="1:13">
      <c r="A2646" s="1">
        <f>HYPERLINK("http://www.twitter.com/NathanBLawrence/status/976940307324588032", "976940307324588032")</f>
        <v/>
      </c>
      <c r="B2646" s="2" t="n">
        <v>43181.913125</v>
      </c>
      <c r="C2646" t="n">
        <v>0</v>
      </c>
      <c r="D2646" t="n">
        <v>549</v>
      </c>
      <c r="E2646" t="s">
        <v>2657</v>
      </c>
      <c r="F2646" t="s"/>
      <c r="G2646" t="s"/>
      <c r="H2646" t="s"/>
      <c r="I2646" t="s"/>
      <c r="J2646" t="n">
        <v>-0.5256</v>
      </c>
      <c r="K2646" t="n">
        <v>0.159</v>
      </c>
      <c r="L2646" t="n">
        <v>0.841</v>
      </c>
      <c r="M2646" t="n">
        <v>0</v>
      </c>
    </row>
    <row r="2647" spans="1:13">
      <c r="A2647" s="1">
        <f>HYPERLINK("http://www.twitter.com/NathanBLawrence/status/976938357153509376", "976938357153509376")</f>
        <v/>
      </c>
      <c r="B2647" s="2" t="n">
        <v>43181.90774305556</v>
      </c>
      <c r="C2647" t="n">
        <v>0</v>
      </c>
      <c r="D2647" t="n">
        <v>42</v>
      </c>
      <c r="E2647" t="s">
        <v>2658</v>
      </c>
      <c r="F2647" t="s"/>
      <c r="G2647" t="s"/>
      <c r="H2647" t="s"/>
      <c r="I2647" t="s"/>
      <c r="J2647" t="n">
        <v>0</v>
      </c>
      <c r="K2647" t="n">
        <v>0</v>
      </c>
      <c r="L2647" t="n">
        <v>1</v>
      </c>
      <c r="M2647" t="n">
        <v>0</v>
      </c>
    </row>
    <row r="2648" spans="1:13">
      <c r="A2648" s="1">
        <f>HYPERLINK("http://www.twitter.com/NathanBLawrence/status/976937181045510144", "976937181045510144")</f>
        <v/>
      </c>
      <c r="B2648" s="2" t="n">
        <v>43181.90450231481</v>
      </c>
      <c r="C2648" t="n">
        <v>0</v>
      </c>
      <c r="D2648" t="n">
        <v>2523</v>
      </c>
      <c r="E2648" t="s">
        <v>2659</v>
      </c>
      <c r="F2648">
        <f>HYPERLINK("https://video.twimg.com/ext_tw_video/976824023022755840/pu/vid/1280x720/MD7ISHdVTxuDJgFV.mp4", "https://video.twimg.com/ext_tw_video/976824023022755840/pu/vid/1280x720/MD7ISHdVTxuDJgFV.mp4")</f>
        <v/>
      </c>
      <c r="G2648" t="s"/>
      <c r="H2648" t="s"/>
      <c r="I2648" t="s"/>
      <c r="J2648" t="n">
        <v>0.4215</v>
      </c>
      <c r="K2648" t="n">
        <v>0.109</v>
      </c>
      <c r="L2648" t="n">
        <v>0.677</v>
      </c>
      <c r="M2648" t="n">
        <v>0.214</v>
      </c>
    </row>
    <row r="2649" spans="1:13">
      <c r="A2649" s="1">
        <f>HYPERLINK("http://www.twitter.com/NathanBLawrence/status/976934008574676992", "976934008574676992")</f>
        <v/>
      </c>
      <c r="B2649" s="2" t="n">
        <v>43181.89574074074</v>
      </c>
      <c r="C2649" t="n">
        <v>0</v>
      </c>
      <c r="D2649" t="n">
        <v>129</v>
      </c>
      <c r="E2649" t="s">
        <v>2660</v>
      </c>
      <c r="F2649" t="s"/>
      <c r="G2649" t="s"/>
      <c r="H2649" t="s"/>
      <c r="I2649" t="s"/>
      <c r="J2649" t="n">
        <v>-0.5994</v>
      </c>
      <c r="K2649" t="n">
        <v>0.178</v>
      </c>
      <c r="L2649" t="n">
        <v>0.822</v>
      </c>
      <c r="M2649" t="n">
        <v>0</v>
      </c>
    </row>
    <row r="2650" spans="1:13">
      <c r="A2650" s="1">
        <f>HYPERLINK("http://www.twitter.com/NathanBLawrence/status/976933150440898560", "976933150440898560")</f>
        <v/>
      </c>
      <c r="B2650" s="2" t="n">
        <v>43181.89337962963</v>
      </c>
      <c r="C2650" t="n">
        <v>0</v>
      </c>
      <c r="D2650" t="n">
        <v>180</v>
      </c>
      <c r="E2650" t="s">
        <v>2661</v>
      </c>
      <c r="F2650">
        <f>HYPERLINK("http://pbs.twimg.com/media/DY6GBgDX4AA53LT.jpg", "http://pbs.twimg.com/media/DY6GBgDX4AA53LT.jpg")</f>
        <v/>
      </c>
      <c r="G2650" t="s"/>
      <c r="H2650" t="s"/>
      <c r="I2650" t="s"/>
      <c r="J2650" t="n">
        <v>0</v>
      </c>
      <c r="K2650" t="n">
        <v>0</v>
      </c>
      <c r="L2650" t="n">
        <v>1</v>
      </c>
      <c r="M2650" t="n">
        <v>0</v>
      </c>
    </row>
    <row r="2651" spans="1:13">
      <c r="A2651" s="1">
        <f>HYPERLINK("http://www.twitter.com/NathanBLawrence/status/976933096808382467", "976933096808382467")</f>
        <v/>
      </c>
      <c r="B2651" s="2" t="n">
        <v>43181.89322916666</v>
      </c>
      <c r="C2651" t="n">
        <v>0</v>
      </c>
      <c r="D2651" t="n">
        <v>84</v>
      </c>
      <c r="E2651" t="s">
        <v>2662</v>
      </c>
      <c r="F2651">
        <f>HYPERLINK("http://pbs.twimg.com/media/DY4xQK-WsAAeJU_.jpg", "http://pbs.twimg.com/media/DY4xQK-WsAAeJU_.jpg")</f>
        <v/>
      </c>
      <c r="G2651" t="s"/>
      <c r="H2651" t="s"/>
      <c r="I2651" t="s"/>
      <c r="J2651" t="n">
        <v>-0.6103</v>
      </c>
      <c r="K2651" t="n">
        <v>0.331</v>
      </c>
      <c r="L2651" t="n">
        <v>0.529</v>
      </c>
      <c r="M2651" t="n">
        <v>0.14</v>
      </c>
    </row>
    <row r="2652" spans="1:13">
      <c r="A2652" s="1">
        <f>HYPERLINK("http://www.twitter.com/NathanBLawrence/status/976932643664203777", "976932643664203777")</f>
        <v/>
      </c>
      <c r="B2652" s="2" t="n">
        <v>43181.89197916666</v>
      </c>
      <c r="C2652" t="n">
        <v>0</v>
      </c>
      <c r="D2652" t="n">
        <v>76</v>
      </c>
      <c r="E2652" t="s">
        <v>2663</v>
      </c>
      <c r="F2652">
        <f>HYPERLINK("http://pbs.twimg.com/media/DY6_eFLXkAI8hwL.jpg", "http://pbs.twimg.com/media/DY6_eFLXkAI8hwL.jpg")</f>
        <v/>
      </c>
      <c r="G2652" t="s"/>
      <c r="H2652" t="s"/>
      <c r="I2652" t="s"/>
      <c r="J2652" t="n">
        <v>0</v>
      </c>
      <c r="K2652" t="n">
        <v>0</v>
      </c>
      <c r="L2652" t="n">
        <v>1</v>
      </c>
      <c r="M2652" t="n">
        <v>0</v>
      </c>
    </row>
    <row r="2653" spans="1:13">
      <c r="A2653" s="1">
        <f>HYPERLINK("http://www.twitter.com/NathanBLawrence/status/976931601593626625", "976931601593626625")</f>
        <v/>
      </c>
      <c r="B2653" s="2" t="n">
        <v>43181.88909722222</v>
      </c>
      <c r="C2653" t="n">
        <v>0</v>
      </c>
      <c r="D2653" t="n">
        <v>73</v>
      </c>
      <c r="E2653" t="s">
        <v>2664</v>
      </c>
      <c r="F2653">
        <f>HYPERLINK("http://pbs.twimg.com/media/DY7BRFrXUAEAOkm.jpg", "http://pbs.twimg.com/media/DY7BRFrXUAEAOkm.jpg")</f>
        <v/>
      </c>
      <c r="G2653">
        <f>HYPERLINK("http://pbs.twimg.com/media/DY7BRQsX0AEOrh2.jpg", "http://pbs.twimg.com/media/DY7BRQsX0AEOrh2.jpg")</f>
        <v/>
      </c>
      <c r="H2653">
        <f>HYPERLINK("http://pbs.twimg.com/media/DY7BRWzWAAIWMM-.jpg", "http://pbs.twimg.com/media/DY7BRWzWAAIWMM-.jpg")</f>
        <v/>
      </c>
      <c r="I2653">
        <f>HYPERLINK("http://pbs.twimg.com/media/DY7BRefWsAMsKZ-.jpg", "http://pbs.twimg.com/media/DY7BRefWsAMsKZ-.jpg")</f>
        <v/>
      </c>
      <c r="J2653" t="n">
        <v>0.8126</v>
      </c>
      <c r="K2653" t="n">
        <v>0</v>
      </c>
      <c r="L2653" t="n">
        <v>0.714</v>
      </c>
      <c r="M2653" t="n">
        <v>0.286</v>
      </c>
    </row>
    <row r="2654" spans="1:13">
      <c r="A2654" s="1">
        <f>HYPERLINK("http://www.twitter.com/NathanBLawrence/status/976926898839343105", "976926898839343105")</f>
        <v/>
      </c>
      <c r="B2654" s="2" t="n">
        <v>43181.87612268519</v>
      </c>
      <c r="C2654" t="n">
        <v>0</v>
      </c>
      <c r="D2654" t="n">
        <v>77</v>
      </c>
      <c r="E2654" t="s">
        <v>2665</v>
      </c>
      <c r="F2654">
        <f>HYPERLINK("http://pbs.twimg.com/media/DY5-V3dXUAEtSOs.jpg", "http://pbs.twimg.com/media/DY5-V3dXUAEtSOs.jpg")</f>
        <v/>
      </c>
      <c r="G2654" t="s"/>
      <c r="H2654" t="s"/>
      <c r="I2654" t="s"/>
      <c r="J2654" t="n">
        <v>0.3041</v>
      </c>
      <c r="K2654" t="n">
        <v>0.094</v>
      </c>
      <c r="L2654" t="n">
        <v>0.726</v>
      </c>
      <c r="M2654" t="n">
        <v>0.18</v>
      </c>
    </row>
    <row r="2655" spans="1:13">
      <c r="A2655" s="1">
        <f>HYPERLINK("http://www.twitter.com/NathanBLawrence/status/976924637669019648", "976924637669019648")</f>
        <v/>
      </c>
      <c r="B2655" s="2" t="n">
        <v>43181.86988425926</v>
      </c>
      <c r="C2655" t="n">
        <v>0</v>
      </c>
      <c r="D2655" t="n">
        <v>60</v>
      </c>
      <c r="E2655" t="s">
        <v>2666</v>
      </c>
      <c r="F2655">
        <f>HYPERLINK("http://pbs.twimg.com/media/DY5N49sWsAAJWuH.jpg", "http://pbs.twimg.com/media/DY5N49sWsAAJWuH.jpg")</f>
        <v/>
      </c>
      <c r="G2655" t="s"/>
      <c r="H2655" t="s"/>
      <c r="I2655" t="s"/>
      <c r="J2655" t="n">
        <v>-0.0772</v>
      </c>
      <c r="K2655" t="n">
        <v>0.056</v>
      </c>
      <c r="L2655" t="n">
        <v>0.944</v>
      </c>
      <c r="M2655" t="n">
        <v>0</v>
      </c>
    </row>
    <row r="2656" spans="1:13">
      <c r="A2656" s="1">
        <f>HYPERLINK("http://www.twitter.com/NathanBLawrence/status/976912209774350336", "976912209774350336")</f>
        <v/>
      </c>
      <c r="B2656" s="2" t="n">
        <v>43181.83559027778</v>
      </c>
      <c r="C2656" t="n">
        <v>0</v>
      </c>
      <c r="D2656" t="n">
        <v>524</v>
      </c>
      <c r="E2656" t="s">
        <v>2667</v>
      </c>
      <c r="F2656" t="s"/>
      <c r="G2656" t="s"/>
      <c r="H2656" t="s"/>
      <c r="I2656" t="s"/>
      <c r="J2656" t="n">
        <v>0</v>
      </c>
      <c r="K2656" t="n">
        <v>0</v>
      </c>
      <c r="L2656" t="n">
        <v>1</v>
      </c>
      <c r="M2656" t="n">
        <v>0</v>
      </c>
    </row>
    <row r="2657" spans="1:13">
      <c r="A2657" s="1">
        <f>HYPERLINK("http://www.twitter.com/NathanBLawrence/status/976912021034815488", "976912021034815488")</f>
        <v/>
      </c>
      <c r="B2657" s="2" t="n">
        <v>43181.83506944445</v>
      </c>
      <c r="C2657" t="n">
        <v>0</v>
      </c>
      <c r="D2657" t="n">
        <v>630</v>
      </c>
      <c r="E2657" t="s">
        <v>2668</v>
      </c>
      <c r="F2657">
        <f>HYPERLINK("http://pbs.twimg.com/media/DY6tMvxVQAE4z5R.jpg", "http://pbs.twimg.com/media/DY6tMvxVQAE4z5R.jpg")</f>
        <v/>
      </c>
      <c r="G2657" t="s"/>
      <c r="H2657" t="s"/>
      <c r="I2657" t="s"/>
      <c r="J2657" t="n">
        <v>0</v>
      </c>
      <c r="K2657" t="n">
        <v>0</v>
      </c>
      <c r="L2657" t="n">
        <v>1</v>
      </c>
      <c r="M2657" t="n">
        <v>0</v>
      </c>
    </row>
    <row r="2658" spans="1:13">
      <c r="A2658" s="1">
        <f>HYPERLINK("http://www.twitter.com/NathanBLawrence/status/976911810912833541", "976911810912833541")</f>
        <v/>
      </c>
      <c r="B2658" s="2" t="n">
        <v>43181.83449074074</v>
      </c>
      <c r="C2658" t="n">
        <v>0</v>
      </c>
      <c r="D2658" t="n">
        <v>56</v>
      </c>
      <c r="E2658" t="s">
        <v>2669</v>
      </c>
      <c r="F2658">
        <f>HYPERLINK("http://pbs.twimg.com/media/DY6urOtVwAAri4J.jpg", "http://pbs.twimg.com/media/DY6urOtVwAAri4J.jpg")</f>
        <v/>
      </c>
      <c r="G2658" t="s"/>
      <c r="H2658" t="s"/>
      <c r="I2658" t="s"/>
      <c r="J2658" t="n">
        <v>0</v>
      </c>
      <c r="K2658" t="n">
        <v>0</v>
      </c>
      <c r="L2658" t="n">
        <v>1</v>
      </c>
      <c r="M2658" t="n">
        <v>0</v>
      </c>
    </row>
    <row r="2659" spans="1:13">
      <c r="A2659" s="1">
        <f>HYPERLINK("http://www.twitter.com/NathanBLawrence/status/976910154263179265", "976910154263179265")</f>
        <v/>
      </c>
      <c r="B2659" s="2" t="n">
        <v>43181.82991898148</v>
      </c>
      <c r="C2659" t="n">
        <v>0</v>
      </c>
      <c r="D2659" t="n">
        <v>401</v>
      </c>
      <c r="E2659" t="s">
        <v>2670</v>
      </c>
      <c r="F2659">
        <f>HYPERLINK("http://pbs.twimg.com/media/Cv4hhXgVUAA8VwE.jpg", "http://pbs.twimg.com/media/Cv4hhXgVUAA8VwE.jpg")</f>
        <v/>
      </c>
      <c r="G2659" t="s"/>
      <c r="H2659" t="s"/>
      <c r="I2659" t="s"/>
      <c r="J2659" t="n">
        <v>0</v>
      </c>
      <c r="K2659" t="n">
        <v>0</v>
      </c>
      <c r="L2659" t="n">
        <v>1</v>
      </c>
      <c r="M2659" t="n">
        <v>0</v>
      </c>
    </row>
    <row r="2660" spans="1:13">
      <c r="A2660" s="1">
        <f>HYPERLINK("http://www.twitter.com/NathanBLawrence/status/976909760976039937", "976909760976039937")</f>
        <v/>
      </c>
      <c r="B2660" s="2" t="n">
        <v>43181.82883101852</v>
      </c>
      <c r="C2660" t="n">
        <v>0</v>
      </c>
      <c r="D2660" t="n">
        <v>23</v>
      </c>
      <c r="E2660" t="s">
        <v>2671</v>
      </c>
      <c r="F2660" t="s"/>
      <c r="G2660" t="s"/>
      <c r="H2660" t="s"/>
      <c r="I2660" t="s"/>
      <c r="J2660" t="n">
        <v>0.7125</v>
      </c>
      <c r="K2660" t="n">
        <v>0</v>
      </c>
      <c r="L2660" t="n">
        <v>0.752</v>
      </c>
      <c r="M2660" t="n">
        <v>0.248</v>
      </c>
    </row>
    <row r="2661" spans="1:13">
      <c r="A2661" s="1">
        <f>HYPERLINK("http://www.twitter.com/NathanBLawrence/status/976909028403154944", "976909028403154944")</f>
        <v/>
      </c>
      <c r="B2661" s="2" t="n">
        <v>43181.82681712963</v>
      </c>
      <c r="C2661" t="n">
        <v>0</v>
      </c>
      <c r="D2661" t="n">
        <v>332</v>
      </c>
      <c r="E2661" t="s">
        <v>2672</v>
      </c>
      <c r="F2661">
        <f>HYPERLINK("https://video.twimg.com/ext_tw_video/976901203169722368/pu/vid/1280x720/xIYD99FBa-1-kX9n.mp4", "https://video.twimg.com/ext_tw_video/976901203169722368/pu/vid/1280x720/xIYD99FBa-1-kX9n.mp4")</f>
        <v/>
      </c>
      <c r="G2661" t="s"/>
      <c r="H2661" t="s"/>
      <c r="I2661" t="s"/>
      <c r="J2661" t="n">
        <v>0</v>
      </c>
      <c r="K2661" t="n">
        <v>0</v>
      </c>
      <c r="L2661" t="n">
        <v>1</v>
      </c>
      <c r="M2661" t="n">
        <v>0</v>
      </c>
    </row>
    <row r="2662" spans="1:13">
      <c r="A2662" s="1">
        <f>HYPERLINK("http://www.twitter.com/NathanBLawrence/status/976908853387382784", "976908853387382784")</f>
        <v/>
      </c>
      <c r="B2662" s="2" t="n">
        <v>43181.82633101852</v>
      </c>
      <c r="C2662" t="n">
        <v>0</v>
      </c>
      <c r="D2662" t="n">
        <v>7</v>
      </c>
      <c r="E2662" t="s">
        <v>2673</v>
      </c>
      <c r="F2662" t="s"/>
      <c r="G2662" t="s"/>
      <c r="H2662" t="s"/>
      <c r="I2662" t="s"/>
      <c r="J2662" t="n">
        <v>-0.2732</v>
      </c>
      <c r="K2662" t="n">
        <v>0.189</v>
      </c>
      <c r="L2662" t="n">
        <v>0.8110000000000001</v>
      </c>
      <c r="M2662" t="n">
        <v>0</v>
      </c>
    </row>
    <row r="2663" spans="1:13">
      <c r="A2663" s="1">
        <f>HYPERLINK("http://www.twitter.com/NathanBLawrence/status/976906604862955522", "976906604862955522")</f>
        <v/>
      </c>
      <c r="B2663" s="2" t="n">
        <v>43181.82012731482</v>
      </c>
      <c r="C2663" t="n">
        <v>0</v>
      </c>
      <c r="D2663" t="n">
        <v>8</v>
      </c>
      <c r="E2663" t="s">
        <v>2674</v>
      </c>
      <c r="F2663" t="s"/>
      <c r="G2663" t="s"/>
      <c r="H2663" t="s"/>
      <c r="I2663" t="s"/>
      <c r="J2663" t="n">
        <v>-0.5719</v>
      </c>
      <c r="K2663" t="n">
        <v>0.217</v>
      </c>
      <c r="L2663" t="n">
        <v>0.783</v>
      </c>
      <c r="M2663" t="n">
        <v>0</v>
      </c>
    </row>
    <row r="2664" spans="1:13">
      <c r="A2664" s="1">
        <f>HYPERLINK("http://www.twitter.com/NathanBLawrence/status/976879179965845504", "976879179965845504")</f>
        <v/>
      </c>
      <c r="B2664" s="2" t="n">
        <v>43181.74444444444</v>
      </c>
      <c r="C2664" t="n">
        <v>0</v>
      </c>
      <c r="D2664" t="n">
        <v>339</v>
      </c>
      <c r="E2664" t="s">
        <v>2675</v>
      </c>
      <c r="F2664">
        <f>HYPERLINK("http://pbs.twimg.com/media/DY5fswxX4AIfkL7.jpg", "http://pbs.twimg.com/media/DY5fswxX4AIfkL7.jpg")</f>
        <v/>
      </c>
      <c r="G2664" t="s"/>
      <c r="H2664" t="s"/>
      <c r="I2664" t="s"/>
      <c r="J2664" t="n">
        <v>0.8854</v>
      </c>
      <c r="K2664" t="n">
        <v>0</v>
      </c>
      <c r="L2664" t="n">
        <v>0.658</v>
      </c>
      <c r="M2664" t="n">
        <v>0.342</v>
      </c>
    </row>
    <row r="2665" spans="1:13">
      <c r="A2665" s="1">
        <f>HYPERLINK("http://www.twitter.com/NathanBLawrence/status/976878608768749568", "976878608768749568")</f>
        <v/>
      </c>
      <c r="B2665" s="2" t="n">
        <v>43181.74287037037</v>
      </c>
      <c r="C2665" t="n">
        <v>0</v>
      </c>
      <c r="D2665" t="n">
        <v>130</v>
      </c>
      <c r="E2665" t="s">
        <v>2676</v>
      </c>
      <c r="F2665">
        <f>HYPERLINK("https://video.twimg.com/ext_tw_video/976846031819362305/pu/vid/720x720/W9dVO7DCjwwM4v0g.mp4", "https://video.twimg.com/ext_tw_video/976846031819362305/pu/vid/720x720/W9dVO7DCjwwM4v0g.mp4")</f>
        <v/>
      </c>
      <c r="G2665" t="s"/>
      <c r="H2665" t="s"/>
      <c r="I2665" t="s"/>
      <c r="J2665" t="n">
        <v>0.5754</v>
      </c>
      <c r="K2665" t="n">
        <v>0</v>
      </c>
      <c r="L2665" t="n">
        <v>0.836</v>
      </c>
      <c r="M2665" t="n">
        <v>0.164</v>
      </c>
    </row>
    <row r="2666" spans="1:13">
      <c r="A2666" s="1">
        <f>HYPERLINK("http://www.twitter.com/NathanBLawrence/status/976877807363125253", "976877807363125253")</f>
        <v/>
      </c>
      <c r="B2666" s="2" t="n">
        <v>43181.74065972222</v>
      </c>
      <c r="C2666" t="n">
        <v>0</v>
      </c>
      <c r="D2666" t="n">
        <v>51</v>
      </c>
      <c r="E2666" t="s">
        <v>2677</v>
      </c>
      <c r="F2666">
        <f>HYPERLINK("http://pbs.twimg.com/media/DY6OUMfWAAInJI-.jpg", "http://pbs.twimg.com/media/DY6OUMfWAAInJI-.jpg")</f>
        <v/>
      </c>
      <c r="G2666" t="s"/>
      <c r="H2666" t="s"/>
      <c r="I2666" t="s"/>
      <c r="J2666" t="n">
        <v>0</v>
      </c>
      <c r="K2666" t="n">
        <v>0</v>
      </c>
      <c r="L2666" t="n">
        <v>1</v>
      </c>
      <c r="M2666" t="n">
        <v>0</v>
      </c>
    </row>
    <row r="2667" spans="1:13">
      <c r="A2667" s="1">
        <f>HYPERLINK("http://www.twitter.com/NathanBLawrence/status/976877744817655808", "976877744817655808")</f>
        <v/>
      </c>
      <c r="B2667" s="2" t="n">
        <v>43181.74048611111</v>
      </c>
      <c r="C2667" t="n">
        <v>0</v>
      </c>
      <c r="D2667" t="n">
        <v>795</v>
      </c>
      <c r="E2667" t="s">
        <v>2678</v>
      </c>
      <c r="F2667">
        <f>HYPERLINK("http://pbs.twimg.com/media/DY6KDyPXcAARXTE.jpg", "http://pbs.twimg.com/media/DY6KDyPXcAARXTE.jpg")</f>
        <v/>
      </c>
      <c r="G2667">
        <f>HYPERLINK("http://pbs.twimg.com/media/DY6KMbAXkAI5LuA.jpg", "http://pbs.twimg.com/media/DY6KMbAXkAI5LuA.jpg")</f>
        <v/>
      </c>
      <c r="H2667" t="s"/>
      <c r="I2667" t="s"/>
      <c r="J2667" t="n">
        <v>0.7034</v>
      </c>
      <c r="K2667" t="n">
        <v>0</v>
      </c>
      <c r="L2667" t="n">
        <v>0.774</v>
      </c>
      <c r="M2667" t="n">
        <v>0.226</v>
      </c>
    </row>
    <row r="2668" spans="1:13">
      <c r="A2668" s="1">
        <f>HYPERLINK("http://www.twitter.com/NathanBLawrence/status/976877612642467841", "976877612642467841")</f>
        <v/>
      </c>
      <c r="B2668" s="2" t="n">
        <v>43181.74012731481</v>
      </c>
      <c r="C2668" t="n">
        <v>0</v>
      </c>
      <c r="D2668" t="n">
        <v>956</v>
      </c>
      <c r="E2668" t="s">
        <v>2679</v>
      </c>
      <c r="F2668" t="s"/>
      <c r="G2668" t="s"/>
      <c r="H2668" t="s"/>
      <c r="I2668" t="s"/>
      <c r="J2668" t="n">
        <v>0</v>
      </c>
      <c r="K2668" t="n">
        <v>0</v>
      </c>
      <c r="L2668" t="n">
        <v>1</v>
      </c>
      <c r="M2668" t="n">
        <v>0</v>
      </c>
    </row>
    <row r="2669" spans="1:13">
      <c r="A2669" s="1">
        <f>HYPERLINK("http://www.twitter.com/NathanBLawrence/status/976877364398485505", "976877364398485505")</f>
        <v/>
      </c>
      <c r="B2669" s="2" t="n">
        <v>43181.73943287037</v>
      </c>
      <c r="C2669" t="n">
        <v>0</v>
      </c>
      <c r="D2669" t="n">
        <v>819</v>
      </c>
      <c r="E2669" t="s">
        <v>2680</v>
      </c>
      <c r="F2669">
        <f>HYPERLINK("http://pbs.twimg.com/media/DY6AJlhXUAEaTxA.jpg", "http://pbs.twimg.com/media/DY6AJlhXUAEaTxA.jpg")</f>
        <v/>
      </c>
      <c r="G2669" t="s"/>
      <c r="H2669" t="s"/>
      <c r="I2669" t="s"/>
      <c r="J2669" t="n">
        <v>0</v>
      </c>
      <c r="K2669" t="n">
        <v>0</v>
      </c>
      <c r="L2669" t="n">
        <v>1</v>
      </c>
      <c r="M2669" t="n">
        <v>0</v>
      </c>
    </row>
    <row r="2670" spans="1:13">
      <c r="A2670" s="1">
        <f>HYPERLINK("http://www.twitter.com/NathanBLawrence/status/976875747997618176", "976875747997618176")</f>
        <v/>
      </c>
      <c r="B2670" s="2" t="n">
        <v>43181.73497685185</v>
      </c>
      <c r="C2670" t="n">
        <v>0</v>
      </c>
      <c r="D2670" t="n">
        <v>68</v>
      </c>
      <c r="E2670" t="s">
        <v>2681</v>
      </c>
      <c r="F2670">
        <f>HYPERLINK("http://pbs.twimg.com/media/DY6LDljXkAEKYU1.jpg", "http://pbs.twimg.com/media/DY6LDljXkAEKYU1.jpg")</f>
        <v/>
      </c>
      <c r="G2670" t="s"/>
      <c r="H2670" t="s"/>
      <c r="I2670" t="s"/>
      <c r="J2670" t="n">
        <v>0.4753</v>
      </c>
      <c r="K2670" t="n">
        <v>0</v>
      </c>
      <c r="L2670" t="n">
        <v>0.795</v>
      </c>
      <c r="M2670" t="n">
        <v>0.205</v>
      </c>
    </row>
    <row r="2671" spans="1:13">
      <c r="A2671" s="1">
        <f>HYPERLINK("http://www.twitter.com/NathanBLawrence/status/976875686521696257", "976875686521696257")</f>
        <v/>
      </c>
      <c r="B2671" s="2" t="n">
        <v>43181.73480324074</v>
      </c>
      <c r="C2671" t="n">
        <v>0</v>
      </c>
      <c r="D2671" t="n">
        <v>81</v>
      </c>
      <c r="E2671" t="s">
        <v>2682</v>
      </c>
      <c r="F2671">
        <f>HYPERLINK("http://pbs.twimg.com/media/DY6Ir9lW0AAe5ZM.jpg", "http://pbs.twimg.com/media/DY6Ir9lW0AAe5ZM.jpg")</f>
        <v/>
      </c>
      <c r="G2671" t="s"/>
      <c r="H2671" t="s"/>
      <c r="I2671" t="s"/>
      <c r="J2671" t="n">
        <v>0.5255</v>
      </c>
      <c r="K2671" t="n">
        <v>0</v>
      </c>
      <c r="L2671" t="n">
        <v>0.841</v>
      </c>
      <c r="M2671" t="n">
        <v>0.159</v>
      </c>
    </row>
    <row r="2672" spans="1:13">
      <c r="A2672" s="1">
        <f>HYPERLINK("http://www.twitter.com/NathanBLawrence/status/976875405746622464", "976875405746622464")</f>
        <v/>
      </c>
      <c r="B2672" s="2" t="n">
        <v>43181.73402777778</v>
      </c>
      <c r="C2672" t="n">
        <v>0</v>
      </c>
      <c r="D2672" t="n">
        <v>4595</v>
      </c>
      <c r="E2672" t="s">
        <v>2683</v>
      </c>
      <c r="F2672">
        <f>HYPERLINK("http://pbs.twimg.com/media/DY6Ntk5WAAETFZK.jpg", "http://pbs.twimg.com/media/DY6Ntk5WAAETFZK.jpg")</f>
        <v/>
      </c>
      <c r="G2672" t="s"/>
      <c r="H2672" t="s"/>
      <c r="I2672" t="s"/>
      <c r="J2672" t="n">
        <v>-0.5719</v>
      </c>
      <c r="K2672" t="n">
        <v>0.183</v>
      </c>
      <c r="L2672" t="n">
        <v>0.8169999999999999</v>
      </c>
      <c r="M2672" t="n">
        <v>0</v>
      </c>
    </row>
    <row r="2673" spans="1:13">
      <c r="A2673" s="1">
        <f>HYPERLINK("http://www.twitter.com/NathanBLawrence/status/976868701038399489", "976868701038399489")</f>
        <v/>
      </c>
      <c r="B2673" s="2" t="n">
        <v>43181.7155324074</v>
      </c>
      <c r="C2673" t="n">
        <v>3</v>
      </c>
      <c r="D2673" t="n">
        <v>0</v>
      </c>
      <c r="E2673" t="s">
        <v>2684</v>
      </c>
      <c r="F2673" t="s"/>
      <c r="G2673" t="s"/>
      <c r="H2673" t="s"/>
      <c r="I2673" t="s"/>
      <c r="J2673" t="n">
        <v>0.7717000000000001</v>
      </c>
      <c r="K2673" t="n">
        <v>0</v>
      </c>
      <c r="L2673" t="n">
        <v>0.705</v>
      </c>
      <c r="M2673" t="n">
        <v>0.295</v>
      </c>
    </row>
    <row r="2674" spans="1:13">
      <c r="A2674" s="1">
        <f>HYPERLINK("http://www.twitter.com/NathanBLawrence/status/976868202499145733", "976868202499145733")</f>
        <v/>
      </c>
      <c r="B2674" s="2" t="n">
        <v>43181.7141550926</v>
      </c>
      <c r="C2674" t="n">
        <v>0</v>
      </c>
      <c r="D2674" t="n">
        <v>63</v>
      </c>
      <c r="E2674" t="s">
        <v>2685</v>
      </c>
      <c r="F2674">
        <f>HYPERLINK("http://pbs.twimg.com/media/DY6FyNrWkAIMoUd.jpg", "http://pbs.twimg.com/media/DY6FyNrWkAIMoUd.jpg")</f>
        <v/>
      </c>
      <c r="G2674" t="s"/>
      <c r="H2674" t="s"/>
      <c r="I2674" t="s"/>
      <c r="J2674" t="n">
        <v>0.4767</v>
      </c>
      <c r="K2674" t="n">
        <v>0</v>
      </c>
      <c r="L2674" t="n">
        <v>0.853</v>
      </c>
      <c r="M2674" t="n">
        <v>0.147</v>
      </c>
    </row>
    <row r="2675" spans="1:13">
      <c r="A2675" s="1">
        <f>HYPERLINK("http://www.twitter.com/NathanBLawrence/status/976868102171488256", "976868102171488256")</f>
        <v/>
      </c>
      <c r="B2675" s="2" t="n">
        <v>43181.71387731482</v>
      </c>
      <c r="C2675" t="n">
        <v>0</v>
      </c>
      <c r="D2675" t="n">
        <v>695</v>
      </c>
      <c r="E2675" t="s">
        <v>2686</v>
      </c>
      <c r="F2675" t="s"/>
      <c r="G2675" t="s"/>
      <c r="H2675" t="s"/>
      <c r="I2675" t="s"/>
      <c r="J2675" t="n">
        <v>0</v>
      </c>
      <c r="K2675" t="n">
        <v>0</v>
      </c>
      <c r="L2675" t="n">
        <v>1</v>
      </c>
      <c r="M2675" t="n">
        <v>0</v>
      </c>
    </row>
    <row r="2676" spans="1:13">
      <c r="A2676" s="1">
        <f>HYPERLINK("http://www.twitter.com/NathanBLawrence/status/976868026007085056", "976868026007085056")</f>
        <v/>
      </c>
      <c r="B2676" s="2" t="n">
        <v>43181.71366898148</v>
      </c>
      <c r="C2676" t="n">
        <v>0</v>
      </c>
      <c r="D2676" t="n">
        <v>6</v>
      </c>
      <c r="E2676" t="s">
        <v>2687</v>
      </c>
      <c r="F2676" t="s"/>
      <c r="G2676" t="s"/>
      <c r="H2676" t="s"/>
      <c r="I2676" t="s"/>
      <c r="J2676" t="n">
        <v>-0.4215</v>
      </c>
      <c r="K2676" t="n">
        <v>0.192</v>
      </c>
      <c r="L2676" t="n">
        <v>0.8080000000000001</v>
      </c>
      <c r="M2676" t="n">
        <v>0</v>
      </c>
    </row>
    <row r="2677" spans="1:13">
      <c r="A2677" s="1">
        <f>HYPERLINK("http://www.twitter.com/NathanBLawrence/status/976867975956434945", "976867975956434945")</f>
        <v/>
      </c>
      <c r="B2677" s="2" t="n">
        <v>43181.71353009259</v>
      </c>
      <c r="C2677" t="n">
        <v>0</v>
      </c>
      <c r="D2677" t="n">
        <v>57</v>
      </c>
      <c r="E2677" t="s">
        <v>2688</v>
      </c>
      <c r="F2677">
        <f>HYPERLINK("http://pbs.twimg.com/media/DY2bCfwU0AAOHK2.jpg", "http://pbs.twimg.com/media/DY2bCfwU0AAOHK2.jpg")</f>
        <v/>
      </c>
      <c r="G2677" t="s"/>
      <c r="H2677" t="s"/>
      <c r="I2677" t="s"/>
      <c r="J2677" t="n">
        <v>0</v>
      </c>
      <c r="K2677" t="n">
        <v>0</v>
      </c>
      <c r="L2677" t="n">
        <v>1</v>
      </c>
      <c r="M2677" t="n">
        <v>0</v>
      </c>
    </row>
    <row r="2678" spans="1:13">
      <c r="A2678" s="1">
        <f>HYPERLINK("http://www.twitter.com/NathanBLawrence/status/976867725770481664", "976867725770481664")</f>
        <v/>
      </c>
      <c r="B2678" s="2" t="n">
        <v>43181.71283564815</v>
      </c>
      <c r="C2678" t="n">
        <v>0</v>
      </c>
      <c r="D2678" t="n">
        <v>305</v>
      </c>
      <c r="E2678" t="s">
        <v>2689</v>
      </c>
      <c r="F2678">
        <f>HYPERLINK("https://video.twimg.com/amplify_video/976853174920318976/vid/1280x720/MX_CRmgzAbMaCRSW.mp4", "https://video.twimg.com/amplify_video/976853174920318976/vid/1280x720/MX_CRmgzAbMaCRSW.mp4")</f>
        <v/>
      </c>
      <c r="G2678" t="s"/>
      <c r="H2678" t="s"/>
      <c r="I2678" t="s"/>
      <c r="J2678" t="n">
        <v>-0.3182</v>
      </c>
      <c r="K2678" t="n">
        <v>0.192</v>
      </c>
      <c r="L2678" t="n">
        <v>0.701</v>
      </c>
      <c r="M2678" t="n">
        <v>0.107</v>
      </c>
    </row>
    <row r="2679" spans="1:13">
      <c r="A2679" s="1">
        <f>HYPERLINK("http://www.twitter.com/NathanBLawrence/status/976867413567459328", "976867413567459328")</f>
        <v/>
      </c>
      <c r="B2679" s="2" t="n">
        <v>43181.71197916667</v>
      </c>
      <c r="C2679" t="n">
        <v>0</v>
      </c>
      <c r="D2679" t="n">
        <v>11</v>
      </c>
      <c r="E2679" t="s">
        <v>2690</v>
      </c>
      <c r="F2679">
        <f>HYPERLINK("http://pbs.twimg.com/media/DY6Fvn2XkAIxmsT.jpg", "http://pbs.twimg.com/media/DY6Fvn2XkAIxmsT.jpg")</f>
        <v/>
      </c>
      <c r="G2679" t="s"/>
      <c r="H2679" t="s"/>
      <c r="I2679" t="s"/>
      <c r="J2679" t="n">
        <v>0.3818</v>
      </c>
      <c r="K2679" t="n">
        <v>0</v>
      </c>
      <c r="L2679" t="n">
        <v>0.88</v>
      </c>
      <c r="M2679" t="n">
        <v>0.12</v>
      </c>
    </row>
    <row r="2680" spans="1:13">
      <c r="A2680" s="1">
        <f>HYPERLINK("http://www.twitter.com/NathanBLawrence/status/976867358600986625", "976867358600986625")</f>
        <v/>
      </c>
      <c r="B2680" s="2" t="n">
        <v>43181.7118287037</v>
      </c>
      <c r="C2680" t="n">
        <v>0</v>
      </c>
      <c r="D2680" t="n">
        <v>2</v>
      </c>
      <c r="E2680" t="s">
        <v>2691</v>
      </c>
      <c r="F2680" t="s"/>
      <c r="G2680" t="s"/>
      <c r="H2680" t="s"/>
      <c r="I2680" t="s"/>
      <c r="J2680" t="n">
        <v>0</v>
      </c>
      <c r="K2680" t="n">
        <v>0</v>
      </c>
      <c r="L2680" t="n">
        <v>1</v>
      </c>
      <c r="M2680" t="n">
        <v>0</v>
      </c>
    </row>
    <row r="2681" spans="1:13">
      <c r="A2681" s="1">
        <f>HYPERLINK("http://www.twitter.com/NathanBLawrence/status/976867122872758274", "976867122872758274")</f>
        <v/>
      </c>
      <c r="B2681" s="2" t="n">
        <v>43181.71118055555</v>
      </c>
      <c r="C2681" t="n">
        <v>0</v>
      </c>
      <c r="D2681" t="n">
        <v>8</v>
      </c>
      <c r="E2681" t="s">
        <v>2692</v>
      </c>
      <c r="F2681">
        <f>HYPERLINK("http://pbs.twimg.com/media/DY6FKMXWAAAteW-.jpg", "http://pbs.twimg.com/media/DY6FKMXWAAAteW-.jpg")</f>
        <v/>
      </c>
      <c r="G2681" t="s"/>
      <c r="H2681" t="s"/>
      <c r="I2681" t="s"/>
      <c r="J2681" t="n">
        <v>-0.4588</v>
      </c>
      <c r="K2681" t="n">
        <v>0.13</v>
      </c>
      <c r="L2681" t="n">
        <v>0.87</v>
      </c>
      <c r="M2681" t="n">
        <v>0</v>
      </c>
    </row>
    <row r="2682" spans="1:13">
      <c r="A2682" s="1">
        <f>HYPERLINK("http://www.twitter.com/NathanBLawrence/status/976866875559874562", "976866875559874562")</f>
        <v/>
      </c>
      <c r="B2682" s="2" t="n">
        <v>43181.71049768518</v>
      </c>
      <c r="C2682" t="n">
        <v>0</v>
      </c>
      <c r="D2682" t="n">
        <v>5</v>
      </c>
      <c r="E2682" t="s">
        <v>2693</v>
      </c>
      <c r="F2682">
        <f>HYPERLINK("https://video.twimg.com/amplify_video/976828331743236097/vid/1280x720/Iy6C_rEA1t0XVTMb.mp4", "https://video.twimg.com/amplify_video/976828331743236097/vid/1280x720/Iy6C_rEA1t0XVTMb.mp4")</f>
        <v/>
      </c>
      <c r="G2682" t="s"/>
      <c r="H2682" t="s"/>
      <c r="I2682" t="s"/>
      <c r="J2682" t="n">
        <v>0</v>
      </c>
      <c r="K2682" t="n">
        <v>0</v>
      </c>
      <c r="L2682" t="n">
        <v>1</v>
      </c>
      <c r="M2682" t="n">
        <v>0</v>
      </c>
    </row>
    <row r="2683" spans="1:13">
      <c r="A2683" s="1">
        <f>HYPERLINK("http://www.twitter.com/NathanBLawrence/status/976866774758150144", "976866774758150144")</f>
        <v/>
      </c>
      <c r="B2683" s="2" t="n">
        <v>43181.71021990741</v>
      </c>
      <c r="C2683" t="n">
        <v>0</v>
      </c>
      <c r="D2683" t="n">
        <v>23</v>
      </c>
      <c r="E2683" t="s">
        <v>2694</v>
      </c>
      <c r="F2683">
        <f>HYPERLINK("http://pbs.twimg.com/media/DY6CxTOW0AYQLAr.jpg", "http://pbs.twimg.com/media/DY6CxTOW0AYQLAr.jpg")</f>
        <v/>
      </c>
      <c r="G2683" t="s"/>
      <c r="H2683" t="s"/>
      <c r="I2683" t="s"/>
      <c r="J2683" t="n">
        <v>0</v>
      </c>
      <c r="K2683" t="n">
        <v>0</v>
      </c>
      <c r="L2683" t="n">
        <v>1</v>
      </c>
      <c r="M2683" t="n">
        <v>0</v>
      </c>
    </row>
    <row r="2684" spans="1:13">
      <c r="A2684" s="1">
        <f>HYPERLINK("http://www.twitter.com/NathanBLawrence/status/976866270934073344", "976866270934073344")</f>
        <v/>
      </c>
      <c r="B2684" s="2" t="n">
        <v>43181.70881944444</v>
      </c>
      <c r="C2684" t="n">
        <v>0</v>
      </c>
      <c r="D2684" t="n">
        <v>132</v>
      </c>
      <c r="E2684" t="s">
        <v>2695</v>
      </c>
      <c r="F2684" t="s"/>
      <c r="G2684" t="s"/>
      <c r="H2684" t="s"/>
      <c r="I2684" t="s"/>
      <c r="J2684" t="n">
        <v>0.1779</v>
      </c>
      <c r="K2684" t="n">
        <v>0.08400000000000001</v>
      </c>
      <c r="L2684" t="n">
        <v>0.805</v>
      </c>
      <c r="M2684" t="n">
        <v>0.111</v>
      </c>
    </row>
    <row r="2685" spans="1:13">
      <c r="A2685" s="1">
        <f>HYPERLINK("http://www.twitter.com/NathanBLawrence/status/976861288218398721", "976861288218398721")</f>
        <v/>
      </c>
      <c r="B2685" s="2" t="n">
        <v>43181.69506944445</v>
      </c>
      <c r="C2685" t="n">
        <v>0</v>
      </c>
      <c r="D2685" t="n">
        <v>134</v>
      </c>
      <c r="E2685" t="s">
        <v>2696</v>
      </c>
      <c r="F2685" t="s"/>
      <c r="G2685" t="s"/>
      <c r="H2685" t="s"/>
      <c r="I2685" t="s"/>
      <c r="J2685" t="n">
        <v>-0.7351</v>
      </c>
      <c r="K2685" t="n">
        <v>0.341</v>
      </c>
      <c r="L2685" t="n">
        <v>0.659</v>
      </c>
      <c r="M2685" t="n">
        <v>0</v>
      </c>
    </row>
    <row r="2686" spans="1:13">
      <c r="A2686" s="1">
        <f>HYPERLINK("http://www.twitter.com/NathanBLawrence/status/976860840992362496", "976860840992362496")</f>
        <v/>
      </c>
      <c r="B2686" s="2" t="n">
        <v>43181.69384259259</v>
      </c>
      <c r="C2686" t="n">
        <v>0</v>
      </c>
      <c r="D2686" t="n">
        <v>488</v>
      </c>
      <c r="E2686" t="s">
        <v>2697</v>
      </c>
      <c r="F2686" t="s"/>
      <c r="G2686" t="s"/>
      <c r="H2686" t="s"/>
      <c r="I2686" t="s"/>
      <c r="J2686" t="n">
        <v>0.7351</v>
      </c>
      <c r="K2686" t="n">
        <v>0</v>
      </c>
      <c r="L2686" t="n">
        <v>0.763</v>
      </c>
      <c r="M2686" t="n">
        <v>0.237</v>
      </c>
    </row>
    <row r="2687" spans="1:13">
      <c r="A2687" s="1">
        <f>HYPERLINK("http://www.twitter.com/NathanBLawrence/status/976860578181537793", "976860578181537793")</f>
        <v/>
      </c>
      <c r="B2687" s="2" t="n">
        <v>43181.69311342593</v>
      </c>
      <c r="C2687" t="n">
        <v>0</v>
      </c>
      <c r="D2687" t="n">
        <v>5974</v>
      </c>
      <c r="E2687" t="s">
        <v>2698</v>
      </c>
      <c r="F2687">
        <f>HYPERLINK("http://pbs.twimg.com/media/DY5GmI3V4AAVXdq.jpg", "http://pbs.twimg.com/media/DY5GmI3V4AAVXdq.jpg")</f>
        <v/>
      </c>
      <c r="G2687">
        <f>HYPERLINK("http://pbs.twimg.com/media/DY5GmI4VoAAD87D.jpg", "http://pbs.twimg.com/media/DY5GmI4VoAAD87D.jpg")</f>
        <v/>
      </c>
      <c r="H2687" t="s"/>
      <c r="I2687" t="s"/>
      <c r="J2687" t="n">
        <v>0</v>
      </c>
      <c r="K2687" t="n">
        <v>0</v>
      </c>
      <c r="L2687" t="n">
        <v>1</v>
      </c>
      <c r="M2687" t="n">
        <v>0</v>
      </c>
    </row>
    <row r="2688" spans="1:13">
      <c r="A2688" s="1">
        <f>HYPERLINK("http://www.twitter.com/NathanBLawrence/status/976860099967930368", "976860099967930368")</f>
        <v/>
      </c>
      <c r="B2688" s="2" t="n">
        <v>43181.69179398148</v>
      </c>
      <c r="C2688" t="n">
        <v>0</v>
      </c>
      <c r="D2688" t="n">
        <v>185</v>
      </c>
      <c r="E2688" t="s">
        <v>2699</v>
      </c>
      <c r="F2688">
        <f>HYPERLINK("http://pbs.twimg.com/media/DY5qAkPXUAYixrE.jpg", "http://pbs.twimg.com/media/DY5qAkPXUAYixrE.jpg")</f>
        <v/>
      </c>
      <c r="G2688" t="s"/>
      <c r="H2688" t="s"/>
      <c r="I2688" t="s"/>
      <c r="J2688" t="n">
        <v>0.7249</v>
      </c>
      <c r="K2688" t="n">
        <v>0</v>
      </c>
      <c r="L2688" t="n">
        <v>0.805</v>
      </c>
      <c r="M2688" t="n">
        <v>0.195</v>
      </c>
    </row>
    <row r="2689" spans="1:13">
      <c r="A2689" s="1">
        <f>HYPERLINK("http://www.twitter.com/NathanBLawrence/status/976852697407217671", "976852697407217671")</f>
        <v/>
      </c>
      <c r="B2689" s="2" t="n">
        <v>43181.67136574074</v>
      </c>
      <c r="C2689" t="n">
        <v>0</v>
      </c>
      <c r="D2689" t="n">
        <v>427</v>
      </c>
      <c r="E2689" t="s">
        <v>2700</v>
      </c>
      <c r="F2689">
        <f>HYPERLINK("http://pbs.twimg.com/media/DYSoNAPUQAAQ6-8.jpg", "http://pbs.twimg.com/media/DYSoNAPUQAAQ6-8.jpg")</f>
        <v/>
      </c>
      <c r="G2689" t="s"/>
      <c r="H2689" t="s"/>
      <c r="I2689" t="s"/>
      <c r="J2689" t="n">
        <v>0.4215</v>
      </c>
      <c r="K2689" t="n">
        <v>0</v>
      </c>
      <c r="L2689" t="n">
        <v>0.891</v>
      </c>
      <c r="M2689" t="n">
        <v>0.109</v>
      </c>
    </row>
    <row r="2690" spans="1:13">
      <c r="A2690" s="1">
        <f>HYPERLINK("http://www.twitter.com/NathanBLawrence/status/976849001797636096", "976849001797636096")</f>
        <v/>
      </c>
      <c r="B2690" s="2" t="n">
        <v>43181.66116898148</v>
      </c>
      <c r="C2690" t="n">
        <v>0</v>
      </c>
      <c r="D2690" t="n">
        <v>127</v>
      </c>
      <c r="E2690" t="s">
        <v>2701</v>
      </c>
      <c r="F2690">
        <f>HYPERLINK("https://video.twimg.com/ext_tw_video/976636374051848193/pu/vid/1280x720/pmO1dbgxolF43zxV.mp4", "https://video.twimg.com/ext_tw_video/976636374051848193/pu/vid/1280x720/pmO1dbgxolF43zxV.mp4")</f>
        <v/>
      </c>
      <c r="G2690" t="s"/>
      <c r="H2690" t="s"/>
      <c r="I2690" t="s"/>
      <c r="J2690" t="n">
        <v>0.4576</v>
      </c>
      <c r="K2690" t="n">
        <v>0</v>
      </c>
      <c r="L2690" t="n">
        <v>0.88</v>
      </c>
      <c r="M2690" t="n">
        <v>0.12</v>
      </c>
    </row>
    <row r="2691" spans="1:13">
      <c r="A2691" s="1">
        <f>HYPERLINK("http://www.twitter.com/NathanBLawrence/status/976847473972006912", "976847473972006912")</f>
        <v/>
      </c>
      <c r="B2691" s="2" t="n">
        <v>43181.65695601852</v>
      </c>
      <c r="C2691" t="n">
        <v>0</v>
      </c>
      <c r="D2691" t="n">
        <v>393</v>
      </c>
      <c r="E2691" t="s">
        <v>2702</v>
      </c>
      <c r="F2691">
        <f>HYPERLINK("http://pbs.twimg.com/media/DY0ss7cX4AMxMsJ.jpg", "http://pbs.twimg.com/media/DY0ss7cX4AMxMsJ.jpg")</f>
        <v/>
      </c>
      <c r="G2691" t="s"/>
      <c r="H2691" t="s"/>
      <c r="I2691" t="s"/>
      <c r="J2691" t="n">
        <v>0</v>
      </c>
      <c r="K2691" t="n">
        <v>0</v>
      </c>
      <c r="L2691" t="n">
        <v>1</v>
      </c>
      <c r="M2691" t="n">
        <v>0</v>
      </c>
    </row>
    <row r="2692" spans="1:13">
      <c r="A2692" s="1">
        <f>HYPERLINK("http://www.twitter.com/NathanBLawrence/status/976846727054577669", "976846727054577669")</f>
        <v/>
      </c>
      <c r="B2692" s="2" t="n">
        <v>43181.65489583334</v>
      </c>
      <c r="C2692" t="n">
        <v>0</v>
      </c>
      <c r="D2692" t="n">
        <v>55</v>
      </c>
      <c r="E2692" t="s">
        <v>2703</v>
      </c>
      <c r="F2692">
        <f>HYPERLINK("http://pbs.twimg.com/media/DY5FAXfXUAAJSJH.jpg", "http://pbs.twimg.com/media/DY5FAXfXUAAJSJH.jpg")</f>
        <v/>
      </c>
      <c r="G2692" t="s"/>
      <c r="H2692" t="s"/>
      <c r="I2692" t="s"/>
      <c r="J2692" t="n">
        <v>0.7351</v>
      </c>
      <c r="K2692" t="n">
        <v>0</v>
      </c>
      <c r="L2692" t="n">
        <v>0.788</v>
      </c>
      <c r="M2692" t="n">
        <v>0.212</v>
      </c>
    </row>
    <row r="2693" spans="1:13">
      <c r="A2693" s="1">
        <f>HYPERLINK("http://www.twitter.com/NathanBLawrence/status/976843038130663426", "976843038130663426")</f>
        <v/>
      </c>
      <c r="B2693" s="2" t="n">
        <v>43181.64471064815</v>
      </c>
      <c r="C2693" t="n">
        <v>0</v>
      </c>
      <c r="D2693" t="n">
        <v>397</v>
      </c>
      <c r="E2693" t="s">
        <v>2704</v>
      </c>
      <c r="F2693" t="s"/>
      <c r="G2693" t="s"/>
      <c r="H2693" t="s"/>
      <c r="I2693" t="s"/>
      <c r="J2693" t="n">
        <v>0.0772</v>
      </c>
      <c r="K2693" t="n">
        <v>0.133</v>
      </c>
      <c r="L2693" t="n">
        <v>0.721</v>
      </c>
      <c r="M2693" t="n">
        <v>0.146</v>
      </c>
    </row>
    <row r="2694" spans="1:13">
      <c r="A2694" s="1">
        <f>HYPERLINK("http://www.twitter.com/NathanBLawrence/status/976842939476463617", "976842939476463617")</f>
        <v/>
      </c>
      <c r="B2694" s="2" t="n">
        <v>43181.64444444444</v>
      </c>
      <c r="C2694" t="n">
        <v>0</v>
      </c>
      <c r="D2694" t="n">
        <v>1658</v>
      </c>
      <c r="E2694" t="s">
        <v>2705</v>
      </c>
      <c r="F2694" t="s"/>
      <c r="G2694" t="s"/>
      <c r="H2694" t="s"/>
      <c r="I2694" t="s"/>
      <c r="J2694" t="n">
        <v>0</v>
      </c>
      <c r="K2694" t="n">
        <v>0</v>
      </c>
      <c r="L2694" t="n">
        <v>1</v>
      </c>
      <c r="M2694" t="n">
        <v>0</v>
      </c>
    </row>
    <row r="2695" spans="1:13">
      <c r="A2695" s="1">
        <f>HYPERLINK("http://www.twitter.com/NathanBLawrence/status/976842284376449025", "976842284376449025")</f>
        <v/>
      </c>
      <c r="B2695" s="2" t="n">
        <v>43181.64263888889</v>
      </c>
      <c r="C2695" t="n">
        <v>0</v>
      </c>
      <c r="D2695" t="n">
        <v>93</v>
      </c>
      <c r="E2695" t="s">
        <v>2706</v>
      </c>
      <c r="F2695">
        <f>HYPERLINK("https://video.twimg.com/ext_tw_video/976839573706891264/pu/vid/1280x720/aTpOltcxH0KtHNqv.mp4", "https://video.twimg.com/ext_tw_video/976839573706891264/pu/vid/1280x720/aTpOltcxH0KtHNqv.mp4")</f>
        <v/>
      </c>
      <c r="G2695" t="s"/>
      <c r="H2695" t="s"/>
      <c r="I2695" t="s"/>
      <c r="J2695" t="n">
        <v>0</v>
      </c>
      <c r="K2695" t="n">
        <v>0</v>
      </c>
      <c r="L2695" t="n">
        <v>1</v>
      </c>
      <c r="M2695" t="n">
        <v>0</v>
      </c>
    </row>
    <row r="2696" spans="1:13">
      <c r="A2696" s="1">
        <f>HYPERLINK("http://www.twitter.com/NathanBLawrence/status/976841705436667904", "976841705436667904")</f>
        <v/>
      </c>
      <c r="B2696" s="2" t="n">
        <v>43181.64104166667</v>
      </c>
      <c r="C2696" t="n">
        <v>0</v>
      </c>
      <c r="D2696" t="n">
        <v>341</v>
      </c>
      <c r="E2696" t="s">
        <v>2707</v>
      </c>
      <c r="F2696">
        <f>HYPERLINK("http://pbs.twimg.com/media/DY5u-e5WkAcWzSG.jpg", "http://pbs.twimg.com/media/DY5u-e5WkAcWzSG.jpg")</f>
        <v/>
      </c>
      <c r="G2696" t="s"/>
      <c r="H2696" t="s"/>
      <c r="I2696" t="s"/>
      <c r="J2696" t="n">
        <v>0.7351</v>
      </c>
      <c r="K2696" t="n">
        <v>0</v>
      </c>
      <c r="L2696" t="n">
        <v>0.763</v>
      </c>
      <c r="M2696" t="n">
        <v>0.237</v>
      </c>
    </row>
    <row r="2697" spans="1:13">
      <c r="A2697" s="1">
        <f>HYPERLINK("http://www.twitter.com/NathanBLawrence/status/976839991430209540", "976839991430209540")</f>
        <v/>
      </c>
      <c r="B2697" s="2" t="n">
        <v>43181.63630787037</v>
      </c>
      <c r="C2697" t="n">
        <v>0</v>
      </c>
      <c r="D2697" t="n">
        <v>19</v>
      </c>
      <c r="E2697" t="s">
        <v>2708</v>
      </c>
      <c r="F2697">
        <f>HYPERLINK("http://pbs.twimg.com/media/DY2550PVwAAkzTk.jpg", "http://pbs.twimg.com/media/DY2550PVwAAkzTk.jpg")</f>
        <v/>
      </c>
      <c r="G2697" t="s"/>
      <c r="H2697" t="s"/>
      <c r="I2697" t="s"/>
      <c r="J2697" t="n">
        <v>0.4389</v>
      </c>
      <c r="K2697" t="n">
        <v>0.123</v>
      </c>
      <c r="L2697" t="n">
        <v>0.6860000000000001</v>
      </c>
      <c r="M2697" t="n">
        <v>0.191</v>
      </c>
    </row>
    <row r="2698" spans="1:13">
      <c r="A2698" s="1">
        <f>HYPERLINK("http://www.twitter.com/NathanBLawrence/status/976839928448540672", "976839928448540672")</f>
        <v/>
      </c>
      <c r="B2698" s="2" t="n">
        <v>43181.63613425926</v>
      </c>
      <c r="C2698" t="n">
        <v>0</v>
      </c>
      <c r="D2698" t="n">
        <v>4</v>
      </c>
      <c r="E2698" t="s">
        <v>2709</v>
      </c>
      <c r="F2698" t="s"/>
      <c r="G2698" t="s"/>
      <c r="H2698" t="s"/>
      <c r="I2698" t="s"/>
      <c r="J2698" t="n">
        <v>0.0018</v>
      </c>
      <c r="K2698" t="n">
        <v>0.137</v>
      </c>
      <c r="L2698" t="n">
        <v>0.725</v>
      </c>
      <c r="M2698" t="n">
        <v>0.138</v>
      </c>
    </row>
    <row r="2699" spans="1:13">
      <c r="A2699" s="1">
        <f>HYPERLINK("http://www.twitter.com/NathanBLawrence/status/976839611975643138", "976839611975643138")</f>
        <v/>
      </c>
      <c r="B2699" s="2" t="n">
        <v>43181.63525462963</v>
      </c>
      <c r="C2699" t="n">
        <v>0</v>
      </c>
      <c r="D2699" t="n">
        <v>1</v>
      </c>
      <c r="E2699" t="s">
        <v>2710</v>
      </c>
      <c r="F2699" t="s"/>
      <c r="G2699" t="s"/>
      <c r="H2699" t="s"/>
      <c r="I2699" t="s"/>
      <c r="J2699" t="n">
        <v>0</v>
      </c>
      <c r="K2699" t="n">
        <v>0</v>
      </c>
      <c r="L2699" t="n">
        <v>1</v>
      </c>
      <c r="M2699" t="n">
        <v>0</v>
      </c>
    </row>
    <row r="2700" spans="1:13">
      <c r="A2700" s="1">
        <f>HYPERLINK("http://www.twitter.com/NathanBLawrence/status/976839020343947265", "976839020343947265")</f>
        <v/>
      </c>
      <c r="B2700" s="2" t="n">
        <v>43181.63362268519</v>
      </c>
      <c r="C2700" t="n">
        <v>0</v>
      </c>
      <c r="D2700" t="n">
        <v>1028</v>
      </c>
      <c r="E2700" t="s">
        <v>2711</v>
      </c>
      <c r="F2700" t="s"/>
      <c r="G2700" t="s"/>
      <c r="H2700" t="s"/>
      <c r="I2700" t="s"/>
      <c r="J2700" t="n">
        <v>0.4926</v>
      </c>
      <c r="K2700" t="n">
        <v>0</v>
      </c>
      <c r="L2700" t="n">
        <v>0.873</v>
      </c>
      <c r="M2700" t="n">
        <v>0.127</v>
      </c>
    </row>
    <row r="2701" spans="1:13">
      <c r="A2701" s="1">
        <f>HYPERLINK("http://www.twitter.com/NathanBLawrence/status/976836145723199494", "976836145723199494")</f>
        <v/>
      </c>
      <c r="B2701" s="2" t="n">
        <v>43181.62569444445</v>
      </c>
      <c r="C2701" t="n">
        <v>0</v>
      </c>
      <c r="D2701" t="n">
        <v>21967</v>
      </c>
      <c r="E2701" t="s">
        <v>2712</v>
      </c>
      <c r="F2701">
        <f>HYPERLINK("http://pbs.twimg.com/media/DY5djSuWsAE1E_H.jpg", "http://pbs.twimg.com/media/DY5djSuWsAE1E_H.jpg")</f>
        <v/>
      </c>
      <c r="G2701" t="s"/>
      <c r="H2701" t="s"/>
      <c r="I2701" t="s"/>
      <c r="J2701" t="n">
        <v>0.4215</v>
      </c>
      <c r="K2701" t="n">
        <v>0</v>
      </c>
      <c r="L2701" t="n">
        <v>0.641</v>
      </c>
      <c r="M2701" t="n">
        <v>0.359</v>
      </c>
    </row>
    <row r="2702" spans="1:13">
      <c r="A2702" s="1">
        <f>HYPERLINK("http://www.twitter.com/NathanBLawrence/status/976824508773556225", "976824508773556225")</f>
        <v/>
      </c>
      <c r="B2702" s="2" t="n">
        <v>43181.59358796296</v>
      </c>
      <c r="C2702" t="n">
        <v>0</v>
      </c>
      <c r="D2702" t="n">
        <v>1604</v>
      </c>
      <c r="E2702" t="s">
        <v>2713</v>
      </c>
      <c r="F2702">
        <f>HYPERLINK("http://pbs.twimg.com/media/DY42NB6VMAAeGCk.jpg", "http://pbs.twimg.com/media/DY42NB6VMAAeGCk.jpg")</f>
        <v/>
      </c>
      <c r="G2702" t="s"/>
      <c r="H2702" t="s"/>
      <c r="I2702" t="s"/>
      <c r="J2702" t="n">
        <v>-0.6575</v>
      </c>
      <c r="K2702" t="n">
        <v>0.173</v>
      </c>
      <c r="L2702" t="n">
        <v>0.827</v>
      </c>
      <c r="M2702" t="n">
        <v>0</v>
      </c>
    </row>
    <row r="2703" spans="1:13">
      <c r="A2703" s="1">
        <f>HYPERLINK("http://www.twitter.com/NathanBLawrence/status/976824273359777793", "976824273359777793")</f>
        <v/>
      </c>
      <c r="B2703" s="2" t="n">
        <v>43181.59292824074</v>
      </c>
      <c r="C2703" t="n">
        <v>0</v>
      </c>
      <c r="D2703" t="n">
        <v>680</v>
      </c>
      <c r="E2703" t="s">
        <v>2714</v>
      </c>
      <c r="F2703">
        <f>HYPERLINK("http://pbs.twimg.com/media/DY5TVRpU8AIKUx0.jpg", "http://pbs.twimg.com/media/DY5TVRpU8AIKUx0.jpg")</f>
        <v/>
      </c>
      <c r="G2703" t="s"/>
      <c r="H2703" t="s"/>
      <c r="I2703" t="s"/>
      <c r="J2703" t="n">
        <v>0.4374</v>
      </c>
      <c r="K2703" t="n">
        <v>0</v>
      </c>
      <c r="L2703" t="n">
        <v>0.907</v>
      </c>
      <c r="M2703" t="n">
        <v>0.093</v>
      </c>
    </row>
    <row r="2704" spans="1:13">
      <c r="A2704" s="1">
        <f>HYPERLINK("http://www.twitter.com/NathanBLawrence/status/976824226085732352", "976824226085732352")</f>
        <v/>
      </c>
      <c r="B2704" s="2" t="n">
        <v>43181.59280092592</v>
      </c>
      <c r="C2704" t="n">
        <v>0</v>
      </c>
      <c r="D2704" t="n">
        <v>243</v>
      </c>
      <c r="E2704" t="s">
        <v>2715</v>
      </c>
      <c r="F2704" t="s"/>
      <c r="G2704" t="s"/>
      <c r="H2704" t="s"/>
      <c r="I2704" t="s"/>
      <c r="J2704" t="n">
        <v>0</v>
      </c>
      <c r="K2704" t="n">
        <v>0</v>
      </c>
      <c r="L2704" t="n">
        <v>1</v>
      </c>
      <c r="M2704" t="n">
        <v>0</v>
      </c>
    </row>
    <row r="2705" spans="1:13">
      <c r="A2705" s="1">
        <f>HYPERLINK("http://www.twitter.com/NathanBLawrence/status/976823853845565440", "976823853845565440")</f>
        <v/>
      </c>
      <c r="B2705" s="2" t="n">
        <v>43181.59177083334</v>
      </c>
      <c r="C2705" t="n">
        <v>0</v>
      </c>
      <c r="D2705" t="n">
        <v>630</v>
      </c>
      <c r="E2705" t="s">
        <v>2716</v>
      </c>
      <c r="F2705">
        <f>HYPERLINK("https://video.twimg.com/ext_tw_video/884097459445796865/pu/vid/1280x720/bsI5QRUTmjqMSzH9.mp4", "https://video.twimg.com/ext_tw_video/884097459445796865/pu/vid/1280x720/bsI5QRUTmjqMSzH9.mp4")</f>
        <v/>
      </c>
      <c r="G2705" t="s"/>
      <c r="H2705" t="s"/>
      <c r="I2705" t="s"/>
      <c r="J2705" t="n">
        <v>0</v>
      </c>
      <c r="K2705" t="n">
        <v>0</v>
      </c>
      <c r="L2705" t="n">
        <v>1</v>
      </c>
      <c r="M2705" t="n">
        <v>0</v>
      </c>
    </row>
    <row r="2706" spans="1:13">
      <c r="A2706" s="1">
        <f>HYPERLINK("http://www.twitter.com/NathanBLawrence/status/976823364189937664", "976823364189937664")</f>
        <v/>
      </c>
      <c r="B2706" s="2" t="n">
        <v>43181.59042824074</v>
      </c>
      <c r="C2706" t="n">
        <v>0</v>
      </c>
      <c r="D2706" t="n">
        <v>533</v>
      </c>
      <c r="E2706" t="s">
        <v>2717</v>
      </c>
      <c r="F2706" t="s"/>
      <c r="G2706" t="s"/>
      <c r="H2706" t="s"/>
      <c r="I2706" t="s"/>
      <c r="J2706" t="n">
        <v>0</v>
      </c>
      <c r="K2706" t="n">
        <v>0</v>
      </c>
      <c r="L2706" t="n">
        <v>1</v>
      </c>
      <c r="M2706" t="n">
        <v>0</v>
      </c>
    </row>
    <row r="2707" spans="1:13">
      <c r="A2707" s="1">
        <f>HYPERLINK("http://www.twitter.com/NathanBLawrence/status/976823265351143435", "976823265351143435")</f>
        <v/>
      </c>
      <c r="B2707" s="2" t="n">
        <v>43181.59015046297</v>
      </c>
      <c r="C2707" t="n">
        <v>0</v>
      </c>
      <c r="D2707" t="n">
        <v>24</v>
      </c>
      <c r="E2707" t="s">
        <v>2718</v>
      </c>
      <c r="F2707">
        <f>HYPERLINK("http://pbs.twimg.com/media/DY5amE5U0AAPWX2.jpg", "http://pbs.twimg.com/media/DY5amE5U0AAPWX2.jpg")</f>
        <v/>
      </c>
      <c r="G2707" t="s"/>
      <c r="H2707" t="s"/>
      <c r="I2707" t="s"/>
      <c r="J2707" t="n">
        <v>0.4588</v>
      </c>
      <c r="K2707" t="n">
        <v>0</v>
      </c>
      <c r="L2707" t="n">
        <v>0.786</v>
      </c>
      <c r="M2707" t="n">
        <v>0.214</v>
      </c>
    </row>
    <row r="2708" spans="1:13">
      <c r="A2708" s="1">
        <f>HYPERLINK("http://www.twitter.com/NathanBLawrence/status/976823090561912833", "976823090561912833")</f>
        <v/>
      </c>
      <c r="B2708" s="2" t="n">
        <v>43181.58966435185</v>
      </c>
      <c r="C2708" t="n">
        <v>0</v>
      </c>
      <c r="D2708" t="n">
        <v>75</v>
      </c>
      <c r="E2708" t="s">
        <v>2719</v>
      </c>
      <c r="F2708" t="s"/>
      <c r="G2708" t="s"/>
      <c r="H2708" t="s"/>
      <c r="I2708" t="s"/>
      <c r="J2708" t="n">
        <v>0.8070000000000001</v>
      </c>
      <c r="K2708" t="n">
        <v>0</v>
      </c>
      <c r="L2708" t="n">
        <v>0.759</v>
      </c>
      <c r="M2708" t="n">
        <v>0.241</v>
      </c>
    </row>
    <row r="2709" spans="1:13">
      <c r="A2709" s="1">
        <f>HYPERLINK("http://www.twitter.com/NathanBLawrence/status/976822737955115008", "976822737955115008")</f>
        <v/>
      </c>
      <c r="B2709" s="2" t="n">
        <v>43181.58869212963</v>
      </c>
      <c r="C2709" t="n">
        <v>0</v>
      </c>
      <c r="D2709" t="n">
        <v>1</v>
      </c>
      <c r="E2709" t="s">
        <v>2720</v>
      </c>
      <c r="F2709">
        <f>HYPERLINK("http://pbs.twimg.com/media/DY5b-KsW0AE7V3C.jpg", "http://pbs.twimg.com/media/DY5b-KsW0AE7V3C.jpg")</f>
        <v/>
      </c>
      <c r="G2709" t="s"/>
      <c r="H2709" t="s"/>
      <c r="I2709" t="s"/>
      <c r="J2709" t="n">
        <v>0.7096</v>
      </c>
      <c r="K2709" t="n">
        <v>0</v>
      </c>
      <c r="L2709" t="n">
        <v>0.742</v>
      </c>
      <c r="M2709" t="n">
        <v>0.258</v>
      </c>
    </row>
    <row r="2710" spans="1:13">
      <c r="A2710" s="1">
        <f>HYPERLINK("http://www.twitter.com/NathanBLawrence/status/976822337004765184", "976822337004765184")</f>
        <v/>
      </c>
      <c r="B2710" s="2" t="n">
        <v>43181.58759259259</v>
      </c>
      <c r="C2710" t="n">
        <v>0</v>
      </c>
      <c r="D2710" t="n">
        <v>63</v>
      </c>
      <c r="E2710" t="s">
        <v>2721</v>
      </c>
      <c r="F2710">
        <f>HYPERLINK("http://pbs.twimg.com/media/DY5SlWmWsAEfbwy.jpg", "http://pbs.twimg.com/media/DY5SlWmWsAEfbwy.jpg")</f>
        <v/>
      </c>
      <c r="G2710" t="s"/>
      <c r="H2710" t="s"/>
      <c r="I2710" t="s"/>
      <c r="J2710" t="n">
        <v>-0.5904</v>
      </c>
      <c r="K2710" t="n">
        <v>0.204</v>
      </c>
      <c r="L2710" t="n">
        <v>0.796</v>
      </c>
      <c r="M2710" t="n">
        <v>0</v>
      </c>
    </row>
    <row r="2711" spans="1:13">
      <c r="A2711" s="1">
        <f>HYPERLINK("http://www.twitter.com/NathanBLawrence/status/976822049111990274", "976822049111990274")</f>
        <v/>
      </c>
      <c r="B2711" s="2" t="n">
        <v>43181.58679398148</v>
      </c>
      <c r="C2711" t="n">
        <v>0</v>
      </c>
      <c r="D2711" t="n">
        <v>8</v>
      </c>
      <c r="E2711" t="s">
        <v>2722</v>
      </c>
      <c r="F2711">
        <f>HYPERLINK("http://pbs.twimg.com/media/DY5buuUX0AAqBxz.jpg", "http://pbs.twimg.com/media/DY5buuUX0AAqBxz.jpg")</f>
        <v/>
      </c>
      <c r="G2711" t="s"/>
      <c r="H2711" t="s"/>
      <c r="I2711" t="s"/>
      <c r="J2711" t="n">
        <v>-0.2263</v>
      </c>
      <c r="K2711" t="n">
        <v>0.08699999999999999</v>
      </c>
      <c r="L2711" t="n">
        <v>0.913</v>
      </c>
      <c r="M2711" t="n">
        <v>0</v>
      </c>
    </row>
    <row r="2712" spans="1:13">
      <c r="A2712" s="1">
        <f>HYPERLINK("http://www.twitter.com/NathanBLawrence/status/976821795767676928", "976821795767676928")</f>
        <v/>
      </c>
      <c r="B2712" s="2" t="n">
        <v>43181.58609953704</v>
      </c>
      <c r="C2712" t="n">
        <v>0</v>
      </c>
      <c r="D2712" t="n">
        <v>499</v>
      </c>
      <c r="E2712" t="s">
        <v>2723</v>
      </c>
      <c r="F2712" t="s"/>
      <c r="G2712" t="s"/>
      <c r="H2712" t="s"/>
      <c r="I2712" t="s"/>
      <c r="J2712" t="n">
        <v>-0.3382</v>
      </c>
      <c r="K2712" t="n">
        <v>0.259</v>
      </c>
      <c r="L2712" t="n">
        <v>0.535</v>
      </c>
      <c r="M2712" t="n">
        <v>0.206</v>
      </c>
    </row>
    <row r="2713" spans="1:13">
      <c r="A2713" s="1">
        <f>HYPERLINK("http://www.twitter.com/NathanBLawrence/status/976821054151815168", "976821054151815168")</f>
        <v/>
      </c>
      <c r="B2713" s="2" t="n">
        <v>43181.58405092593</v>
      </c>
      <c r="C2713" t="n">
        <v>0</v>
      </c>
      <c r="D2713" t="n">
        <v>762</v>
      </c>
      <c r="E2713" t="s">
        <v>2724</v>
      </c>
      <c r="F2713">
        <f>HYPERLINK("http://pbs.twimg.com/media/DY46lhjWkAACicI.jpg", "http://pbs.twimg.com/media/DY46lhjWkAACicI.jpg")</f>
        <v/>
      </c>
      <c r="G2713" t="s"/>
      <c r="H2713" t="s"/>
      <c r="I2713" t="s"/>
      <c r="J2713" t="n">
        <v>-0.6249</v>
      </c>
      <c r="K2713" t="n">
        <v>0.17</v>
      </c>
      <c r="L2713" t="n">
        <v>0.83</v>
      </c>
      <c r="M2713" t="n">
        <v>0</v>
      </c>
    </row>
    <row r="2714" spans="1:13">
      <c r="A2714" s="1">
        <f>HYPERLINK("http://www.twitter.com/NathanBLawrence/status/976820614123188224", "976820614123188224")</f>
        <v/>
      </c>
      <c r="B2714" s="2" t="n">
        <v>43181.58283564815</v>
      </c>
      <c r="C2714" t="n">
        <v>0</v>
      </c>
      <c r="D2714" t="n">
        <v>3</v>
      </c>
      <c r="E2714" t="s">
        <v>2725</v>
      </c>
      <c r="F2714" t="s"/>
      <c r="G2714" t="s"/>
      <c r="H2714" t="s"/>
      <c r="I2714" t="s"/>
      <c r="J2714" t="n">
        <v>0</v>
      </c>
      <c r="K2714" t="n">
        <v>0</v>
      </c>
      <c r="L2714" t="n">
        <v>1</v>
      </c>
      <c r="M2714" t="n">
        <v>0</v>
      </c>
    </row>
    <row r="2715" spans="1:13">
      <c r="A2715" s="1">
        <f>HYPERLINK("http://www.twitter.com/NathanBLawrence/status/976820135662153729", "976820135662153729")</f>
        <v/>
      </c>
      <c r="B2715" s="2" t="n">
        <v>43181.5815162037</v>
      </c>
      <c r="C2715" t="n">
        <v>0</v>
      </c>
      <c r="D2715" t="n">
        <v>919</v>
      </c>
      <c r="E2715" t="s">
        <v>2726</v>
      </c>
      <c r="F2715" t="s"/>
      <c r="G2715" t="s"/>
      <c r="H2715" t="s"/>
      <c r="I2715" t="s"/>
      <c r="J2715" t="n">
        <v>-0.5411</v>
      </c>
      <c r="K2715" t="n">
        <v>0.118</v>
      </c>
      <c r="L2715" t="n">
        <v>0.882</v>
      </c>
      <c r="M2715" t="n">
        <v>0</v>
      </c>
    </row>
    <row r="2716" spans="1:13">
      <c r="A2716" s="1">
        <f>HYPERLINK("http://www.twitter.com/NathanBLawrence/status/976816814968762368", "976816814968762368")</f>
        <v/>
      </c>
      <c r="B2716" s="2" t="n">
        <v>43181.57234953704</v>
      </c>
      <c r="C2716" t="n">
        <v>0</v>
      </c>
      <c r="D2716" t="n">
        <v>131</v>
      </c>
      <c r="E2716" t="s">
        <v>2727</v>
      </c>
      <c r="F2716" t="s"/>
      <c r="G2716" t="s"/>
      <c r="H2716" t="s"/>
      <c r="I2716" t="s"/>
      <c r="J2716" t="n">
        <v>0</v>
      </c>
      <c r="K2716" t="n">
        <v>0</v>
      </c>
      <c r="L2716" t="n">
        <v>1</v>
      </c>
      <c r="M2716" t="n">
        <v>0</v>
      </c>
    </row>
    <row r="2717" spans="1:13">
      <c r="A2717" s="1">
        <f>HYPERLINK("http://www.twitter.com/NathanBLawrence/status/976816711189123072", "976816711189123072")</f>
        <v/>
      </c>
      <c r="B2717" s="2" t="n">
        <v>43181.57206018519</v>
      </c>
      <c r="C2717" t="n">
        <v>0</v>
      </c>
      <c r="D2717" t="n">
        <v>189</v>
      </c>
      <c r="E2717" t="s">
        <v>2728</v>
      </c>
      <c r="F2717" t="s"/>
      <c r="G2717" t="s"/>
      <c r="H2717" t="s"/>
      <c r="I2717" t="s"/>
      <c r="J2717" t="n">
        <v>0</v>
      </c>
      <c r="K2717" t="n">
        <v>0</v>
      </c>
      <c r="L2717" t="n">
        <v>1</v>
      </c>
      <c r="M2717" t="n">
        <v>0</v>
      </c>
    </row>
    <row r="2718" spans="1:13">
      <c r="A2718" s="1">
        <f>HYPERLINK("http://www.twitter.com/NathanBLawrence/status/976816564019388417", "976816564019388417")</f>
        <v/>
      </c>
      <c r="B2718" s="2" t="n">
        <v>43181.57165509259</v>
      </c>
      <c r="C2718" t="n">
        <v>0</v>
      </c>
      <c r="D2718" t="n">
        <v>1214</v>
      </c>
      <c r="E2718" t="s">
        <v>2729</v>
      </c>
      <c r="F2718" t="s"/>
      <c r="G2718" t="s"/>
      <c r="H2718" t="s"/>
      <c r="I2718" t="s"/>
      <c r="J2718" t="n">
        <v>-0.6208</v>
      </c>
      <c r="K2718" t="n">
        <v>0.233</v>
      </c>
      <c r="L2718" t="n">
        <v>0.767</v>
      </c>
      <c r="M2718" t="n">
        <v>0</v>
      </c>
    </row>
    <row r="2719" spans="1:13">
      <c r="A2719" s="1">
        <f>HYPERLINK("http://www.twitter.com/NathanBLawrence/status/976799221843185665", "976799221843185665")</f>
        <v/>
      </c>
      <c r="B2719" s="2" t="n">
        <v>43181.52380787037</v>
      </c>
      <c r="C2719" t="n">
        <v>0</v>
      </c>
      <c r="D2719" t="n">
        <v>3169</v>
      </c>
      <c r="E2719" t="s">
        <v>2730</v>
      </c>
      <c r="F2719">
        <f>HYPERLINK("http://pbs.twimg.com/media/DY23hP4XUAUsAvS.jpg", "http://pbs.twimg.com/media/DY23hP4XUAUsAvS.jpg")</f>
        <v/>
      </c>
      <c r="G2719" t="s"/>
      <c r="H2719" t="s"/>
      <c r="I2719" t="s"/>
      <c r="J2719" t="n">
        <v>0</v>
      </c>
      <c r="K2719" t="n">
        <v>0</v>
      </c>
      <c r="L2719" t="n">
        <v>1</v>
      </c>
      <c r="M2719" t="n">
        <v>0</v>
      </c>
    </row>
    <row r="2720" spans="1:13">
      <c r="A2720" s="1">
        <f>HYPERLINK("http://www.twitter.com/NathanBLawrence/status/976663017407606784", "976663017407606784")</f>
        <v/>
      </c>
      <c r="B2720" s="2" t="n">
        <v>43181.14795138889</v>
      </c>
      <c r="C2720" t="n">
        <v>0</v>
      </c>
      <c r="D2720" t="n">
        <v>99</v>
      </c>
      <c r="E2720" t="s">
        <v>2731</v>
      </c>
      <c r="F2720" t="s"/>
      <c r="G2720" t="s"/>
      <c r="H2720" t="s"/>
      <c r="I2720" t="s"/>
      <c r="J2720" t="n">
        <v>-0.5574</v>
      </c>
      <c r="K2720" t="n">
        <v>0.175</v>
      </c>
      <c r="L2720" t="n">
        <v>0.825</v>
      </c>
      <c r="M2720" t="n">
        <v>0</v>
      </c>
    </row>
    <row r="2721" spans="1:13">
      <c r="A2721" s="1">
        <f>HYPERLINK("http://www.twitter.com/NathanBLawrence/status/976662802772447232", "976662802772447232")</f>
        <v/>
      </c>
      <c r="B2721" s="2" t="n">
        <v>43181.14736111111</v>
      </c>
      <c r="C2721" t="n">
        <v>0</v>
      </c>
      <c r="D2721" t="n">
        <v>514</v>
      </c>
      <c r="E2721" t="s">
        <v>2732</v>
      </c>
      <c r="F2721" t="s"/>
      <c r="G2721" t="s"/>
      <c r="H2721" t="s"/>
      <c r="I2721" t="s"/>
      <c r="J2721" t="n">
        <v>-0.6486</v>
      </c>
      <c r="K2721" t="n">
        <v>0.296</v>
      </c>
      <c r="L2721" t="n">
        <v>0.704</v>
      </c>
      <c r="M2721" t="n">
        <v>0</v>
      </c>
    </row>
    <row r="2722" spans="1:13">
      <c r="A2722" s="1">
        <f>HYPERLINK("http://www.twitter.com/NathanBLawrence/status/976529184569864196", "976529184569864196")</f>
        <v/>
      </c>
      <c r="B2722" s="2" t="n">
        <v>43180.77864583334</v>
      </c>
      <c r="C2722" t="n">
        <v>0</v>
      </c>
      <c r="D2722" t="n">
        <v>5411</v>
      </c>
      <c r="E2722" t="s">
        <v>2733</v>
      </c>
      <c r="F2722" t="s"/>
      <c r="G2722" t="s"/>
      <c r="H2722" t="s"/>
      <c r="I2722" t="s"/>
      <c r="J2722" t="n">
        <v>0.4404</v>
      </c>
      <c r="K2722" t="n">
        <v>0</v>
      </c>
      <c r="L2722" t="n">
        <v>0.828</v>
      </c>
      <c r="M2722" t="n">
        <v>0.172</v>
      </c>
    </row>
    <row r="2723" spans="1:13">
      <c r="A2723" s="1">
        <f>HYPERLINK("http://www.twitter.com/NathanBLawrence/status/976529032769568768", "976529032769568768")</f>
        <v/>
      </c>
      <c r="B2723" s="2" t="n">
        <v>43180.77822916667</v>
      </c>
      <c r="C2723" t="n">
        <v>0</v>
      </c>
      <c r="D2723" t="n">
        <v>211</v>
      </c>
      <c r="E2723" t="s">
        <v>2734</v>
      </c>
      <c r="F2723">
        <f>HYPERLINK("http://pbs.twimg.com/media/DY1RTHcV4AAZIvV.jpg", "http://pbs.twimg.com/media/DY1RTHcV4AAZIvV.jpg")</f>
        <v/>
      </c>
      <c r="G2723" t="s"/>
      <c r="H2723" t="s"/>
      <c r="I2723" t="s"/>
      <c r="J2723" t="n">
        <v>0.5556</v>
      </c>
      <c r="K2723" t="n">
        <v>0</v>
      </c>
      <c r="L2723" t="n">
        <v>0.787</v>
      </c>
      <c r="M2723" t="n">
        <v>0.213</v>
      </c>
    </row>
    <row r="2724" spans="1:13">
      <c r="A2724" s="1">
        <f>HYPERLINK("http://www.twitter.com/NathanBLawrence/status/976528492077645826", "976528492077645826")</f>
        <v/>
      </c>
      <c r="B2724" s="2" t="n">
        <v>43180.77673611111</v>
      </c>
      <c r="C2724" t="n">
        <v>0</v>
      </c>
      <c r="D2724" t="n">
        <v>11174</v>
      </c>
      <c r="E2724" t="s">
        <v>2735</v>
      </c>
      <c r="F2724" t="s"/>
      <c r="G2724" t="s"/>
      <c r="H2724" t="s"/>
      <c r="I2724" t="s"/>
      <c r="J2724" t="n">
        <v>-0.6705</v>
      </c>
      <c r="K2724" t="n">
        <v>0.234</v>
      </c>
      <c r="L2724" t="n">
        <v>0.766</v>
      </c>
      <c r="M2724" t="n">
        <v>0</v>
      </c>
    </row>
    <row r="2725" spans="1:13">
      <c r="A2725" s="1">
        <f>HYPERLINK("http://www.twitter.com/NathanBLawrence/status/976528196979044353", "976528196979044353")</f>
        <v/>
      </c>
      <c r="B2725" s="2" t="n">
        <v>43180.77591435185</v>
      </c>
      <c r="C2725" t="n">
        <v>0</v>
      </c>
      <c r="D2725" t="n">
        <v>103</v>
      </c>
      <c r="E2725" t="s">
        <v>2736</v>
      </c>
      <c r="F2725" t="s"/>
      <c r="G2725" t="s"/>
      <c r="H2725" t="s"/>
      <c r="I2725" t="s"/>
      <c r="J2725" t="n">
        <v>0</v>
      </c>
      <c r="K2725" t="n">
        <v>0</v>
      </c>
      <c r="L2725" t="n">
        <v>1</v>
      </c>
      <c r="M2725" t="n">
        <v>0</v>
      </c>
    </row>
    <row r="2726" spans="1:13">
      <c r="A2726" s="1">
        <f>HYPERLINK("http://www.twitter.com/NathanBLawrence/status/976526616162652161", "976526616162652161")</f>
        <v/>
      </c>
      <c r="B2726" s="2" t="n">
        <v>43180.77155092593</v>
      </c>
      <c r="C2726" t="n">
        <v>0</v>
      </c>
      <c r="D2726" t="n">
        <v>73</v>
      </c>
      <c r="E2726" t="s">
        <v>2737</v>
      </c>
      <c r="F2726" t="s"/>
      <c r="G2726" t="s"/>
      <c r="H2726" t="s"/>
      <c r="I2726" t="s"/>
      <c r="J2726" t="n">
        <v>0</v>
      </c>
      <c r="K2726" t="n">
        <v>0</v>
      </c>
      <c r="L2726" t="n">
        <v>1</v>
      </c>
      <c r="M2726" t="n">
        <v>0</v>
      </c>
    </row>
    <row r="2727" spans="1:13">
      <c r="A2727" s="1">
        <f>HYPERLINK("http://www.twitter.com/NathanBLawrence/status/976526106819006466", "976526106819006466")</f>
        <v/>
      </c>
      <c r="B2727" s="2" t="n">
        <v>43180.77015046297</v>
      </c>
      <c r="C2727" t="n">
        <v>0</v>
      </c>
      <c r="D2727" t="n">
        <v>3</v>
      </c>
      <c r="E2727" t="s">
        <v>2738</v>
      </c>
      <c r="F2727">
        <f>HYPERLINK("http://pbs.twimg.com/media/DY05jB5UQAAz3dz.jpg", "http://pbs.twimg.com/media/DY05jB5UQAAz3dz.jpg")</f>
        <v/>
      </c>
      <c r="G2727" t="s"/>
      <c r="H2727" t="s"/>
      <c r="I2727" t="s"/>
      <c r="J2727" t="n">
        <v>0</v>
      </c>
      <c r="K2727" t="n">
        <v>0</v>
      </c>
      <c r="L2727" t="n">
        <v>1</v>
      </c>
      <c r="M2727" t="n">
        <v>0</v>
      </c>
    </row>
    <row r="2728" spans="1:13">
      <c r="A2728" s="1">
        <f>HYPERLINK("http://www.twitter.com/NathanBLawrence/status/976525895639977985", "976525895639977985")</f>
        <v/>
      </c>
      <c r="B2728" s="2" t="n">
        <v>43180.76957175926</v>
      </c>
      <c r="C2728" t="n">
        <v>0</v>
      </c>
      <c r="D2728" t="n">
        <v>55</v>
      </c>
      <c r="E2728" t="s">
        <v>2739</v>
      </c>
      <c r="F2728">
        <f>HYPERLINK("http://pbs.twimg.com/media/DY06IEcWsAABAcs.jpg", "http://pbs.twimg.com/media/DY06IEcWsAABAcs.jpg")</f>
        <v/>
      </c>
      <c r="G2728" t="s"/>
      <c r="H2728" t="s"/>
      <c r="I2728" t="s"/>
      <c r="J2728" t="n">
        <v>0</v>
      </c>
      <c r="K2728" t="n">
        <v>0</v>
      </c>
      <c r="L2728" t="n">
        <v>1</v>
      </c>
      <c r="M2728" t="n">
        <v>0</v>
      </c>
    </row>
    <row r="2729" spans="1:13">
      <c r="A2729" s="1">
        <f>HYPERLINK("http://www.twitter.com/NathanBLawrence/status/976525603427012608", "976525603427012608")</f>
        <v/>
      </c>
      <c r="B2729" s="2" t="n">
        <v>43180.76876157407</v>
      </c>
      <c r="C2729" t="n">
        <v>0</v>
      </c>
      <c r="D2729" t="n">
        <v>2</v>
      </c>
      <c r="E2729" t="s">
        <v>2740</v>
      </c>
      <c r="F2729">
        <f>HYPERLINK("http://pbs.twimg.com/media/DY05_0fU0AAiPkV.jpg", "http://pbs.twimg.com/media/DY05_0fU0AAiPkV.jpg")</f>
        <v/>
      </c>
      <c r="G2729" t="s"/>
      <c r="H2729" t="s"/>
      <c r="I2729" t="s"/>
      <c r="J2729" t="n">
        <v>0.3182</v>
      </c>
      <c r="K2729" t="n">
        <v>0</v>
      </c>
      <c r="L2729" t="n">
        <v>0.897</v>
      </c>
      <c r="M2729" t="n">
        <v>0.103</v>
      </c>
    </row>
    <row r="2730" spans="1:13">
      <c r="A2730" s="1">
        <f>HYPERLINK("http://www.twitter.com/NathanBLawrence/status/976501968242905090", "976501968242905090")</f>
        <v/>
      </c>
      <c r="B2730" s="2" t="n">
        <v>43180.70354166667</v>
      </c>
      <c r="C2730" t="n">
        <v>0</v>
      </c>
      <c r="D2730" t="n">
        <v>665</v>
      </c>
      <c r="E2730" t="s">
        <v>2741</v>
      </c>
      <c r="F2730" t="s"/>
      <c r="G2730" t="s"/>
      <c r="H2730" t="s"/>
      <c r="I2730" t="s"/>
      <c r="J2730" t="n">
        <v>0</v>
      </c>
      <c r="K2730" t="n">
        <v>0</v>
      </c>
      <c r="L2730" t="n">
        <v>1</v>
      </c>
      <c r="M2730" t="n">
        <v>0</v>
      </c>
    </row>
    <row r="2731" spans="1:13">
      <c r="A2731" s="1">
        <f>HYPERLINK("http://www.twitter.com/NathanBLawrence/status/976500835831164928", "976500835831164928")</f>
        <v/>
      </c>
      <c r="B2731" s="2" t="n">
        <v>43180.70041666667</v>
      </c>
      <c r="C2731" t="n">
        <v>0</v>
      </c>
      <c r="D2731" t="n">
        <v>350</v>
      </c>
      <c r="E2731" t="s">
        <v>2742</v>
      </c>
      <c r="F2731">
        <f>HYPERLINK("http://pbs.twimg.com/media/DY0vjytVoAAdIkz.jpg", "http://pbs.twimg.com/media/DY0vjytVoAAdIkz.jpg")</f>
        <v/>
      </c>
      <c r="G2731" t="s"/>
      <c r="H2731" t="s"/>
      <c r="I2731" t="s"/>
      <c r="J2731" t="n">
        <v>0.6792</v>
      </c>
      <c r="K2731" t="n">
        <v>0</v>
      </c>
      <c r="L2731" t="n">
        <v>0.753</v>
      </c>
      <c r="M2731" t="n">
        <v>0.247</v>
      </c>
    </row>
    <row r="2732" spans="1:13">
      <c r="A2732" s="1">
        <f>HYPERLINK("http://www.twitter.com/NathanBLawrence/status/976499813184409601", "976499813184409601")</f>
        <v/>
      </c>
      <c r="B2732" s="2" t="n">
        <v>43180.69759259259</v>
      </c>
      <c r="C2732" t="n">
        <v>0</v>
      </c>
      <c r="D2732" t="n">
        <v>334</v>
      </c>
      <c r="E2732" t="s">
        <v>2743</v>
      </c>
      <c r="F2732" t="s"/>
      <c r="G2732" t="s"/>
      <c r="H2732" t="s"/>
      <c r="I2732" t="s"/>
      <c r="J2732" t="n">
        <v>-0.2023</v>
      </c>
      <c r="K2732" t="n">
        <v>0.073</v>
      </c>
      <c r="L2732" t="n">
        <v>0.927</v>
      </c>
      <c r="M2732" t="n">
        <v>0</v>
      </c>
    </row>
    <row r="2733" spans="1:13">
      <c r="A2733" s="1">
        <f>HYPERLINK("http://www.twitter.com/NathanBLawrence/status/976499632451805184", "976499632451805184")</f>
        <v/>
      </c>
      <c r="B2733" s="2" t="n">
        <v>43180.69709490741</v>
      </c>
      <c r="C2733" t="n">
        <v>0</v>
      </c>
      <c r="D2733" t="n">
        <v>1141</v>
      </c>
      <c r="E2733" t="s">
        <v>2744</v>
      </c>
      <c r="F2733">
        <f>HYPERLINK("http://pbs.twimg.com/media/DY0PgYXUQAEywe6.jpg", "http://pbs.twimg.com/media/DY0PgYXUQAEywe6.jpg")</f>
        <v/>
      </c>
      <c r="G2733" t="s"/>
      <c r="H2733" t="s"/>
      <c r="I2733" t="s"/>
      <c r="J2733" t="n">
        <v>0.25</v>
      </c>
      <c r="K2733" t="n">
        <v>0</v>
      </c>
      <c r="L2733" t="n">
        <v>0.833</v>
      </c>
      <c r="M2733" t="n">
        <v>0.167</v>
      </c>
    </row>
    <row r="2734" spans="1:13">
      <c r="A2734" s="1">
        <f>HYPERLINK("http://www.twitter.com/NathanBLawrence/status/976499357162921984", "976499357162921984")</f>
        <v/>
      </c>
      <c r="B2734" s="2" t="n">
        <v>43180.69633101852</v>
      </c>
      <c r="C2734" t="n">
        <v>0</v>
      </c>
      <c r="D2734" t="n">
        <v>7</v>
      </c>
      <c r="E2734" t="s">
        <v>2745</v>
      </c>
      <c r="F2734" t="s"/>
      <c r="G2734" t="s"/>
      <c r="H2734" t="s"/>
      <c r="I2734" t="s"/>
      <c r="J2734" t="n">
        <v>0</v>
      </c>
      <c r="K2734" t="n">
        <v>0</v>
      </c>
      <c r="L2734" t="n">
        <v>1</v>
      </c>
      <c r="M2734" t="n">
        <v>0</v>
      </c>
    </row>
    <row r="2735" spans="1:13">
      <c r="A2735" s="1">
        <f>HYPERLINK("http://www.twitter.com/NathanBLawrence/status/976498587868848128", "976498587868848128")</f>
        <v/>
      </c>
      <c r="B2735" s="2" t="n">
        <v>43180.69421296296</v>
      </c>
      <c r="C2735" t="n">
        <v>0</v>
      </c>
      <c r="D2735" t="n">
        <v>587</v>
      </c>
      <c r="E2735" t="s">
        <v>2746</v>
      </c>
      <c r="F2735" t="s"/>
      <c r="G2735" t="s"/>
      <c r="H2735" t="s"/>
      <c r="I2735" t="s"/>
      <c r="J2735" t="n">
        <v>0.8270999999999999</v>
      </c>
      <c r="K2735" t="n">
        <v>0</v>
      </c>
      <c r="L2735" t="n">
        <v>0.749</v>
      </c>
      <c r="M2735" t="n">
        <v>0.251</v>
      </c>
    </row>
    <row r="2736" spans="1:13">
      <c r="A2736" s="1">
        <f>HYPERLINK("http://www.twitter.com/NathanBLawrence/status/976497594657595395", "976497594657595395")</f>
        <v/>
      </c>
      <c r="B2736" s="2" t="n">
        <v>43180.6914699074</v>
      </c>
      <c r="C2736" t="n">
        <v>0</v>
      </c>
      <c r="D2736" t="n">
        <v>665</v>
      </c>
      <c r="E2736" t="s">
        <v>2747</v>
      </c>
      <c r="F2736" t="s"/>
      <c r="G2736" t="s"/>
      <c r="H2736" t="s"/>
      <c r="I2736" t="s"/>
      <c r="J2736" t="n">
        <v>-0.7524999999999999</v>
      </c>
      <c r="K2736" t="n">
        <v>0.205</v>
      </c>
      <c r="L2736" t="n">
        <v>0.795</v>
      </c>
      <c r="M2736" t="n">
        <v>0</v>
      </c>
    </row>
    <row r="2737" spans="1:13">
      <c r="A2737" s="1">
        <f>HYPERLINK("http://www.twitter.com/NathanBLawrence/status/976493278207139841", "976493278207139841")</f>
        <v/>
      </c>
      <c r="B2737" s="2" t="n">
        <v>43180.67956018518</v>
      </c>
      <c r="C2737" t="n">
        <v>0</v>
      </c>
      <c r="D2737" t="n">
        <v>4064</v>
      </c>
      <c r="E2737" t="s">
        <v>2748</v>
      </c>
      <c r="F2737" t="s"/>
      <c r="G2737" t="s"/>
      <c r="H2737" t="s"/>
      <c r="I2737" t="s"/>
      <c r="J2737" t="n">
        <v>0</v>
      </c>
      <c r="K2737" t="n">
        <v>0</v>
      </c>
      <c r="L2737" t="n">
        <v>1</v>
      </c>
      <c r="M2737" t="n">
        <v>0</v>
      </c>
    </row>
    <row r="2738" spans="1:13">
      <c r="A2738" s="1">
        <f>HYPERLINK("http://www.twitter.com/NathanBLawrence/status/976492610490699776", "976492610490699776")</f>
        <v/>
      </c>
      <c r="B2738" s="2" t="n">
        <v>43180.67771990741</v>
      </c>
      <c r="C2738" t="n">
        <v>0</v>
      </c>
      <c r="D2738" t="n">
        <v>6</v>
      </c>
      <c r="E2738" t="s">
        <v>2749</v>
      </c>
      <c r="F2738" t="s"/>
      <c r="G2738" t="s"/>
      <c r="H2738" t="s"/>
      <c r="I2738" t="s"/>
      <c r="J2738" t="n">
        <v>0</v>
      </c>
      <c r="K2738" t="n">
        <v>0</v>
      </c>
      <c r="L2738" t="n">
        <v>1</v>
      </c>
      <c r="M2738" t="n">
        <v>0</v>
      </c>
    </row>
    <row r="2739" spans="1:13">
      <c r="A2739" s="1">
        <f>HYPERLINK("http://www.twitter.com/NathanBLawrence/status/976492449035096064", "976492449035096064")</f>
        <v/>
      </c>
      <c r="B2739" s="2" t="n">
        <v>43180.67726851852</v>
      </c>
      <c r="C2739" t="n">
        <v>0</v>
      </c>
      <c r="D2739" t="n">
        <v>2367</v>
      </c>
      <c r="E2739" t="s">
        <v>2750</v>
      </c>
      <c r="F2739">
        <f>HYPERLINK("https://video.twimg.com/ext_tw_video/975148509795176448/pu/vid/1280x720/G4k26SKXwW00W4oF.mp4", "https://video.twimg.com/ext_tw_video/975148509795176448/pu/vid/1280x720/G4k26SKXwW00W4oF.mp4")</f>
        <v/>
      </c>
      <c r="G2739" t="s"/>
      <c r="H2739" t="s"/>
      <c r="I2739" t="s"/>
      <c r="J2739" t="n">
        <v>-0.4404</v>
      </c>
      <c r="K2739" t="n">
        <v>0.116</v>
      </c>
      <c r="L2739" t="n">
        <v>0.884</v>
      </c>
      <c r="M2739" t="n">
        <v>0</v>
      </c>
    </row>
    <row r="2740" spans="1:13">
      <c r="A2740" s="1">
        <f>HYPERLINK("http://www.twitter.com/NathanBLawrence/status/976492194902179840", "976492194902179840")</f>
        <v/>
      </c>
      <c r="B2740" s="2" t="n">
        <v>43180.67657407407</v>
      </c>
      <c r="C2740" t="n">
        <v>0</v>
      </c>
      <c r="D2740" t="n">
        <v>7</v>
      </c>
      <c r="E2740" t="s">
        <v>2751</v>
      </c>
      <c r="F2740">
        <f>HYPERLINK("http://pbs.twimg.com/media/DY0xubHWsAAGd6W.jpg", "http://pbs.twimg.com/media/DY0xubHWsAAGd6W.jpg")</f>
        <v/>
      </c>
      <c r="G2740" t="s"/>
      <c r="H2740" t="s"/>
      <c r="I2740" t="s"/>
      <c r="J2740" t="n">
        <v>0</v>
      </c>
      <c r="K2740" t="n">
        <v>0</v>
      </c>
      <c r="L2740" t="n">
        <v>1</v>
      </c>
      <c r="M2740" t="n">
        <v>0</v>
      </c>
    </row>
    <row r="2741" spans="1:13">
      <c r="A2741" s="1">
        <f>HYPERLINK("http://www.twitter.com/NathanBLawrence/status/976491510924496901", "976491510924496901")</f>
        <v/>
      </c>
      <c r="B2741" s="2" t="n">
        <v>43180.6746875</v>
      </c>
      <c r="C2741" t="n">
        <v>0</v>
      </c>
      <c r="D2741" t="n">
        <v>808</v>
      </c>
      <c r="E2741" t="s">
        <v>2752</v>
      </c>
      <c r="F2741" t="s"/>
      <c r="G2741" t="s"/>
      <c r="H2741" t="s"/>
      <c r="I2741" t="s"/>
      <c r="J2741" t="n">
        <v>-0.7506</v>
      </c>
      <c r="K2741" t="n">
        <v>0.299</v>
      </c>
      <c r="L2741" t="n">
        <v>0.701</v>
      </c>
      <c r="M2741" t="n">
        <v>0</v>
      </c>
    </row>
    <row r="2742" spans="1:13">
      <c r="A2742" s="1">
        <f>HYPERLINK("http://www.twitter.com/NathanBLawrence/status/976491222721351682", "976491222721351682")</f>
        <v/>
      </c>
      <c r="B2742" s="2" t="n">
        <v>43180.67388888889</v>
      </c>
      <c r="C2742" t="n">
        <v>0</v>
      </c>
      <c r="D2742" t="n">
        <v>7</v>
      </c>
      <c r="E2742" t="s">
        <v>2753</v>
      </c>
      <c r="F2742">
        <f>HYPERLINK("http://pbs.twimg.com/media/DY0uixdVMAEUTQs.jpg", "http://pbs.twimg.com/media/DY0uixdVMAEUTQs.jpg")</f>
        <v/>
      </c>
      <c r="G2742" t="s"/>
      <c r="H2742" t="s"/>
      <c r="I2742" t="s"/>
      <c r="J2742" t="n">
        <v>-0.7213000000000001</v>
      </c>
      <c r="K2742" t="n">
        <v>0.295</v>
      </c>
      <c r="L2742" t="n">
        <v>0.705</v>
      </c>
      <c r="M2742" t="n">
        <v>0</v>
      </c>
    </row>
    <row r="2743" spans="1:13">
      <c r="A2743" s="1">
        <f>HYPERLINK("http://www.twitter.com/NathanBLawrence/status/976490794696806402", "976490794696806402")</f>
        <v/>
      </c>
      <c r="B2743" s="2" t="n">
        <v>43180.67270833333</v>
      </c>
      <c r="C2743" t="n">
        <v>0</v>
      </c>
      <c r="D2743" t="n">
        <v>1</v>
      </c>
      <c r="E2743" t="s">
        <v>2754</v>
      </c>
      <c r="F2743" t="s"/>
      <c r="G2743" t="s"/>
      <c r="H2743" t="s"/>
      <c r="I2743" t="s"/>
      <c r="J2743" t="n">
        <v>-0.0516</v>
      </c>
      <c r="K2743" t="n">
        <v>0.098</v>
      </c>
      <c r="L2743" t="n">
        <v>0.902</v>
      </c>
      <c r="M2743" t="n">
        <v>0</v>
      </c>
    </row>
    <row r="2744" spans="1:13">
      <c r="A2744" s="1">
        <f>HYPERLINK("http://www.twitter.com/NathanBLawrence/status/976490759640764416", "976490759640764416")</f>
        <v/>
      </c>
      <c r="B2744" s="2" t="n">
        <v>43180.67261574074</v>
      </c>
      <c r="C2744" t="n">
        <v>0</v>
      </c>
      <c r="D2744" t="n">
        <v>36</v>
      </c>
      <c r="E2744" t="s">
        <v>2755</v>
      </c>
      <c r="F2744">
        <f>HYPERLINK("http://pbs.twimg.com/media/DXu1J2DUMAA-R3M.jpg", "http://pbs.twimg.com/media/DXu1J2DUMAA-R3M.jpg")</f>
        <v/>
      </c>
      <c r="G2744" t="s"/>
      <c r="H2744" t="s"/>
      <c r="I2744" t="s"/>
      <c r="J2744" t="n">
        <v>-0.4019</v>
      </c>
      <c r="K2744" t="n">
        <v>0.153</v>
      </c>
      <c r="L2744" t="n">
        <v>0.847</v>
      </c>
      <c r="M2744" t="n">
        <v>0</v>
      </c>
    </row>
    <row r="2745" spans="1:13">
      <c r="A2745" s="1">
        <f>HYPERLINK("http://www.twitter.com/NathanBLawrence/status/976488562706337793", "976488562706337793")</f>
        <v/>
      </c>
      <c r="B2745" s="2" t="n">
        <v>43180.66655092593</v>
      </c>
      <c r="C2745" t="n">
        <v>0</v>
      </c>
      <c r="D2745" t="n">
        <v>183</v>
      </c>
      <c r="E2745" t="s">
        <v>2756</v>
      </c>
      <c r="F2745" t="s"/>
      <c r="G2745" t="s"/>
      <c r="H2745" t="s"/>
      <c r="I2745" t="s"/>
      <c r="J2745" t="n">
        <v>-0.296</v>
      </c>
      <c r="K2745" t="n">
        <v>0.104</v>
      </c>
      <c r="L2745" t="n">
        <v>0.896</v>
      </c>
      <c r="M2745" t="n">
        <v>0</v>
      </c>
    </row>
    <row r="2746" spans="1:13">
      <c r="A2746" s="1">
        <f>HYPERLINK("http://www.twitter.com/NathanBLawrence/status/976486211450785792", "976486211450785792")</f>
        <v/>
      </c>
      <c r="B2746" s="2" t="n">
        <v>43180.66005787037</v>
      </c>
      <c r="C2746" t="n">
        <v>0</v>
      </c>
      <c r="D2746" t="n">
        <v>76</v>
      </c>
      <c r="E2746" t="s">
        <v>2757</v>
      </c>
      <c r="F2746" t="s"/>
      <c r="G2746" t="s"/>
      <c r="H2746" t="s"/>
      <c r="I2746" t="s"/>
      <c r="J2746" t="n">
        <v>0</v>
      </c>
      <c r="K2746" t="n">
        <v>0</v>
      </c>
      <c r="L2746" t="n">
        <v>1</v>
      </c>
      <c r="M2746" t="n">
        <v>0</v>
      </c>
    </row>
    <row r="2747" spans="1:13">
      <c r="A2747" s="1">
        <f>HYPERLINK("http://www.twitter.com/NathanBLawrence/status/976485700873973760", "976485700873973760")</f>
        <v/>
      </c>
      <c r="B2747" s="2" t="n">
        <v>43180.65864583333</v>
      </c>
      <c r="C2747" t="n">
        <v>0</v>
      </c>
      <c r="D2747" t="n">
        <v>181</v>
      </c>
      <c r="E2747" t="s">
        <v>2758</v>
      </c>
      <c r="F2747">
        <f>HYPERLINK("https://video.twimg.com/amplify_video/976454612713697282/vid/1280x720/lnc3GNQbzQcFDX_R.mp4", "https://video.twimg.com/amplify_video/976454612713697282/vid/1280x720/lnc3GNQbzQcFDX_R.mp4")</f>
        <v/>
      </c>
      <c r="G2747" t="s"/>
      <c r="H2747" t="s"/>
      <c r="I2747" t="s"/>
      <c r="J2747" t="n">
        <v>0</v>
      </c>
      <c r="K2747" t="n">
        <v>0</v>
      </c>
      <c r="L2747" t="n">
        <v>1</v>
      </c>
      <c r="M2747" t="n">
        <v>0</v>
      </c>
    </row>
    <row r="2748" spans="1:13">
      <c r="A2748" s="1">
        <f>HYPERLINK("http://www.twitter.com/NathanBLawrence/status/976482327797882880", "976482327797882880")</f>
        <v/>
      </c>
      <c r="B2748" s="2" t="n">
        <v>43180.64934027778</v>
      </c>
      <c r="C2748" t="n">
        <v>0</v>
      </c>
      <c r="D2748" t="n">
        <v>1</v>
      </c>
      <c r="E2748" t="s">
        <v>2759</v>
      </c>
      <c r="F2748" t="s"/>
      <c r="G2748" t="s"/>
      <c r="H2748" t="s"/>
      <c r="I2748" t="s"/>
      <c r="J2748" t="n">
        <v>-0.296</v>
      </c>
      <c r="K2748" t="n">
        <v>0.099</v>
      </c>
      <c r="L2748" t="n">
        <v>0.901</v>
      </c>
      <c r="M2748" t="n">
        <v>0</v>
      </c>
    </row>
    <row r="2749" spans="1:13">
      <c r="A2749" s="1">
        <f>HYPERLINK("http://www.twitter.com/NathanBLawrence/status/976480059899998211", "976480059899998211")</f>
        <v/>
      </c>
      <c r="B2749" s="2" t="n">
        <v>43180.64309027778</v>
      </c>
      <c r="C2749" t="n">
        <v>0</v>
      </c>
      <c r="D2749" t="n">
        <v>7841</v>
      </c>
      <c r="E2749" t="s">
        <v>2760</v>
      </c>
      <c r="F2749">
        <f>HYPERLINK("http://pbs.twimg.com/media/DY0j8YXW0AAWtig.jpg", "http://pbs.twimg.com/media/DY0j8YXW0AAWtig.jpg")</f>
        <v/>
      </c>
      <c r="G2749" t="s"/>
      <c r="H2749" t="s"/>
      <c r="I2749" t="s"/>
      <c r="J2749" t="n">
        <v>0</v>
      </c>
      <c r="K2749" t="n">
        <v>0</v>
      </c>
      <c r="L2749" t="n">
        <v>1</v>
      </c>
      <c r="M2749" t="n">
        <v>0</v>
      </c>
    </row>
    <row r="2750" spans="1:13">
      <c r="A2750" s="1">
        <f>HYPERLINK("http://www.twitter.com/NathanBLawrence/status/976480001913737219", "976480001913737219")</f>
        <v/>
      </c>
      <c r="B2750" s="2" t="n">
        <v>43180.64292824074</v>
      </c>
      <c r="C2750" t="n">
        <v>0</v>
      </c>
      <c r="D2750" t="n">
        <v>133</v>
      </c>
      <c r="E2750" t="s">
        <v>2761</v>
      </c>
      <c r="F2750">
        <f>HYPERLINK("http://pbs.twimg.com/media/DY0gEeOVoAA2Crx.jpg", "http://pbs.twimg.com/media/DY0gEeOVoAA2Crx.jpg")</f>
        <v/>
      </c>
      <c r="G2750" t="s"/>
      <c r="H2750" t="s"/>
      <c r="I2750" t="s"/>
      <c r="J2750" t="n">
        <v>0</v>
      </c>
      <c r="K2750" t="n">
        <v>0</v>
      </c>
      <c r="L2750" t="n">
        <v>1</v>
      </c>
      <c r="M2750" t="n">
        <v>0</v>
      </c>
    </row>
    <row r="2751" spans="1:13">
      <c r="A2751" s="1">
        <f>HYPERLINK("http://www.twitter.com/NathanBLawrence/status/976478832428535809", "976478832428535809")</f>
        <v/>
      </c>
      <c r="B2751" s="2" t="n">
        <v>43180.63969907408</v>
      </c>
      <c r="C2751" t="n">
        <v>0</v>
      </c>
      <c r="D2751" t="n">
        <v>129</v>
      </c>
      <c r="E2751" t="s">
        <v>2762</v>
      </c>
      <c r="F2751">
        <f>HYPERLINK("http://pbs.twimg.com/media/DY0lbi7WsAAB1L_.jpg", "http://pbs.twimg.com/media/DY0lbi7WsAAB1L_.jpg")</f>
        <v/>
      </c>
      <c r="G2751" t="s"/>
      <c r="H2751" t="s"/>
      <c r="I2751" t="s"/>
      <c r="J2751" t="n">
        <v>0.3182</v>
      </c>
      <c r="K2751" t="n">
        <v>0</v>
      </c>
      <c r="L2751" t="n">
        <v>0.897</v>
      </c>
      <c r="M2751" t="n">
        <v>0.103</v>
      </c>
    </row>
    <row r="2752" spans="1:13">
      <c r="A2752" s="1">
        <f>HYPERLINK("http://www.twitter.com/NathanBLawrence/status/976478714245582850", "976478714245582850")</f>
        <v/>
      </c>
      <c r="B2752" s="2" t="n">
        <v>43180.639375</v>
      </c>
      <c r="C2752" t="n">
        <v>0</v>
      </c>
      <c r="D2752" t="n">
        <v>31</v>
      </c>
      <c r="E2752" t="s">
        <v>2763</v>
      </c>
      <c r="F2752">
        <f>HYPERLINK("http://pbs.twimg.com/media/DY0dXyAXkAEtR9y.jpg", "http://pbs.twimg.com/media/DY0dXyAXkAEtR9y.jpg")</f>
        <v/>
      </c>
      <c r="G2752" t="s"/>
      <c r="H2752" t="s"/>
      <c r="I2752" t="s"/>
      <c r="J2752" t="n">
        <v>0.34</v>
      </c>
      <c r="K2752" t="n">
        <v>0</v>
      </c>
      <c r="L2752" t="n">
        <v>0.888</v>
      </c>
      <c r="M2752" t="n">
        <v>0.112</v>
      </c>
    </row>
    <row r="2753" spans="1:13">
      <c r="A2753" s="1">
        <f>HYPERLINK("http://www.twitter.com/NathanBLawrence/status/976478412478009344", "976478412478009344")</f>
        <v/>
      </c>
      <c r="B2753" s="2" t="n">
        <v>43180.63854166667</v>
      </c>
      <c r="C2753" t="n">
        <v>0</v>
      </c>
      <c r="D2753" t="n">
        <v>202</v>
      </c>
      <c r="E2753" t="s">
        <v>2764</v>
      </c>
      <c r="F2753">
        <f>HYPERLINK("https://video.twimg.com/amplify_video/976443324243554305/vid/720x720/54E-RlqTEYS8V6Tu.mp4", "https://video.twimg.com/amplify_video/976443324243554305/vid/720x720/54E-RlqTEYS8V6Tu.mp4")</f>
        <v/>
      </c>
      <c r="G2753" t="s"/>
      <c r="H2753" t="s"/>
      <c r="I2753" t="s"/>
      <c r="J2753" t="n">
        <v>-0.8074</v>
      </c>
      <c r="K2753" t="n">
        <v>0.304</v>
      </c>
      <c r="L2753" t="n">
        <v>0.696</v>
      </c>
      <c r="M2753" t="n">
        <v>0</v>
      </c>
    </row>
    <row r="2754" spans="1:13">
      <c r="A2754" s="1">
        <f>HYPERLINK("http://www.twitter.com/NathanBLawrence/status/976478304634134529", "976478304634134529")</f>
        <v/>
      </c>
      <c r="B2754" s="2" t="n">
        <v>43180.63824074074</v>
      </c>
      <c r="C2754" t="n">
        <v>0</v>
      </c>
      <c r="D2754" t="n">
        <v>143</v>
      </c>
      <c r="E2754" t="s">
        <v>2765</v>
      </c>
      <c r="F2754">
        <f>HYPERLINK("http://pbs.twimg.com/media/DYv3g_zXkAEnGc7.jpg", "http://pbs.twimg.com/media/DYv3g_zXkAEnGc7.jpg")</f>
        <v/>
      </c>
      <c r="G2754" t="s"/>
      <c r="H2754" t="s"/>
      <c r="I2754" t="s"/>
      <c r="J2754" t="n">
        <v>-0.8298</v>
      </c>
      <c r="K2754" t="n">
        <v>0.305</v>
      </c>
      <c r="L2754" t="n">
        <v>0.695</v>
      </c>
      <c r="M2754" t="n">
        <v>0</v>
      </c>
    </row>
    <row r="2755" spans="1:13">
      <c r="A2755" s="1">
        <f>HYPERLINK("http://www.twitter.com/NathanBLawrence/status/976329931251527680", "976329931251527680")</f>
        <v/>
      </c>
      <c r="B2755" s="2" t="n">
        <v>43180.22880787037</v>
      </c>
      <c r="C2755" t="n">
        <v>0</v>
      </c>
      <c r="D2755" t="n">
        <v>2</v>
      </c>
      <c r="E2755" t="s">
        <v>2766</v>
      </c>
      <c r="F2755" t="s"/>
      <c r="G2755" t="s"/>
      <c r="H2755" t="s"/>
      <c r="I2755" t="s"/>
      <c r="J2755" t="n">
        <v>0</v>
      </c>
      <c r="K2755" t="n">
        <v>0</v>
      </c>
      <c r="L2755" t="n">
        <v>1</v>
      </c>
      <c r="M2755" t="n">
        <v>0</v>
      </c>
    </row>
    <row r="2756" spans="1:13">
      <c r="A2756" s="1">
        <f>HYPERLINK("http://www.twitter.com/NathanBLawrence/status/976318681675427840", "976318681675427840")</f>
        <v/>
      </c>
      <c r="B2756" s="2" t="n">
        <v>43180.1977662037</v>
      </c>
      <c r="C2756" t="n">
        <v>0</v>
      </c>
      <c r="D2756" t="n">
        <v>88</v>
      </c>
      <c r="E2756" t="s">
        <v>2767</v>
      </c>
      <c r="F2756" t="s"/>
      <c r="G2756" t="s"/>
      <c r="H2756" t="s"/>
      <c r="I2756" t="s"/>
      <c r="J2756" t="n">
        <v>0.5719</v>
      </c>
      <c r="K2756" t="n">
        <v>0</v>
      </c>
      <c r="L2756" t="n">
        <v>0.837</v>
      </c>
      <c r="M2756" t="n">
        <v>0.163</v>
      </c>
    </row>
    <row r="2757" spans="1:13">
      <c r="A2757" s="1">
        <f>HYPERLINK("http://www.twitter.com/NathanBLawrence/status/976317397677301768", "976317397677301768")</f>
        <v/>
      </c>
      <c r="B2757" s="2" t="n">
        <v>43180.19422453704</v>
      </c>
      <c r="C2757" t="n">
        <v>0</v>
      </c>
      <c r="D2757" t="n">
        <v>514</v>
      </c>
      <c r="E2757" t="s">
        <v>2768</v>
      </c>
      <c r="F2757">
        <f>HYPERLINK("http://pbs.twimg.com/media/DYx4QsfVoAE8mfx.jpg", "http://pbs.twimg.com/media/DYx4QsfVoAE8mfx.jpg")</f>
        <v/>
      </c>
      <c r="G2757" t="s"/>
      <c r="H2757" t="s"/>
      <c r="I2757" t="s"/>
      <c r="J2757" t="n">
        <v>-0.4767</v>
      </c>
      <c r="K2757" t="n">
        <v>0.129</v>
      </c>
      <c r="L2757" t="n">
        <v>0.871</v>
      </c>
      <c r="M2757" t="n">
        <v>0</v>
      </c>
    </row>
    <row r="2758" spans="1:13">
      <c r="A2758" s="1">
        <f>HYPERLINK("http://www.twitter.com/NathanBLawrence/status/976315057285095424", "976315057285095424")</f>
        <v/>
      </c>
      <c r="B2758" s="2" t="n">
        <v>43180.1877662037</v>
      </c>
      <c r="C2758" t="n">
        <v>0</v>
      </c>
      <c r="D2758" t="n">
        <v>980</v>
      </c>
      <c r="E2758" t="s">
        <v>2769</v>
      </c>
      <c r="F2758" t="s"/>
      <c r="G2758" t="s"/>
      <c r="H2758" t="s"/>
      <c r="I2758" t="s"/>
      <c r="J2758" t="n">
        <v>-0.2584</v>
      </c>
      <c r="K2758" t="n">
        <v>0.078</v>
      </c>
      <c r="L2758" t="n">
        <v>0.922</v>
      </c>
      <c r="M2758" t="n">
        <v>0</v>
      </c>
    </row>
    <row r="2759" spans="1:13">
      <c r="A2759" s="1">
        <f>HYPERLINK("http://www.twitter.com/NathanBLawrence/status/976312558083854337", "976312558083854337")</f>
        <v/>
      </c>
      <c r="B2759" s="2" t="n">
        <v>43180.18086805556</v>
      </c>
      <c r="C2759" t="n">
        <v>0</v>
      </c>
      <c r="D2759" t="n">
        <v>732</v>
      </c>
      <c r="E2759" t="s">
        <v>2770</v>
      </c>
      <c r="F2759" t="s"/>
      <c r="G2759" t="s"/>
      <c r="H2759" t="s"/>
      <c r="I2759" t="s"/>
      <c r="J2759" t="n">
        <v>-0.4215</v>
      </c>
      <c r="K2759" t="n">
        <v>0.202</v>
      </c>
      <c r="L2759" t="n">
        <v>0.798</v>
      </c>
      <c r="M2759" t="n">
        <v>0</v>
      </c>
    </row>
    <row r="2760" spans="1:13">
      <c r="A2760" s="1">
        <f>HYPERLINK("http://www.twitter.com/NathanBLawrence/status/976311841394749440", "976311841394749440")</f>
        <v/>
      </c>
      <c r="B2760" s="2" t="n">
        <v>43180.17888888889</v>
      </c>
      <c r="C2760" t="n">
        <v>0</v>
      </c>
      <c r="D2760" t="n">
        <v>31</v>
      </c>
      <c r="E2760" t="s">
        <v>2771</v>
      </c>
      <c r="F2760">
        <f>HYPERLINK("https://video.twimg.com/amplify_video/976160340118589447/vid/1280x720/hrpzon2i3Oz25ran.mp4", "https://video.twimg.com/amplify_video/976160340118589447/vid/1280x720/hrpzon2i3Oz25ran.mp4")</f>
        <v/>
      </c>
      <c r="G2760" t="s"/>
      <c r="H2760" t="s"/>
      <c r="I2760" t="s"/>
      <c r="J2760" t="n">
        <v>0.0772</v>
      </c>
      <c r="K2760" t="n">
        <v>0.114</v>
      </c>
      <c r="L2760" t="n">
        <v>0.758</v>
      </c>
      <c r="M2760" t="n">
        <v>0.128</v>
      </c>
    </row>
    <row r="2761" spans="1:13">
      <c r="A2761" s="1">
        <f>HYPERLINK("http://www.twitter.com/NathanBLawrence/status/976310220233244674", "976310220233244674")</f>
        <v/>
      </c>
      <c r="B2761" s="2" t="n">
        <v>43180.17442129629</v>
      </c>
      <c r="C2761" t="n">
        <v>0</v>
      </c>
      <c r="D2761" t="n">
        <v>104</v>
      </c>
      <c r="E2761" t="s">
        <v>2772</v>
      </c>
      <c r="F2761">
        <f>HYPERLINK("http://pbs.twimg.com/media/DYyAnuQW0AAVCDp.jpg", "http://pbs.twimg.com/media/DYyAnuQW0AAVCDp.jpg")</f>
        <v/>
      </c>
      <c r="G2761" t="s"/>
      <c r="H2761" t="s"/>
      <c r="I2761" t="s"/>
      <c r="J2761" t="n">
        <v>0.7073</v>
      </c>
      <c r="K2761" t="n">
        <v>0</v>
      </c>
      <c r="L2761" t="n">
        <v>0.766</v>
      </c>
      <c r="M2761" t="n">
        <v>0.234</v>
      </c>
    </row>
    <row r="2762" spans="1:13">
      <c r="A2762" s="1">
        <f>HYPERLINK("http://www.twitter.com/NathanBLawrence/status/976310058576482304", "976310058576482304")</f>
        <v/>
      </c>
      <c r="B2762" s="2" t="n">
        <v>43180.17396990741</v>
      </c>
      <c r="C2762" t="n">
        <v>0</v>
      </c>
      <c r="D2762" t="n">
        <v>345</v>
      </c>
      <c r="E2762" t="s">
        <v>2773</v>
      </c>
      <c r="F2762" t="s"/>
      <c r="G2762" t="s"/>
      <c r="H2762" t="s"/>
      <c r="I2762" t="s"/>
      <c r="J2762" t="n">
        <v>-0.7269</v>
      </c>
      <c r="K2762" t="n">
        <v>0.289</v>
      </c>
      <c r="L2762" t="n">
        <v>0.711</v>
      </c>
      <c r="M2762" t="n">
        <v>0</v>
      </c>
    </row>
    <row r="2763" spans="1:13">
      <c r="A2763" s="1">
        <f>HYPERLINK("http://www.twitter.com/NathanBLawrence/status/976309807702532097", "976309807702532097")</f>
        <v/>
      </c>
      <c r="B2763" s="2" t="n">
        <v>43180.17327546296</v>
      </c>
      <c r="C2763" t="n">
        <v>0</v>
      </c>
      <c r="D2763" t="n">
        <v>5213</v>
      </c>
      <c r="E2763" t="s">
        <v>2774</v>
      </c>
      <c r="F2763" t="s"/>
      <c r="G2763" t="s"/>
      <c r="H2763" t="s"/>
      <c r="I2763" t="s"/>
      <c r="J2763" t="n">
        <v>0.0516</v>
      </c>
      <c r="K2763" t="n">
        <v>0.195</v>
      </c>
      <c r="L2763" t="n">
        <v>0.603</v>
      </c>
      <c r="M2763" t="n">
        <v>0.202</v>
      </c>
    </row>
    <row r="2764" spans="1:13">
      <c r="A2764" s="1">
        <f>HYPERLINK("http://www.twitter.com/NathanBLawrence/status/976309194306605057", "976309194306605057")</f>
        <v/>
      </c>
      <c r="B2764" s="2" t="n">
        <v>43180.17158564815</v>
      </c>
      <c r="C2764" t="n">
        <v>0</v>
      </c>
      <c r="D2764" t="n">
        <v>1090</v>
      </c>
      <c r="E2764" t="s">
        <v>2775</v>
      </c>
      <c r="F2764">
        <f>HYPERLINK("http://pbs.twimg.com/media/DYxzwJqWsAAfGHr.jpg", "http://pbs.twimg.com/media/DYxzwJqWsAAfGHr.jpg")</f>
        <v/>
      </c>
      <c r="G2764" t="s"/>
      <c r="H2764" t="s"/>
      <c r="I2764" t="s"/>
      <c r="J2764" t="n">
        <v>-0.3818</v>
      </c>
      <c r="K2764" t="n">
        <v>0.106</v>
      </c>
      <c r="L2764" t="n">
        <v>0.894</v>
      </c>
      <c r="M2764" t="n">
        <v>0</v>
      </c>
    </row>
    <row r="2765" spans="1:13">
      <c r="A2765" s="1">
        <f>HYPERLINK("http://www.twitter.com/NathanBLawrence/status/976308972872445954", "976308972872445954")</f>
        <v/>
      </c>
      <c r="B2765" s="2" t="n">
        <v>43180.17097222222</v>
      </c>
      <c r="C2765" t="n">
        <v>0</v>
      </c>
      <c r="D2765" t="n">
        <v>4293</v>
      </c>
      <c r="E2765" t="s">
        <v>2776</v>
      </c>
      <c r="F2765" t="s"/>
      <c r="G2765" t="s"/>
      <c r="H2765" t="s"/>
      <c r="I2765" t="s"/>
      <c r="J2765" t="n">
        <v>-0.3553</v>
      </c>
      <c r="K2765" t="n">
        <v>0.178</v>
      </c>
      <c r="L2765" t="n">
        <v>0.731</v>
      </c>
      <c r="M2765" t="n">
        <v>0.091</v>
      </c>
    </row>
    <row r="2766" spans="1:13">
      <c r="A2766" s="1">
        <f>HYPERLINK("http://www.twitter.com/NathanBLawrence/status/976308846024065031", "976308846024065031")</f>
        <v/>
      </c>
      <c r="B2766" s="2" t="n">
        <v>43180.170625</v>
      </c>
      <c r="C2766" t="n">
        <v>0</v>
      </c>
      <c r="D2766" t="n">
        <v>20</v>
      </c>
      <c r="E2766" t="s">
        <v>2777</v>
      </c>
      <c r="F2766">
        <f>HYPERLINK("http://pbs.twimg.com/media/DYxyalPVMAIYhHe.jpg", "http://pbs.twimg.com/media/DYxyalPVMAIYhHe.jpg")</f>
        <v/>
      </c>
      <c r="G2766" t="s"/>
      <c r="H2766" t="s"/>
      <c r="I2766" t="s"/>
      <c r="J2766" t="n">
        <v>0</v>
      </c>
      <c r="K2766" t="n">
        <v>0</v>
      </c>
      <c r="L2766" t="n">
        <v>1</v>
      </c>
      <c r="M2766" t="n">
        <v>0</v>
      </c>
    </row>
    <row r="2767" spans="1:13">
      <c r="A2767" s="1">
        <f>HYPERLINK("http://www.twitter.com/NathanBLawrence/status/976279997152464896", "976279997152464896")</f>
        <v/>
      </c>
      <c r="B2767" s="2" t="n">
        <v>43180.09101851852</v>
      </c>
      <c r="C2767" t="n">
        <v>0</v>
      </c>
      <c r="D2767" t="n">
        <v>0</v>
      </c>
      <c r="E2767" t="s">
        <v>2778</v>
      </c>
      <c r="F2767" t="s"/>
      <c r="G2767" t="s"/>
      <c r="H2767" t="s"/>
      <c r="I2767" t="s"/>
      <c r="J2767" t="n">
        <v>0</v>
      </c>
      <c r="K2767" t="n">
        <v>0</v>
      </c>
      <c r="L2767" t="n">
        <v>1</v>
      </c>
      <c r="M2767" t="n">
        <v>0</v>
      </c>
    </row>
    <row r="2768" spans="1:13">
      <c r="A2768" s="1">
        <f>HYPERLINK("http://www.twitter.com/NathanBLawrence/status/976278728140472321", "976278728140472321")</f>
        <v/>
      </c>
      <c r="B2768" s="2" t="n">
        <v>43180.08751157407</v>
      </c>
      <c r="C2768" t="n">
        <v>0</v>
      </c>
      <c r="D2768" t="n">
        <v>0</v>
      </c>
      <c r="E2768" t="s">
        <v>2779</v>
      </c>
      <c r="F2768" t="s"/>
      <c r="G2768" t="s"/>
      <c r="H2768" t="s"/>
      <c r="I2768" t="s"/>
      <c r="J2768" t="n">
        <v>0.4199</v>
      </c>
      <c r="K2768" t="n">
        <v>0</v>
      </c>
      <c r="L2768" t="n">
        <v>0.518</v>
      </c>
      <c r="M2768" t="n">
        <v>0.482</v>
      </c>
    </row>
    <row r="2769" spans="1:13">
      <c r="A2769" s="1">
        <f>HYPERLINK("http://www.twitter.com/NathanBLawrence/status/976257828225679362", "976257828225679362")</f>
        <v/>
      </c>
      <c r="B2769" s="2" t="n">
        <v>43180.02983796296</v>
      </c>
      <c r="C2769" t="n">
        <v>0</v>
      </c>
      <c r="D2769" t="n">
        <v>226</v>
      </c>
      <c r="E2769" t="s">
        <v>2780</v>
      </c>
      <c r="F2769" t="s"/>
      <c r="G2769" t="s"/>
      <c r="H2769" t="s"/>
      <c r="I2769" t="s"/>
      <c r="J2769" t="n">
        <v>-0.126</v>
      </c>
      <c r="K2769" t="n">
        <v>0.113</v>
      </c>
      <c r="L2769" t="n">
        <v>0.793</v>
      </c>
      <c r="M2769" t="n">
        <v>0.094</v>
      </c>
    </row>
    <row r="2770" spans="1:13">
      <c r="A2770" s="1">
        <f>HYPERLINK("http://www.twitter.com/NathanBLawrence/status/976257731714846727", "976257731714846727")</f>
        <v/>
      </c>
      <c r="B2770" s="2" t="n">
        <v>43180.02957175926</v>
      </c>
      <c r="C2770" t="n">
        <v>0</v>
      </c>
      <c r="D2770" t="n">
        <v>485</v>
      </c>
      <c r="E2770" t="s">
        <v>2781</v>
      </c>
      <c r="F2770" t="s"/>
      <c r="G2770" t="s"/>
      <c r="H2770" t="s"/>
      <c r="I2770" t="s"/>
      <c r="J2770" t="n">
        <v>0.4939</v>
      </c>
      <c r="K2770" t="n">
        <v>0</v>
      </c>
      <c r="L2770" t="n">
        <v>0.8139999999999999</v>
      </c>
      <c r="M2770" t="n">
        <v>0.186</v>
      </c>
    </row>
    <row r="2771" spans="1:13">
      <c r="A2771" s="1">
        <f>HYPERLINK("http://www.twitter.com/NathanBLawrence/status/976257683891392513", "976257683891392513")</f>
        <v/>
      </c>
      <c r="B2771" s="2" t="n">
        <v>43180.02944444444</v>
      </c>
      <c r="C2771" t="n">
        <v>0</v>
      </c>
      <c r="D2771" t="n">
        <v>2527</v>
      </c>
      <c r="E2771" t="s">
        <v>2782</v>
      </c>
      <c r="F2771" t="s"/>
      <c r="G2771" t="s"/>
      <c r="H2771" t="s"/>
      <c r="I2771" t="s"/>
      <c r="J2771" t="n">
        <v>0</v>
      </c>
      <c r="K2771" t="n">
        <v>0</v>
      </c>
      <c r="L2771" t="n">
        <v>1</v>
      </c>
      <c r="M2771" t="n">
        <v>0</v>
      </c>
    </row>
    <row r="2772" spans="1:13">
      <c r="A2772" s="1">
        <f>HYPERLINK("http://www.twitter.com/NathanBLawrence/status/976257291359064064", "976257291359064064")</f>
        <v/>
      </c>
      <c r="B2772" s="2" t="n">
        <v>43180.02835648148</v>
      </c>
      <c r="C2772" t="n">
        <v>0</v>
      </c>
      <c r="D2772" t="n">
        <v>4</v>
      </c>
      <c r="E2772" t="s">
        <v>2783</v>
      </c>
      <c r="F2772" t="s"/>
      <c r="G2772" t="s"/>
      <c r="H2772" t="s"/>
      <c r="I2772" t="s"/>
      <c r="J2772" t="n">
        <v>0.7717000000000001</v>
      </c>
      <c r="K2772" t="n">
        <v>0.135</v>
      </c>
      <c r="L2772" t="n">
        <v>0.523</v>
      </c>
      <c r="M2772" t="n">
        <v>0.342</v>
      </c>
    </row>
    <row r="2773" spans="1:13">
      <c r="A2773" s="1">
        <f>HYPERLINK("http://www.twitter.com/NathanBLawrence/status/976256782480879616", "976256782480879616")</f>
        <v/>
      </c>
      <c r="B2773" s="2" t="n">
        <v>43180.02695601852</v>
      </c>
      <c r="C2773" t="n">
        <v>0</v>
      </c>
      <c r="D2773" t="n">
        <v>6</v>
      </c>
      <c r="E2773" t="s">
        <v>2784</v>
      </c>
      <c r="F2773" t="s"/>
      <c r="G2773" t="s"/>
      <c r="H2773" t="s"/>
      <c r="I2773" t="s"/>
      <c r="J2773" t="n">
        <v>0.802</v>
      </c>
      <c r="K2773" t="n">
        <v>0</v>
      </c>
      <c r="L2773" t="n">
        <v>0.719</v>
      </c>
      <c r="M2773" t="n">
        <v>0.281</v>
      </c>
    </row>
    <row r="2774" spans="1:13">
      <c r="A2774" s="1">
        <f>HYPERLINK("http://www.twitter.com/NathanBLawrence/status/976244384671961088", "976244384671961088")</f>
        <v/>
      </c>
      <c r="B2774" s="2" t="n">
        <v>43179.99274305555</v>
      </c>
      <c r="C2774" t="n">
        <v>0</v>
      </c>
      <c r="D2774" t="n">
        <v>47</v>
      </c>
      <c r="E2774" t="s">
        <v>2785</v>
      </c>
      <c r="F2774" t="s"/>
      <c r="G2774" t="s"/>
      <c r="H2774" t="s"/>
      <c r="I2774" t="s"/>
      <c r="J2774" t="n">
        <v>0.4588</v>
      </c>
      <c r="K2774" t="n">
        <v>0.099</v>
      </c>
      <c r="L2774" t="n">
        <v>0.6870000000000001</v>
      </c>
      <c r="M2774" t="n">
        <v>0.214</v>
      </c>
    </row>
    <row r="2775" spans="1:13">
      <c r="A2775" s="1">
        <f>HYPERLINK("http://www.twitter.com/NathanBLawrence/status/976244272004587521", "976244272004587521")</f>
        <v/>
      </c>
      <c r="B2775" s="2" t="n">
        <v>43179.99243055555</v>
      </c>
      <c r="C2775" t="n">
        <v>0</v>
      </c>
      <c r="D2775" t="n">
        <v>3</v>
      </c>
      <c r="E2775" t="s">
        <v>2786</v>
      </c>
      <c r="F2775">
        <f>HYPERLINK("http://pbs.twimg.com/media/DYxQV12XUAAqQKQ.jpg", "http://pbs.twimg.com/media/DYxQV12XUAAqQKQ.jpg")</f>
        <v/>
      </c>
      <c r="G2775" t="s"/>
      <c r="H2775" t="s"/>
      <c r="I2775" t="s"/>
      <c r="J2775" t="n">
        <v>0.4939</v>
      </c>
      <c r="K2775" t="n">
        <v>0</v>
      </c>
      <c r="L2775" t="n">
        <v>0.833</v>
      </c>
      <c r="M2775" t="n">
        <v>0.167</v>
      </c>
    </row>
    <row r="2776" spans="1:13">
      <c r="A2776" s="1">
        <f>HYPERLINK("http://www.twitter.com/NathanBLawrence/status/976244099991986179", "976244099991986179")</f>
        <v/>
      </c>
      <c r="B2776" s="2" t="n">
        <v>43179.99195601852</v>
      </c>
      <c r="C2776" t="n">
        <v>0</v>
      </c>
      <c r="D2776" t="n">
        <v>612</v>
      </c>
      <c r="E2776" t="s">
        <v>2787</v>
      </c>
      <c r="F2776">
        <f>HYPERLINK("https://video.twimg.com/amplify_video/976215291788234757/vid/1280x720/85tv4KBatt1QqIVh.mp4", "https://video.twimg.com/amplify_video/976215291788234757/vid/1280x720/85tv4KBatt1QqIVh.mp4")</f>
        <v/>
      </c>
      <c r="G2776" t="s"/>
      <c r="H2776" t="s"/>
      <c r="I2776" t="s"/>
      <c r="J2776" t="n">
        <v>0.296</v>
      </c>
      <c r="K2776" t="n">
        <v>0</v>
      </c>
      <c r="L2776" t="n">
        <v>0.896</v>
      </c>
      <c r="M2776" t="n">
        <v>0.104</v>
      </c>
    </row>
    <row r="2777" spans="1:13">
      <c r="A2777" s="1">
        <f>HYPERLINK("http://www.twitter.com/NathanBLawrence/status/976242975486431232", "976242975486431232")</f>
        <v/>
      </c>
      <c r="B2777" s="2" t="n">
        <v>43179.98885416667</v>
      </c>
      <c r="C2777" t="n">
        <v>0</v>
      </c>
      <c r="D2777" t="n">
        <v>1437</v>
      </c>
      <c r="E2777" t="s">
        <v>2788</v>
      </c>
      <c r="F2777" t="s"/>
      <c r="G2777" t="s"/>
      <c r="H2777" t="s"/>
      <c r="I2777" t="s"/>
      <c r="J2777" t="n">
        <v>-0.4767</v>
      </c>
      <c r="K2777" t="n">
        <v>0.147</v>
      </c>
      <c r="L2777" t="n">
        <v>0.853</v>
      </c>
      <c r="M2777" t="n">
        <v>0</v>
      </c>
    </row>
    <row r="2778" spans="1:13">
      <c r="A2778" s="1">
        <f>HYPERLINK("http://www.twitter.com/NathanBLawrence/status/976242880347066370", "976242880347066370")</f>
        <v/>
      </c>
      <c r="B2778" s="2" t="n">
        <v>43179.98859953704</v>
      </c>
      <c r="C2778" t="n">
        <v>0</v>
      </c>
      <c r="D2778" t="n">
        <v>1516</v>
      </c>
      <c r="E2778" t="s">
        <v>2789</v>
      </c>
      <c r="F2778">
        <f>HYPERLINK("http://pbs.twimg.com/media/DYxGdOnU8AAO2Jm.jpg", "http://pbs.twimg.com/media/DYxGdOnU8AAO2Jm.jpg")</f>
        <v/>
      </c>
      <c r="G2778" t="s"/>
      <c r="H2778" t="s"/>
      <c r="I2778" t="s"/>
      <c r="J2778" t="n">
        <v>-0.7964</v>
      </c>
      <c r="K2778" t="n">
        <v>0.428</v>
      </c>
      <c r="L2778" t="n">
        <v>0.443</v>
      </c>
      <c r="M2778" t="n">
        <v>0.129</v>
      </c>
    </row>
    <row r="2779" spans="1:13">
      <c r="A2779" s="1">
        <f>HYPERLINK("http://www.twitter.com/NathanBLawrence/status/976242822700584960", "976242822700584960")</f>
        <v/>
      </c>
      <c r="B2779" s="2" t="n">
        <v>43179.9884375</v>
      </c>
      <c r="C2779" t="n">
        <v>0</v>
      </c>
      <c r="D2779" t="n">
        <v>68</v>
      </c>
      <c r="E2779" t="s">
        <v>2790</v>
      </c>
      <c r="F2779">
        <f>HYPERLINK("http://pbs.twimg.com/media/DYxJ8KaV4AAfUtC.jpg", "http://pbs.twimg.com/media/DYxJ8KaV4AAfUtC.jpg")</f>
        <v/>
      </c>
      <c r="G2779" t="s"/>
      <c r="H2779" t="s"/>
      <c r="I2779" t="s"/>
      <c r="J2779" t="n">
        <v>0</v>
      </c>
      <c r="K2779" t="n">
        <v>0</v>
      </c>
      <c r="L2779" t="n">
        <v>1</v>
      </c>
      <c r="M2779" t="n">
        <v>0</v>
      </c>
    </row>
    <row r="2780" spans="1:13">
      <c r="A2780" s="1">
        <f>HYPERLINK("http://www.twitter.com/NathanBLawrence/status/976234192790020096", "976234192790020096")</f>
        <v/>
      </c>
      <c r="B2780" s="2" t="n">
        <v>43179.96461805556</v>
      </c>
      <c r="C2780" t="n">
        <v>0</v>
      </c>
      <c r="D2780" t="n">
        <v>24</v>
      </c>
      <c r="E2780" t="s">
        <v>2791</v>
      </c>
      <c r="F2780">
        <f>HYPERLINK("https://video.twimg.com/ext_tw_video/976173915637608448/pu/vid/1280x720/B2Gs2F7W8xR_KdYk.mp4", "https://video.twimg.com/ext_tw_video/976173915637608448/pu/vid/1280x720/B2Gs2F7W8xR_KdYk.mp4")</f>
        <v/>
      </c>
      <c r="G2780" t="s"/>
      <c r="H2780" t="s"/>
      <c r="I2780" t="s"/>
      <c r="J2780" t="n">
        <v>-0.3612</v>
      </c>
      <c r="K2780" t="n">
        <v>0.102</v>
      </c>
      <c r="L2780" t="n">
        <v>0.898</v>
      </c>
      <c r="M2780" t="n">
        <v>0</v>
      </c>
    </row>
    <row r="2781" spans="1:13">
      <c r="A2781" s="1">
        <f>HYPERLINK("http://www.twitter.com/NathanBLawrence/status/976233516534059008", "976233516534059008")</f>
        <v/>
      </c>
      <c r="B2781" s="2" t="n">
        <v>43179.96275462963</v>
      </c>
      <c r="C2781" t="n">
        <v>0</v>
      </c>
      <c r="D2781" t="n">
        <v>746</v>
      </c>
      <c r="E2781" t="s">
        <v>2792</v>
      </c>
      <c r="F2781">
        <f>HYPERLINK("https://video.twimg.com/amplify_video/976139936930787328/vid/1280x720/JYid6YocHPZnzCXp.mp4", "https://video.twimg.com/amplify_video/976139936930787328/vid/1280x720/JYid6YocHPZnzCXp.mp4")</f>
        <v/>
      </c>
      <c r="G2781" t="s"/>
      <c r="H2781" t="s"/>
      <c r="I2781" t="s"/>
      <c r="J2781" t="n">
        <v>0.6249</v>
      </c>
      <c r="K2781" t="n">
        <v>0</v>
      </c>
      <c r="L2781" t="n">
        <v>0.837</v>
      </c>
      <c r="M2781" t="n">
        <v>0.163</v>
      </c>
    </row>
    <row r="2782" spans="1:13">
      <c r="A2782" s="1">
        <f>HYPERLINK("http://www.twitter.com/NathanBLawrence/status/976233333041582080", "976233333041582080")</f>
        <v/>
      </c>
      <c r="B2782" s="2" t="n">
        <v>43179.96224537037</v>
      </c>
      <c r="C2782" t="n">
        <v>0</v>
      </c>
      <c r="D2782" t="n">
        <v>150</v>
      </c>
      <c r="E2782" t="s">
        <v>2793</v>
      </c>
      <c r="F2782" t="s"/>
      <c r="G2782" t="s"/>
      <c r="H2782" t="s"/>
      <c r="I2782" t="s"/>
      <c r="J2782" t="n">
        <v>-0.5574</v>
      </c>
      <c r="K2782" t="n">
        <v>0.184</v>
      </c>
      <c r="L2782" t="n">
        <v>0.8159999999999999</v>
      </c>
      <c r="M2782" t="n">
        <v>0</v>
      </c>
    </row>
    <row r="2783" spans="1:13">
      <c r="A2783" s="1">
        <f>HYPERLINK("http://www.twitter.com/NathanBLawrence/status/976233185536237569", "976233185536237569")</f>
        <v/>
      </c>
      <c r="B2783" s="2" t="n">
        <v>43179.96184027778</v>
      </c>
      <c r="C2783" t="n">
        <v>0</v>
      </c>
      <c r="D2783" t="n">
        <v>30</v>
      </c>
      <c r="E2783" t="s">
        <v>2794</v>
      </c>
      <c r="F2783" t="s"/>
      <c r="G2783" t="s"/>
      <c r="H2783" t="s"/>
      <c r="I2783" t="s"/>
      <c r="J2783" t="n">
        <v>-0.0688</v>
      </c>
      <c r="K2783" t="n">
        <v>0.18</v>
      </c>
      <c r="L2783" t="n">
        <v>0.647</v>
      </c>
      <c r="M2783" t="n">
        <v>0.173</v>
      </c>
    </row>
    <row r="2784" spans="1:13">
      <c r="A2784" s="1">
        <f>HYPERLINK("http://www.twitter.com/NathanBLawrence/status/976232993848209409", "976232993848209409")</f>
        <v/>
      </c>
      <c r="B2784" s="2" t="n">
        <v>43179.96130787037</v>
      </c>
      <c r="C2784" t="n">
        <v>0</v>
      </c>
      <c r="D2784" t="n">
        <v>15620</v>
      </c>
      <c r="E2784" t="s">
        <v>2795</v>
      </c>
      <c r="F2784" t="s"/>
      <c r="G2784" t="s"/>
      <c r="H2784" t="s"/>
      <c r="I2784" t="s"/>
      <c r="J2784" t="n">
        <v>0</v>
      </c>
      <c r="K2784" t="n">
        <v>0</v>
      </c>
      <c r="L2784" t="n">
        <v>1</v>
      </c>
      <c r="M2784" t="n">
        <v>0</v>
      </c>
    </row>
    <row r="2785" spans="1:13">
      <c r="A2785" s="1">
        <f>HYPERLINK("http://www.twitter.com/NathanBLawrence/status/976232117586878464", "976232117586878464")</f>
        <v/>
      </c>
      <c r="B2785" s="2" t="n">
        <v>43179.95890046296</v>
      </c>
      <c r="C2785" t="n">
        <v>0</v>
      </c>
      <c r="D2785" t="n">
        <v>88</v>
      </c>
      <c r="E2785" t="s">
        <v>2796</v>
      </c>
      <c r="F2785">
        <f>HYPERLINK("http://pbs.twimg.com/media/DYxB9IbVMAAc1Vx.jpg", "http://pbs.twimg.com/media/DYxB9IbVMAAc1Vx.jpg")</f>
        <v/>
      </c>
      <c r="G2785" t="s"/>
      <c r="H2785" t="s"/>
      <c r="I2785" t="s"/>
      <c r="J2785" t="n">
        <v>0.9381</v>
      </c>
      <c r="K2785" t="n">
        <v>0</v>
      </c>
      <c r="L2785" t="n">
        <v>0.492</v>
      </c>
      <c r="M2785" t="n">
        <v>0.508</v>
      </c>
    </row>
    <row r="2786" spans="1:13">
      <c r="A2786" s="1">
        <f>HYPERLINK("http://www.twitter.com/NathanBLawrence/status/976231530870788096", "976231530870788096")</f>
        <v/>
      </c>
      <c r="B2786" s="2" t="n">
        <v>43179.9572800926</v>
      </c>
      <c r="C2786" t="n">
        <v>0</v>
      </c>
      <c r="D2786" t="n">
        <v>647</v>
      </c>
      <c r="E2786" t="s">
        <v>2797</v>
      </c>
      <c r="F2786">
        <f>HYPERLINK("https://video.twimg.com/amplify_video/976225937342844928/vid/1280x720/U448096Yo2uGgvNP.mp4", "https://video.twimg.com/amplify_video/976225937342844928/vid/1280x720/U448096Yo2uGgvNP.mp4")</f>
        <v/>
      </c>
      <c r="G2786" t="s"/>
      <c r="H2786" t="s"/>
      <c r="I2786" t="s"/>
      <c r="J2786" t="n">
        <v>0.4019</v>
      </c>
      <c r="K2786" t="n">
        <v>0</v>
      </c>
      <c r="L2786" t="n">
        <v>0.881</v>
      </c>
      <c r="M2786" t="n">
        <v>0.119</v>
      </c>
    </row>
    <row r="2787" spans="1:13">
      <c r="A2787" s="1">
        <f>HYPERLINK("http://www.twitter.com/NathanBLawrence/status/976231404832022528", "976231404832022528")</f>
        <v/>
      </c>
      <c r="B2787" s="2" t="n">
        <v>43179.95693287037</v>
      </c>
      <c r="C2787" t="n">
        <v>0</v>
      </c>
      <c r="D2787" t="n">
        <v>100</v>
      </c>
      <c r="E2787" t="s">
        <v>2798</v>
      </c>
      <c r="F2787">
        <f>HYPERLINK("http://pbs.twimg.com/media/DYxDnSxXkAEq5_G.jpg", "http://pbs.twimg.com/media/DYxDnSxXkAEq5_G.jpg")</f>
        <v/>
      </c>
      <c r="G2787" t="s"/>
      <c r="H2787" t="s"/>
      <c r="I2787" t="s"/>
      <c r="J2787" t="n">
        <v>0.3182</v>
      </c>
      <c r="K2787" t="n">
        <v>0</v>
      </c>
      <c r="L2787" t="n">
        <v>0.897</v>
      </c>
      <c r="M2787" t="n">
        <v>0.103</v>
      </c>
    </row>
    <row r="2788" spans="1:13">
      <c r="A2788" s="1">
        <f>HYPERLINK("http://www.twitter.com/NathanBLawrence/status/976231035129221120", "976231035129221120")</f>
        <v/>
      </c>
      <c r="B2788" s="2" t="n">
        <v>43179.95590277778</v>
      </c>
      <c r="C2788" t="n">
        <v>0</v>
      </c>
      <c r="D2788" t="n">
        <v>775</v>
      </c>
      <c r="E2788" t="s">
        <v>2799</v>
      </c>
      <c r="F2788" t="s"/>
      <c r="G2788" t="s"/>
      <c r="H2788" t="s"/>
      <c r="I2788" t="s"/>
      <c r="J2788" t="n">
        <v>-0.7783</v>
      </c>
      <c r="K2788" t="n">
        <v>0.256</v>
      </c>
      <c r="L2788" t="n">
        <v>0.704</v>
      </c>
      <c r="M2788" t="n">
        <v>0.041</v>
      </c>
    </row>
    <row r="2789" spans="1:13">
      <c r="A2789" s="1">
        <f>HYPERLINK("http://www.twitter.com/NathanBLawrence/status/976230091318595584", "976230091318595584")</f>
        <v/>
      </c>
      <c r="B2789" s="2" t="n">
        <v>43179.95329861111</v>
      </c>
      <c r="C2789" t="n">
        <v>1</v>
      </c>
      <c r="D2789" t="n">
        <v>0</v>
      </c>
      <c r="E2789" t="s">
        <v>2800</v>
      </c>
      <c r="F2789" t="s"/>
      <c r="G2789" t="s"/>
      <c r="H2789" t="s"/>
      <c r="I2789" t="s"/>
      <c r="J2789" t="n">
        <v>0</v>
      </c>
      <c r="K2789" t="n">
        <v>0</v>
      </c>
      <c r="L2789" t="n">
        <v>1</v>
      </c>
      <c r="M2789" t="n">
        <v>0</v>
      </c>
    </row>
    <row r="2790" spans="1:13">
      <c r="A2790" s="1">
        <f>HYPERLINK("http://www.twitter.com/NathanBLawrence/status/976229650870489089", "976229650870489089")</f>
        <v/>
      </c>
      <c r="B2790" s="2" t="n">
        <v>43179.95208333333</v>
      </c>
      <c r="C2790" t="n">
        <v>0</v>
      </c>
      <c r="D2790" t="n">
        <v>35</v>
      </c>
      <c r="E2790" t="s">
        <v>2801</v>
      </c>
      <c r="F2790" t="s"/>
      <c r="G2790" t="s"/>
      <c r="H2790" t="s"/>
      <c r="I2790" t="s"/>
      <c r="J2790" t="n">
        <v>0</v>
      </c>
      <c r="K2790" t="n">
        <v>0</v>
      </c>
      <c r="L2790" t="n">
        <v>1</v>
      </c>
      <c r="M2790" t="n">
        <v>0</v>
      </c>
    </row>
    <row r="2791" spans="1:13">
      <c r="A2791" s="1">
        <f>HYPERLINK("http://www.twitter.com/NathanBLawrence/status/976229071817502720", "976229071817502720")</f>
        <v/>
      </c>
      <c r="B2791" s="2" t="n">
        <v>43179.95048611111</v>
      </c>
      <c r="C2791" t="n">
        <v>0</v>
      </c>
      <c r="D2791" t="n">
        <v>84</v>
      </c>
      <c r="E2791" t="s">
        <v>2802</v>
      </c>
      <c r="F2791" t="s"/>
      <c r="G2791" t="s"/>
      <c r="H2791" t="s"/>
      <c r="I2791" t="s"/>
      <c r="J2791" t="n">
        <v>0</v>
      </c>
      <c r="K2791" t="n">
        <v>0</v>
      </c>
      <c r="L2791" t="n">
        <v>1</v>
      </c>
      <c r="M2791" t="n">
        <v>0</v>
      </c>
    </row>
    <row r="2792" spans="1:13">
      <c r="A2792" s="1">
        <f>HYPERLINK("http://www.twitter.com/NathanBLawrence/status/976228333666136065", "976228333666136065")</f>
        <v/>
      </c>
      <c r="B2792" s="2" t="n">
        <v>43179.94844907407</v>
      </c>
      <c r="C2792" t="n">
        <v>0</v>
      </c>
      <c r="D2792" t="n">
        <v>3</v>
      </c>
      <c r="E2792" t="s">
        <v>2803</v>
      </c>
      <c r="F2792" t="s"/>
      <c r="G2792" t="s"/>
      <c r="H2792" t="s"/>
      <c r="I2792" t="s"/>
      <c r="J2792" t="n">
        <v>0</v>
      </c>
      <c r="K2792" t="n">
        <v>0</v>
      </c>
      <c r="L2792" t="n">
        <v>1</v>
      </c>
      <c r="M2792" t="n">
        <v>0</v>
      </c>
    </row>
    <row r="2793" spans="1:13">
      <c r="A2793" s="1">
        <f>HYPERLINK("http://www.twitter.com/NathanBLawrence/status/976227665547026432", "976227665547026432")</f>
        <v/>
      </c>
      <c r="B2793" s="2" t="n">
        <v>43179.94660879629</v>
      </c>
      <c r="C2793" t="n">
        <v>0</v>
      </c>
      <c r="D2793" t="n">
        <v>114</v>
      </c>
      <c r="E2793" t="s">
        <v>2804</v>
      </c>
      <c r="F2793" t="s"/>
      <c r="G2793" t="s"/>
      <c r="H2793" t="s"/>
      <c r="I2793" t="s"/>
      <c r="J2793" t="n">
        <v>-0.2023</v>
      </c>
      <c r="K2793" t="n">
        <v>0.198</v>
      </c>
      <c r="L2793" t="n">
        <v>0.634</v>
      </c>
      <c r="M2793" t="n">
        <v>0.168</v>
      </c>
    </row>
    <row r="2794" spans="1:13">
      <c r="A2794" s="1">
        <f>HYPERLINK("http://www.twitter.com/NathanBLawrence/status/976226958731366400", "976226958731366400")</f>
        <v/>
      </c>
      <c r="B2794" s="2" t="n">
        <v>43179.94466435185</v>
      </c>
      <c r="C2794" t="n">
        <v>0</v>
      </c>
      <c r="D2794" t="n">
        <v>204</v>
      </c>
      <c r="E2794" t="s">
        <v>2805</v>
      </c>
      <c r="F2794">
        <f>HYPERLINK("http://pbs.twimg.com/media/DYw3xOrXUAArVX9.jpg", "http://pbs.twimg.com/media/DYw3xOrXUAArVX9.jpg")</f>
        <v/>
      </c>
      <c r="G2794" t="s"/>
      <c r="H2794" t="s"/>
      <c r="I2794" t="s"/>
      <c r="J2794" t="n">
        <v>-0.7184</v>
      </c>
      <c r="K2794" t="n">
        <v>0.231</v>
      </c>
      <c r="L2794" t="n">
        <v>0.769</v>
      </c>
      <c r="M2794" t="n">
        <v>0</v>
      </c>
    </row>
    <row r="2795" spans="1:13">
      <c r="A2795" s="1">
        <f>HYPERLINK("http://www.twitter.com/NathanBLawrence/status/976226038794653699", "976226038794653699")</f>
        <v/>
      </c>
      <c r="B2795" s="2" t="n">
        <v>43179.94211805556</v>
      </c>
      <c r="C2795" t="n">
        <v>0</v>
      </c>
      <c r="D2795" t="n">
        <v>439</v>
      </c>
      <c r="E2795" t="s">
        <v>2806</v>
      </c>
      <c r="F2795" t="s"/>
      <c r="G2795" t="s"/>
      <c r="H2795" t="s"/>
      <c r="I2795" t="s"/>
      <c r="J2795" t="n">
        <v>0.6124000000000001</v>
      </c>
      <c r="K2795" t="n">
        <v>0</v>
      </c>
      <c r="L2795" t="n">
        <v>0.783</v>
      </c>
      <c r="M2795" t="n">
        <v>0.217</v>
      </c>
    </row>
    <row r="2796" spans="1:13">
      <c r="A2796" s="1">
        <f>HYPERLINK("http://www.twitter.com/NathanBLawrence/status/976225915997970434", "976225915997970434")</f>
        <v/>
      </c>
      <c r="B2796" s="2" t="n">
        <v>43179.9417824074</v>
      </c>
      <c r="C2796" t="n">
        <v>0</v>
      </c>
      <c r="D2796" t="n">
        <v>7</v>
      </c>
      <c r="E2796" t="s">
        <v>2807</v>
      </c>
      <c r="F2796" t="s"/>
      <c r="G2796" t="s"/>
      <c r="H2796" t="s"/>
      <c r="I2796" t="s"/>
      <c r="J2796" t="n">
        <v>-0.7461</v>
      </c>
      <c r="K2796" t="n">
        <v>0.442</v>
      </c>
      <c r="L2796" t="n">
        <v>0.5580000000000001</v>
      </c>
      <c r="M2796" t="n">
        <v>0</v>
      </c>
    </row>
    <row r="2797" spans="1:13">
      <c r="A2797" s="1">
        <f>HYPERLINK("http://www.twitter.com/NathanBLawrence/status/976225617967484928", "976225617967484928")</f>
        <v/>
      </c>
      <c r="B2797" s="2" t="n">
        <v>43179.94096064815</v>
      </c>
      <c r="C2797" t="n">
        <v>0</v>
      </c>
      <c r="D2797" t="n">
        <v>2134</v>
      </c>
      <c r="E2797" t="s">
        <v>2808</v>
      </c>
      <c r="F2797" t="s"/>
      <c r="G2797" t="s"/>
      <c r="H2797" t="s"/>
      <c r="I2797" t="s"/>
      <c r="J2797" t="n">
        <v>0</v>
      </c>
      <c r="K2797" t="n">
        <v>0</v>
      </c>
      <c r="L2797" t="n">
        <v>1</v>
      </c>
      <c r="M2797" t="n">
        <v>0</v>
      </c>
    </row>
    <row r="2798" spans="1:13">
      <c r="A2798" s="1">
        <f>HYPERLINK("http://www.twitter.com/NathanBLawrence/status/976224340684484608", "976224340684484608")</f>
        <v/>
      </c>
      <c r="B2798" s="2" t="n">
        <v>43179.93743055555</v>
      </c>
      <c r="C2798" t="n">
        <v>0</v>
      </c>
      <c r="D2798" t="n">
        <v>7781</v>
      </c>
      <c r="E2798" t="s">
        <v>2809</v>
      </c>
      <c r="F2798" t="s"/>
      <c r="G2798" t="s"/>
      <c r="H2798" t="s"/>
      <c r="I2798" t="s"/>
      <c r="J2798" t="n">
        <v>-0.25</v>
      </c>
      <c r="K2798" t="n">
        <v>0.137</v>
      </c>
      <c r="L2798" t="n">
        <v>0.763</v>
      </c>
      <c r="M2798" t="n">
        <v>0.099</v>
      </c>
    </row>
    <row r="2799" spans="1:13">
      <c r="A2799" s="1">
        <f>HYPERLINK("http://www.twitter.com/NathanBLawrence/status/976215259844370432", "976215259844370432")</f>
        <v/>
      </c>
      <c r="B2799" s="2" t="n">
        <v>43179.91237268518</v>
      </c>
      <c r="C2799" t="n">
        <v>0</v>
      </c>
      <c r="D2799" t="n">
        <v>4047</v>
      </c>
      <c r="E2799" t="s">
        <v>2810</v>
      </c>
      <c r="F2799">
        <f>HYPERLINK("http://pbs.twimg.com/media/DYwz5GTX4AABAqB.jpg", "http://pbs.twimg.com/media/DYwz5GTX4AABAqB.jpg")</f>
        <v/>
      </c>
      <c r="G2799">
        <f>HYPERLINK("http://pbs.twimg.com/media/DYwz5GSWkAEX_sY.jpg", "http://pbs.twimg.com/media/DYwz5GSWkAEX_sY.jpg")</f>
        <v/>
      </c>
      <c r="H2799">
        <f>HYPERLINK("http://pbs.twimg.com/media/DYwz5GSWkAIh4-W.jpg", "http://pbs.twimg.com/media/DYwz5GSWkAIh4-W.jpg")</f>
        <v/>
      </c>
      <c r="I2799" t="s"/>
      <c r="J2799" t="n">
        <v>0.765</v>
      </c>
      <c r="K2799" t="n">
        <v>0</v>
      </c>
      <c r="L2799" t="n">
        <v>0.734</v>
      </c>
      <c r="M2799" t="n">
        <v>0.266</v>
      </c>
    </row>
    <row r="2800" spans="1:13">
      <c r="A2800" s="1">
        <f>HYPERLINK("http://www.twitter.com/NathanBLawrence/status/976214990242877441", "976214990242877441")</f>
        <v/>
      </c>
      <c r="B2800" s="2" t="n">
        <v>43179.91163194444</v>
      </c>
      <c r="C2800" t="n">
        <v>2</v>
      </c>
      <c r="D2800" t="n">
        <v>0</v>
      </c>
      <c r="E2800" t="s">
        <v>2811</v>
      </c>
      <c r="F2800" t="s"/>
      <c r="G2800" t="s"/>
      <c r="H2800" t="s"/>
      <c r="I2800" t="s"/>
      <c r="J2800" t="n">
        <v>0.3182</v>
      </c>
      <c r="K2800" t="n">
        <v>0</v>
      </c>
      <c r="L2800" t="n">
        <v>0.859</v>
      </c>
      <c r="M2800" t="n">
        <v>0.141</v>
      </c>
    </row>
    <row r="2801" spans="1:13">
      <c r="A2801" s="1">
        <f>HYPERLINK("http://www.twitter.com/NathanBLawrence/status/976214329665183744", "976214329665183744")</f>
        <v/>
      </c>
      <c r="B2801" s="2" t="n">
        <v>43179.90981481481</v>
      </c>
      <c r="C2801" t="n">
        <v>0</v>
      </c>
      <c r="D2801" t="n">
        <v>3</v>
      </c>
      <c r="E2801" t="s">
        <v>2812</v>
      </c>
      <c r="F2801" t="s"/>
      <c r="G2801" t="s"/>
      <c r="H2801" t="s"/>
      <c r="I2801" t="s"/>
      <c r="J2801" t="n">
        <v>-0.2755</v>
      </c>
      <c r="K2801" t="n">
        <v>0.081</v>
      </c>
      <c r="L2801" t="n">
        <v>0.919</v>
      </c>
      <c r="M2801" t="n">
        <v>0</v>
      </c>
    </row>
    <row r="2802" spans="1:13">
      <c r="A2802" s="1">
        <f>HYPERLINK("http://www.twitter.com/NathanBLawrence/status/976214012944928769", "976214012944928769")</f>
        <v/>
      </c>
      <c r="B2802" s="2" t="n">
        <v>43179.90893518519</v>
      </c>
      <c r="C2802" t="n">
        <v>0</v>
      </c>
      <c r="D2802" t="n">
        <v>52</v>
      </c>
      <c r="E2802" t="s">
        <v>2813</v>
      </c>
      <c r="F2802">
        <f>HYPERLINK("https://video.twimg.com/ext_tw_video/976156920875687936/pu/vid/1280x720/Ma7Y0EjeQ6PDTU8b.mp4", "https://video.twimg.com/ext_tw_video/976156920875687936/pu/vid/1280x720/Ma7Y0EjeQ6PDTU8b.mp4")</f>
        <v/>
      </c>
      <c r="G2802" t="s"/>
      <c r="H2802" t="s"/>
      <c r="I2802" t="s"/>
      <c r="J2802" t="n">
        <v>-0.5423</v>
      </c>
      <c r="K2802" t="n">
        <v>0.171</v>
      </c>
      <c r="L2802" t="n">
        <v>0.829</v>
      </c>
      <c r="M2802" t="n">
        <v>0</v>
      </c>
    </row>
    <row r="2803" spans="1:13">
      <c r="A2803" s="1">
        <f>HYPERLINK("http://www.twitter.com/NathanBLawrence/status/976213896431394816", "976213896431394816")</f>
        <v/>
      </c>
      <c r="B2803" s="2" t="n">
        <v>43179.90861111111</v>
      </c>
      <c r="C2803" t="n">
        <v>0</v>
      </c>
      <c r="D2803" t="n">
        <v>500</v>
      </c>
      <c r="E2803" t="s">
        <v>2814</v>
      </c>
      <c r="F2803" t="s"/>
      <c r="G2803" t="s"/>
      <c r="H2803" t="s"/>
      <c r="I2803" t="s"/>
      <c r="J2803" t="n">
        <v>0</v>
      </c>
      <c r="K2803" t="n">
        <v>0</v>
      </c>
      <c r="L2803" t="n">
        <v>1</v>
      </c>
      <c r="M2803" t="n">
        <v>0</v>
      </c>
    </row>
    <row r="2804" spans="1:13">
      <c r="A2804" s="1">
        <f>HYPERLINK("http://www.twitter.com/NathanBLawrence/status/976213807587569664", "976213807587569664")</f>
        <v/>
      </c>
      <c r="B2804" s="2" t="n">
        <v>43179.90836805556</v>
      </c>
      <c r="C2804" t="n">
        <v>0</v>
      </c>
      <c r="D2804" t="n">
        <v>11</v>
      </c>
      <c r="E2804" t="s">
        <v>2815</v>
      </c>
      <c r="F2804" t="s"/>
      <c r="G2804" t="s"/>
      <c r="H2804" t="s"/>
      <c r="I2804" t="s"/>
      <c r="J2804" t="n">
        <v>0</v>
      </c>
      <c r="K2804" t="n">
        <v>0</v>
      </c>
      <c r="L2804" t="n">
        <v>1</v>
      </c>
      <c r="M2804" t="n">
        <v>0</v>
      </c>
    </row>
    <row r="2805" spans="1:13">
      <c r="A2805" s="1">
        <f>HYPERLINK("http://www.twitter.com/NathanBLawrence/status/976213710413889536", "976213710413889536")</f>
        <v/>
      </c>
      <c r="B2805" s="2" t="n">
        <v>43179.90810185186</v>
      </c>
      <c r="C2805" t="n">
        <v>0</v>
      </c>
      <c r="D2805" t="n">
        <v>1770</v>
      </c>
      <c r="E2805" t="s">
        <v>2816</v>
      </c>
      <c r="F2805">
        <f>HYPERLINK("http://pbs.twimg.com/media/DYgCVmfW4AAqNKG.jpg", "http://pbs.twimg.com/media/DYgCVmfW4AAqNKG.jpg")</f>
        <v/>
      </c>
      <c r="G2805" t="s"/>
      <c r="H2805" t="s"/>
      <c r="I2805" t="s"/>
      <c r="J2805" t="n">
        <v>-0.5859</v>
      </c>
      <c r="K2805" t="n">
        <v>0.255</v>
      </c>
      <c r="L2805" t="n">
        <v>0.745</v>
      </c>
      <c r="M2805" t="n">
        <v>0</v>
      </c>
    </row>
    <row r="2806" spans="1:13">
      <c r="A2806" s="1">
        <f>HYPERLINK("http://www.twitter.com/NathanBLawrence/status/976213353705156609", "976213353705156609")</f>
        <v/>
      </c>
      <c r="B2806" s="2" t="n">
        <v>43179.90711805555</v>
      </c>
      <c r="C2806" t="n">
        <v>0</v>
      </c>
      <c r="D2806" t="n">
        <v>2</v>
      </c>
      <c r="E2806" t="s">
        <v>2817</v>
      </c>
      <c r="F2806">
        <f>HYPERLINK("http://pbs.twimg.com/media/DYw0ZdfV4AA7sPT.jpg", "http://pbs.twimg.com/media/DYw0ZdfV4AA7sPT.jpg")</f>
        <v/>
      </c>
      <c r="G2806" t="s"/>
      <c r="H2806" t="s"/>
      <c r="I2806" t="s"/>
      <c r="J2806" t="n">
        <v>0</v>
      </c>
      <c r="K2806" t="n">
        <v>0</v>
      </c>
      <c r="L2806" t="n">
        <v>1</v>
      </c>
      <c r="M2806" t="n">
        <v>0</v>
      </c>
    </row>
    <row r="2807" spans="1:13">
      <c r="A2807" s="1">
        <f>HYPERLINK("http://www.twitter.com/NathanBLawrence/status/976212647212470272", "976212647212470272")</f>
        <v/>
      </c>
      <c r="B2807" s="2" t="n">
        <v>43179.90516203704</v>
      </c>
      <c r="C2807" t="n">
        <v>0</v>
      </c>
      <c r="D2807" t="n">
        <v>645</v>
      </c>
      <c r="E2807" t="s">
        <v>2818</v>
      </c>
      <c r="F2807">
        <f>HYPERLINK("https://video.twimg.com/ext_tw_video/975892253074907136/pu/vid/1280x720/py6ZzQCmrBCTmLRl.mp4", "https://video.twimg.com/ext_tw_video/975892253074907136/pu/vid/1280x720/py6ZzQCmrBCTmLRl.mp4")</f>
        <v/>
      </c>
      <c r="G2807" t="s"/>
      <c r="H2807" t="s"/>
      <c r="I2807" t="s"/>
      <c r="J2807" t="n">
        <v>-0.128</v>
      </c>
      <c r="K2807" t="n">
        <v>0.057</v>
      </c>
      <c r="L2807" t="n">
        <v>0.9429999999999999</v>
      </c>
      <c r="M2807" t="n">
        <v>0</v>
      </c>
    </row>
    <row r="2808" spans="1:13">
      <c r="A2808" s="1">
        <f>HYPERLINK("http://www.twitter.com/NathanBLawrence/status/976211274135678976", "976211274135678976")</f>
        <v/>
      </c>
      <c r="B2808" s="2" t="n">
        <v>43179.90137731482</v>
      </c>
      <c r="C2808" t="n">
        <v>0</v>
      </c>
      <c r="D2808" t="n">
        <v>11</v>
      </c>
      <c r="E2808" t="s">
        <v>2819</v>
      </c>
      <c r="F2808" t="s"/>
      <c r="G2808" t="s"/>
      <c r="H2808" t="s"/>
      <c r="I2808" t="s"/>
      <c r="J2808" t="n">
        <v>0.5574</v>
      </c>
      <c r="K2808" t="n">
        <v>0.057</v>
      </c>
      <c r="L2808" t="n">
        <v>0.779</v>
      </c>
      <c r="M2808" t="n">
        <v>0.164</v>
      </c>
    </row>
    <row r="2809" spans="1:13">
      <c r="A2809" s="1">
        <f>HYPERLINK("http://www.twitter.com/NathanBLawrence/status/976209229072789505", "976209229072789505")</f>
        <v/>
      </c>
      <c r="B2809" s="2" t="n">
        <v>43179.89572916667</v>
      </c>
      <c r="C2809" t="n">
        <v>3</v>
      </c>
      <c r="D2809" t="n">
        <v>0</v>
      </c>
      <c r="E2809" t="s">
        <v>2820</v>
      </c>
      <c r="F2809" t="s"/>
      <c r="G2809" t="s"/>
      <c r="H2809" t="s"/>
      <c r="I2809" t="s"/>
      <c r="J2809" t="n">
        <v>0.4926</v>
      </c>
      <c r="K2809" t="n">
        <v>0</v>
      </c>
      <c r="L2809" t="n">
        <v>0.8139999999999999</v>
      </c>
      <c r="M2809" t="n">
        <v>0.186</v>
      </c>
    </row>
    <row r="2810" spans="1:13">
      <c r="A2810" s="1">
        <f>HYPERLINK("http://www.twitter.com/NathanBLawrence/status/976208368191844352", "976208368191844352")</f>
        <v/>
      </c>
      <c r="B2810" s="2" t="n">
        <v>43179.89335648148</v>
      </c>
      <c r="C2810" t="n">
        <v>0</v>
      </c>
      <c r="D2810" t="n">
        <v>203</v>
      </c>
      <c r="E2810" t="s">
        <v>2821</v>
      </c>
      <c r="F2810">
        <f>HYPERLINK("http://pbs.twimg.com/media/DYwE8YXW4AEiF1t.jpg", "http://pbs.twimg.com/media/DYwE8YXW4AEiF1t.jpg")</f>
        <v/>
      </c>
      <c r="G2810" t="s"/>
      <c r="H2810" t="s"/>
      <c r="I2810" t="s"/>
      <c r="J2810" t="n">
        <v>0</v>
      </c>
      <c r="K2810" t="n">
        <v>0</v>
      </c>
      <c r="L2810" t="n">
        <v>1</v>
      </c>
      <c r="M2810" t="n">
        <v>0</v>
      </c>
    </row>
    <row r="2811" spans="1:13">
      <c r="A2811" s="1">
        <f>HYPERLINK("http://www.twitter.com/NathanBLawrence/status/976208120623091712", "976208120623091712")</f>
        <v/>
      </c>
      <c r="B2811" s="2" t="n">
        <v>43179.89267361111</v>
      </c>
      <c r="C2811" t="n">
        <v>0</v>
      </c>
      <c r="D2811" t="n">
        <v>161</v>
      </c>
      <c r="E2811" t="s">
        <v>2822</v>
      </c>
      <c r="F2811" t="s"/>
      <c r="G2811" t="s"/>
      <c r="H2811" t="s"/>
      <c r="I2811" t="s"/>
      <c r="J2811" t="n">
        <v>0</v>
      </c>
      <c r="K2811" t="n">
        <v>0</v>
      </c>
      <c r="L2811" t="n">
        <v>1</v>
      </c>
      <c r="M2811" t="n">
        <v>0</v>
      </c>
    </row>
    <row r="2812" spans="1:13">
      <c r="A2812" s="1">
        <f>HYPERLINK("http://www.twitter.com/NathanBLawrence/status/976207952037236736", "976207952037236736")</f>
        <v/>
      </c>
      <c r="B2812" s="2" t="n">
        <v>43179.89221064815</v>
      </c>
      <c r="C2812" t="n">
        <v>0</v>
      </c>
      <c r="D2812" t="n">
        <v>295</v>
      </c>
      <c r="E2812" t="s">
        <v>2823</v>
      </c>
      <c r="F2812">
        <f>HYPERLINK("http://pbs.twimg.com/media/DYnqPmkXUAEnbT9.jpg", "http://pbs.twimg.com/media/DYnqPmkXUAEnbT9.jpg")</f>
        <v/>
      </c>
      <c r="G2812" t="s"/>
      <c r="H2812" t="s"/>
      <c r="I2812" t="s"/>
      <c r="J2812" t="n">
        <v>0</v>
      </c>
      <c r="K2812" t="n">
        <v>0</v>
      </c>
      <c r="L2812" t="n">
        <v>1</v>
      </c>
      <c r="M2812" t="n">
        <v>0</v>
      </c>
    </row>
    <row r="2813" spans="1:13">
      <c r="A2813" s="1">
        <f>HYPERLINK("http://www.twitter.com/NathanBLawrence/status/976207086018289665", "976207086018289665")</f>
        <v/>
      </c>
      <c r="B2813" s="2" t="n">
        <v>43179.88982638889</v>
      </c>
      <c r="C2813" t="n">
        <v>0</v>
      </c>
      <c r="D2813" t="n">
        <v>783</v>
      </c>
      <c r="E2813" t="s">
        <v>2824</v>
      </c>
      <c r="F2813">
        <f>HYPERLINK("http://pbs.twimg.com/media/DYCX6J4VQAABVQk.jpg", "http://pbs.twimg.com/media/DYCX6J4VQAABVQk.jpg")</f>
        <v/>
      </c>
      <c r="G2813" t="s"/>
      <c r="H2813" t="s"/>
      <c r="I2813" t="s"/>
      <c r="J2813" t="n">
        <v>0.7185</v>
      </c>
      <c r="K2813" t="n">
        <v>0</v>
      </c>
      <c r="L2813" t="n">
        <v>0.739</v>
      </c>
      <c r="M2813" t="n">
        <v>0.261</v>
      </c>
    </row>
    <row r="2814" spans="1:13">
      <c r="A2814" s="1">
        <f>HYPERLINK("http://www.twitter.com/NathanBLawrence/status/976206278954504192", "976206278954504192")</f>
        <v/>
      </c>
      <c r="B2814" s="2" t="n">
        <v>43179.88759259259</v>
      </c>
      <c r="C2814" t="n">
        <v>0</v>
      </c>
      <c r="D2814" t="n">
        <v>3</v>
      </c>
      <c r="E2814" t="s">
        <v>2825</v>
      </c>
      <c r="F2814">
        <f>HYPERLINK("http://pbs.twimg.com/media/DYwe3jSW0AAJ-ys.jpg", "http://pbs.twimg.com/media/DYwe3jSW0AAJ-ys.jpg")</f>
        <v/>
      </c>
      <c r="G2814" t="s"/>
      <c r="H2814" t="s"/>
      <c r="I2814" t="s"/>
      <c r="J2814" t="n">
        <v>-0.3182</v>
      </c>
      <c r="K2814" t="n">
        <v>0.113</v>
      </c>
      <c r="L2814" t="n">
        <v>0.887</v>
      </c>
      <c r="M2814" t="n">
        <v>0</v>
      </c>
    </row>
    <row r="2815" spans="1:13">
      <c r="A2815" s="1">
        <f>HYPERLINK("http://www.twitter.com/NathanBLawrence/status/976206228476002304", "976206228476002304")</f>
        <v/>
      </c>
      <c r="B2815" s="2" t="n">
        <v>43179.8874537037</v>
      </c>
      <c r="C2815" t="n">
        <v>0</v>
      </c>
      <c r="D2815" t="n">
        <v>612</v>
      </c>
      <c r="E2815" t="s">
        <v>2826</v>
      </c>
      <c r="F2815">
        <f>HYPERLINK("http://pbs.twimg.com/media/DYwq-w2W4AUJTTH.jpg", "http://pbs.twimg.com/media/DYwq-w2W4AUJTTH.jpg")</f>
        <v/>
      </c>
      <c r="G2815" t="s"/>
      <c r="H2815" t="s"/>
      <c r="I2815" t="s"/>
      <c r="J2815" t="n">
        <v>0.4404</v>
      </c>
      <c r="K2815" t="n">
        <v>0</v>
      </c>
      <c r="L2815" t="n">
        <v>0.8179999999999999</v>
      </c>
      <c r="M2815" t="n">
        <v>0.182</v>
      </c>
    </row>
    <row r="2816" spans="1:13">
      <c r="A2816" s="1">
        <f>HYPERLINK("http://www.twitter.com/NathanBLawrence/status/976206027774484486", "976206027774484486")</f>
        <v/>
      </c>
      <c r="B2816" s="2" t="n">
        <v>43179.88689814815</v>
      </c>
      <c r="C2816" t="n">
        <v>0</v>
      </c>
      <c r="D2816" t="n">
        <v>172</v>
      </c>
      <c r="E2816" t="s">
        <v>2827</v>
      </c>
      <c r="F2816">
        <f>HYPERLINK("http://pbs.twimg.com/media/DYws0MoV4AAZy5D.jpg", "http://pbs.twimg.com/media/DYws0MoV4AAZy5D.jpg")</f>
        <v/>
      </c>
      <c r="G2816" t="s"/>
      <c r="H2816" t="s"/>
      <c r="I2816" t="s"/>
      <c r="J2816" t="n">
        <v>0</v>
      </c>
      <c r="K2816" t="n">
        <v>0</v>
      </c>
      <c r="L2816" t="n">
        <v>1</v>
      </c>
      <c r="M2816" t="n">
        <v>0</v>
      </c>
    </row>
    <row r="2817" spans="1:13">
      <c r="A2817" s="1">
        <f>HYPERLINK("http://www.twitter.com/NathanBLawrence/status/976205939077472257", "976205939077472257")</f>
        <v/>
      </c>
      <c r="B2817" s="2" t="n">
        <v>43179.8866550926</v>
      </c>
      <c r="C2817" t="n">
        <v>0</v>
      </c>
      <c r="D2817" t="n">
        <v>1</v>
      </c>
      <c r="E2817" t="s">
        <v>2828</v>
      </c>
      <c r="F2817" t="s"/>
      <c r="G2817" t="s"/>
      <c r="H2817" t="s"/>
      <c r="I2817" t="s"/>
      <c r="J2817" t="n">
        <v>-0.4278</v>
      </c>
      <c r="K2817" t="n">
        <v>0.168</v>
      </c>
      <c r="L2817" t="n">
        <v>0.832</v>
      </c>
      <c r="M2817" t="n">
        <v>0</v>
      </c>
    </row>
    <row r="2818" spans="1:13">
      <c r="A2818" s="1">
        <f>HYPERLINK("http://www.twitter.com/NathanBLawrence/status/976205086966845440", "976205086966845440")</f>
        <v/>
      </c>
      <c r="B2818" s="2" t="n">
        <v>43179.88430555556</v>
      </c>
      <c r="C2818" t="n">
        <v>0</v>
      </c>
      <c r="D2818" t="n">
        <v>679</v>
      </c>
      <c r="E2818" t="s">
        <v>2829</v>
      </c>
      <c r="F2818" t="s"/>
      <c r="G2818" t="s"/>
      <c r="H2818" t="s"/>
      <c r="I2818" t="s"/>
      <c r="J2818" t="n">
        <v>-0.5574</v>
      </c>
      <c r="K2818" t="n">
        <v>0.229</v>
      </c>
      <c r="L2818" t="n">
        <v>0.634</v>
      </c>
      <c r="M2818" t="n">
        <v>0.137</v>
      </c>
    </row>
    <row r="2819" spans="1:13">
      <c r="A2819" s="1">
        <f>HYPERLINK("http://www.twitter.com/NathanBLawrence/status/976204870490427401", "976204870490427401")</f>
        <v/>
      </c>
      <c r="B2819" s="2" t="n">
        <v>43179.8837037037</v>
      </c>
      <c r="C2819" t="n">
        <v>0</v>
      </c>
      <c r="D2819" t="n">
        <v>88</v>
      </c>
      <c r="E2819" t="s">
        <v>2830</v>
      </c>
      <c r="F2819">
        <f>HYPERLINK("http://pbs.twimg.com/media/DYwFX1KWsAM51E3.jpg", "http://pbs.twimg.com/media/DYwFX1KWsAM51E3.jpg")</f>
        <v/>
      </c>
      <c r="G2819" t="s"/>
      <c r="H2819" t="s"/>
      <c r="I2819" t="s"/>
      <c r="J2819" t="n">
        <v>0.5696</v>
      </c>
      <c r="K2819" t="n">
        <v>0.08400000000000001</v>
      </c>
      <c r="L2819" t="n">
        <v>0.696</v>
      </c>
      <c r="M2819" t="n">
        <v>0.219</v>
      </c>
    </row>
    <row r="2820" spans="1:13">
      <c r="A2820" s="1">
        <f>HYPERLINK("http://www.twitter.com/NathanBLawrence/status/976163786804617216", "976163786804617216")</f>
        <v/>
      </c>
      <c r="B2820" s="2" t="n">
        <v>43179.77033564815</v>
      </c>
      <c r="C2820" t="n">
        <v>0</v>
      </c>
      <c r="D2820" t="n">
        <v>167</v>
      </c>
      <c r="E2820" t="s">
        <v>2831</v>
      </c>
      <c r="F2820" t="s"/>
      <c r="G2820" t="s"/>
      <c r="H2820" t="s"/>
      <c r="I2820" t="s"/>
      <c r="J2820" t="n">
        <v>0.4278</v>
      </c>
      <c r="K2820" t="n">
        <v>0.08400000000000001</v>
      </c>
      <c r="L2820" t="n">
        <v>0.719</v>
      </c>
      <c r="M2820" t="n">
        <v>0.197</v>
      </c>
    </row>
    <row r="2821" spans="1:13">
      <c r="A2821" s="1">
        <f>HYPERLINK("http://www.twitter.com/NathanBLawrence/status/976163264898969601", "976163264898969601")</f>
        <v/>
      </c>
      <c r="B2821" s="2" t="n">
        <v>43179.76890046296</v>
      </c>
      <c r="C2821" t="n">
        <v>0</v>
      </c>
      <c r="D2821" t="n">
        <v>25</v>
      </c>
      <c r="E2821" t="s">
        <v>2832</v>
      </c>
      <c r="F2821" t="s"/>
      <c r="G2821" t="s"/>
      <c r="H2821" t="s"/>
      <c r="I2821" t="s"/>
      <c r="J2821" t="n">
        <v>0</v>
      </c>
      <c r="K2821" t="n">
        <v>0</v>
      </c>
      <c r="L2821" t="n">
        <v>1</v>
      </c>
      <c r="M2821" t="n">
        <v>0</v>
      </c>
    </row>
    <row r="2822" spans="1:13">
      <c r="A2822" s="1">
        <f>HYPERLINK("http://www.twitter.com/NathanBLawrence/status/976163177565171718", "976163177565171718")</f>
        <v/>
      </c>
      <c r="B2822" s="2" t="n">
        <v>43179.76865740741</v>
      </c>
      <c r="C2822" t="n">
        <v>0</v>
      </c>
      <c r="D2822" t="n">
        <v>195</v>
      </c>
      <c r="E2822" t="s">
        <v>2833</v>
      </c>
      <c r="F2822" t="s"/>
      <c r="G2822" t="s"/>
      <c r="H2822" t="s"/>
      <c r="I2822" t="s"/>
      <c r="J2822" t="n">
        <v>-0.5473</v>
      </c>
      <c r="K2822" t="n">
        <v>0.138</v>
      </c>
      <c r="L2822" t="n">
        <v>0.862</v>
      </c>
      <c r="M2822" t="n">
        <v>0</v>
      </c>
    </row>
    <row r="2823" spans="1:13">
      <c r="A2823" s="1">
        <f>HYPERLINK("http://www.twitter.com/NathanBLawrence/status/976163112159150084", "976163112159150084")</f>
        <v/>
      </c>
      <c r="B2823" s="2" t="n">
        <v>43179.76847222223</v>
      </c>
      <c r="C2823" t="n">
        <v>0</v>
      </c>
      <c r="D2823" t="n">
        <v>1013</v>
      </c>
      <c r="E2823" t="s">
        <v>2834</v>
      </c>
      <c r="F2823" t="s"/>
      <c r="G2823" t="s"/>
      <c r="H2823" t="s"/>
      <c r="I2823" t="s"/>
      <c r="J2823" t="n">
        <v>0.2023</v>
      </c>
      <c r="K2823" t="n">
        <v>0.164</v>
      </c>
      <c r="L2823" t="n">
        <v>0.68</v>
      </c>
      <c r="M2823" t="n">
        <v>0.156</v>
      </c>
    </row>
    <row r="2824" spans="1:13">
      <c r="A2824" s="1">
        <f>HYPERLINK("http://www.twitter.com/NathanBLawrence/status/976162980558712833", "976162980558712833")</f>
        <v/>
      </c>
      <c r="B2824" s="2" t="n">
        <v>43179.76811342593</v>
      </c>
      <c r="C2824" t="n">
        <v>0</v>
      </c>
      <c r="D2824" t="n">
        <v>608</v>
      </c>
      <c r="E2824" t="s">
        <v>2835</v>
      </c>
      <c r="F2824">
        <f>HYPERLINK("https://video.twimg.com/amplify_video/976119523937046530/vid/1280x720/9w-ozAeYFjTzoBC6.mp4", "https://video.twimg.com/amplify_video/976119523937046530/vid/1280x720/9w-ozAeYFjTzoBC6.mp4")</f>
        <v/>
      </c>
      <c r="G2824" t="s"/>
      <c r="H2824" t="s"/>
      <c r="I2824" t="s"/>
      <c r="J2824" t="n">
        <v>-0.7096</v>
      </c>
      <c r="K2824" t="n">
        <v>0.237</v>
      </c>
      <c r="L2824" t="n">
        <v>0.763</v>
      </c>
      <c r="M2824" t="n">
        <v>0</v>
      </c>
    </row>
    <row r="2825" spans="1:13">
      <c r="A2825" s="1">
        <f>HYPERLINK("http://www.twitter.com/NathanBLawrence/status/976162789906681857", "976162789906681857")</f>
        <v/>
      </c>
      <c r="B2825" s="2" t="n">
        <v>43179.76758101852</v>
      </c>
      <c r="C2825" t="n">
        <v>0</v>
      </c>
      <c r="D2825" t="n">
        <v>123</v>
      </c>
      <c r="E2825" t="s">
        <v>2836</v>
      </c>
      <c r="F2825" t="s"/>
      <c r="G2825" t="s"/>
      <c r="H2825" t="s"/>
      <c r="I2825" t="s"/>
      <c r="J2825" t="n">
        <v>0.4767</v>
      </c>
      <c r="K2825" t="n">
        <v>0</v>
      </c>
      <c r="L2825" t="n">
        <v>0.871</v>
      </c>
      <c r="M2825" t="n">
        <v>0.129</v>
      </c>
    </row>
    <row r="2826" spans="1:13">
      <c r="A2826" s="1">
        <f>HYPERLINK("http://www.twitter.com/NathanBLawrence/status/976162436763045890", "976162436763045890")</f>
        <v/>
      </c>
      <c r="B2826" s="2" t="n">
        <v>43179.76660879629</v>
      </c>
      <c r="C2826" t="n">
        <v>0</v>
      </c>
      <c r="D2826" t="n">
        <v>2383</v>
      </c>
      <c r="E2826" t="s">
        <v>2837</v>
      </c>
      <c r="F2826" t="s"/>
      <c r="G2826" t="s"/>
      <c r="H2826" t="s"/>
      <c r="I2826" t="s"/>
      <c r="J2826" t="n">
        <v>0</v>
      </c>
      <c r="K2826" t="n">
        <v>0</v>
      </c>
      <c r="L2826" t="n">
        <v>1</v>
      </c>
      <c r="M2826" t="n">
        <v>0</v>
      </c>
    </row>
    <row r="2827" spans="1:13">
      <c r="A2827" s="1">
        <f>HYPERLINK("http://www.twitter.com/NathanBLawrence/status/976162121967919104", "976162121967919104")</f>
        <v/>
      </c>
      <c r="B2827" s="2" t="n">
        <v>43179.76574074074</v>
      </c>
      <c r="C2827" t="n">
        <v>0</v>
      </c>
      <c r="D2827" t="n">
        <v>434</v>
      </c>
      <c r="E2827" t="s">
        <v>2838</v>
      </c>
      <c r="F2827">
        <f>HYPERLINK("http://pbs.twimg.com/media/DYvd2R0VoAAPanf.jpg", "http://pbs.twimg.com/media/DYvd2R0VoAAPanf.jpg")</f>
        <v/>
      </c>
      <c r="G2827" t="s"/>
      <c r="H2827" t="s"/>
      <c r="I2827" t="s"/>
      <c r="J2827" t="n">
        <v>0.4019</v>
      </c>
      <c r="K2827" t="n">
        <v>0</v>
      </c>
      <c r="L2827" t="n">
        <v>0.863</v>
      </c>
      <c r="M2827" t="n">
        <v>0.137</v>
      </c>
    </row>
    <row r="2828" spans="1:13">
      <c r="A2828" s="1">
        <f>HYPERLINK("http://www.twitter.com/NathanBLawrence/status/976162079181766656", "976162079181766656")</f>
        <v/>
      </c>
      <c r="B2828" s="2" t="n">
        <v>43179.765625</v>
      </c>
      <c r="C2828" t="n">
        <v>0</v>
      </c>
      <c r="D2828" t="n">
        <v>3</v>
      </c>
      <c r="E2828" t="s">
        <v>2839</v>
      </c>
      <c r="F2828" t="s"/>
      <c r="G2828" t="s"/>
      <c r="H2828" t="s"/>
      <c r="I2828" t="s"/>
      <c r="J2828" t="n">
        <v>0</v>
      </c>
      <c r="K2828" t="n">
        <v>0</v>
      </c>
      <c r="L2828" t="n">
        <v>1</v>
      </c>
      <c r="M2828" t="n">
        <v>0</v>
      </c>
    </row>
    <row r="2829" spans="1:13">
      <c r="A2829" s="1">
        <f>HYPERLINK("http://www.twitter.com/NathanBLawrence/status/976160970652385281", "976160970652385281")</f>
        <v/>
      </c>
      <c r="B2829" s="2" t="n">
        <v>43179.76256944444</v>
      </c>
      <c r="C2829" t="n">
        <v>0</v>
      </c>
      <c r="D2829" t="n">
        <v>438</v>
      </c>
      <c r="E2829" t="s">
        <v>2840</v>
      </c>
      <c r="F2829" t="s"/>
      <c r="G2829" t="s"/>
      <c r="H2829" t="s"/>
      <c r="I2829" t="s"/>
      <c r="J2829" t="n">
        <v>0.6588000000000001</v>
      </c>
      <c r="K2829" t="n">
        <v>0</v>
      </c>
      <c r="L2829" t="n">
        <v>0.672</v>
      </c>
      <c r="M2829" t="n">
        <v>0.328</v>
      </c>
    </row>
    <row r="2830" spans="1:13">
      <c r="A2830" s="1">
        <f>HYPERLINK("http://www.twitter.com/NathanBLawrence/status/976160875718553607", "976160875718553607")</f>
        <v/>
      </c>
      <c r="B2830" s="2" t="n">
        <v>43179.76230324074</v>
      </c>
      <c r="C2830" t="n">
        <v>0</v>
      </c>
      <c r="D2830" t="n">
        <v>216</v>
      </c>
      <c r="E2830" t="s">
        <v>2841</v>
      </c>
      <c r="F2830">
        <f>HYPERLINK("http://pbs.twimg.com/media/DYwD5PCVMAAHfUu.jpg", "http://pbs.twimg.com/media/DYwD5PCVMAAHfUu.jpg")</f>
        <v/>
      </c>
      <c r="G2830" t="s"/>
      <c r="H2830" t="s"/>
      <c r="I2830" t="s"/>
      <c r="J2830" t="n">
        <v>-0.0258</v>
      </c>
      <c r="K2830" t="n">
        <v>0.099</v>
      </c>
      <c r="L2830" t="n">
        <v>0.8070000000000001</v>
      </c>
      <c r="M2830" t="n">
        <v>0.094</v>
      </c>
    </row>
    <row r="2831" spans="1:13">
      <c r="A2831" s="1">
        <f>HYPERLINK("http://www.twitter.com/NathanBLawrence/status/976160724413308928", "976160724413308928")</f>
        <v/>
      </c>
      <c r="B2831" s="2" t="n">
        <v>43179.76188657407</v>
      </c>
      <c r="C2831" t="n">
        <v>0</v>
      </c>
      <c r="D2831" t="n">
        <v>1387</v>
      </c>
      <c r="E2831" t="s">
        <v>2842</v>
      </c>
      <c r="F2831" t="s"/>
      <c r="G2831" t="s"/>
      <c r="H2831" t="s"/>
      <c r="I2831" t="s"/>
      <c r="J2831" t="n">
        <v>-0.2732</v>
      </c>
      <c r="K2831" t="n">
        <v>0.158</v>
      </c>
      <c r="L2831" t="n">
        <v>0.729</v>
      </c>
      <c r="M2831" t="n">
        <v>0.113</v>
      </c>
    </row>
    <row r="2832" spans="1:13">
      <c r="A2832" s="1">
        <f>HYPERLINK("http://www.twitter.com/NathanBLawrence/status/976160460427980802", "976160460427980802")</f>
        <v/>
      </c>
      <c r="B2832" s="2" t="n">
        <v>43179.76115740741</v>
      </c>
      <c r="C2832" t="n">
        <v>0</v>
      </c>
      <c r="D2832" t="n">
        <v>178</v>
      </c>
      <c r="E2832" t="s">
        <v>2843</v>
      </c>
      <c r="F2832" t="s"/>
      <c r="G2832" t="s"/>
      <c r="H2832" t="s"/>
      <c r="I2832" t="s"/>
      <c r="J2832" t="n">
        <v>0</v>
      </c>
      <c r="K2832" t="n">
        <v>0</v>
      </c>
      <c r="L2832" t="n">
        <v>1</v>
      </c>
      <c r="M2832" t="n">
        <v>0</v>
      </c>
    </row>
    <row r="2833" spans="1:13">
      <c r="A2833" s="1">
        <f>HYPERLINK("http://www.twitter.com/NathanBLawrence/status/976160128222285825", "976160128222285825")</f>
        <v/>
      </c>
      <c r="B2833" s="2" t="n">
        <v>43179.76024305556</v>
      </c>
      <c r="C2833" t="n">
        <v>0</v>
      </c>
      <c r="D2833" t="n">
        <v>116</v>
      </c>
      <c r="E2833" t="s">
        <v>2844</v>
      </c>
      <c r="F2833" t="s"/>
      <c r="G2833" t="s"/>
      <c r="H2833" t="s"/>
      <c r="I2833" t="s"/>
      <c r="J2833" t="n">
        <v>0</v>
      </c>
      <c r="K2833" t="n">
        <v>0</v>
      </c>
      <c r="L2833" t="n">
        <v>1</v>
      </c>
      <c r="M2833" t="n">
        <v>0</v>
      </c>
    </row>
    <row r="2834" spans="1:13">
      <c r="A2834" s="1">
        <f>HYPERLINK("http://www.twitter.com/NathanBLawrence/status/976159999553613829", "976159999553613829")</f>
        <v/>
      </c>
      <c r="B2834" s="2" t="n">
        <v>43179.75988425926</v>
      </c>
      <c r="C2834" t="n">
        <v>0</v>
      </c>
      <c r="D2834" t="n">
        <v>702</v>
      </c>
      <c r="E2834" t="s">
        <v>2845</v>
      </c>
      <c r="F2834" t="s"/>
      <c r="G2834" t="s"/>
      <c r="H2834" t="s"/>
      <c r="I2834" t="s"/>
      <c r="J2834" t="n">
        <v>0.5673</v>
      </c>
      <c r="K2834" t="n">
        <v>0</v>
      </c>
      <c r="L2834" t="n">
        <v>0.804</v>
      </c>
      <c r="M2834" t="n">
        <v>0.196</v>
      </c>
    </row>
    <row r="2835" spans="1:13">
      <c r="A2835" s="1">
        <f>HYPERLINK("http://www.twitter.com/NathanBLawrence/status/976159438863290368", "976159438863290368")</f>
        <v/>
      </c>
      <c r="B2835" s="2" t="n">
        <v>43179.75834490741</v>
      </c>
      <c r="C2835" t="n">
        <v>0</v>
      </c>
      <c r="D2835" t="n">
        <v>927</v>
      </c>
      <c r="E2835" t="s">
        <v>2846</v>
      </c>
      <c r="F2835" t="s"/>
      <c r="G2835" t="s"/>
      <c r="H2835" t="s"/>
      <c r="I2835" t="s"/>
      <c r="J2835" t="n">
        <v>0.5374</v>
      </c>
      <c r="K2835" t="n">
        <v>0</v>
      </c>
      <c r="L2835" t="n">
        <v>0.852</v>
      </c>
      <c r="M2835" t="n">
        <v>0.148</v>
      </c>
    </row>
    <row r="2836" spans="1:13">
      <c r="A2836" s="1">
        <f>HYPERLINK("http://www.twitter.com/NathanBLawrence/status/976158636660674560", "976158636660674560")</f>
        <v/>
      </c>
      <c r="B2836" s="2" t="n">
        <v>43179.75612268518</v>
      </c>
      <c r="C2836" t="n">
        <v>0</v>
      </c>
      <c r="D2836" t="n">
        <v>49</v>
      </c>
      <c r="E2836" t="s">
        <v>2847</v>
      </c>
      <c r="F2836">
        <f>HYPERLINK("http://pbs.twimg.com/media/DYp6Va5X4AEZML3.jpg", "http://pbs.twimg.com/media/DYp6Va5X4AEZML3.jpg")</f>
        <v/>
      </c>
      <c r="G2836" t="s"/>
      <c r="H2836" t="s"/>
      <c r="I2836" t="s"/>
      <c r="J2836" t="n">
        <v>0.4588</v>
      </c>
      <c r="K2836" t="n">
        <v>0</v>
      </c>
      <c r="L2836" t="n">
        <v>0.8120000000000001</v>
      </c>
      <c r="M2836" t="n">
        <v>0.188</v>
      </c>
    </row>
    <row r="2837" spans="1:13">
      <c r="A2837" s="1">
        <f>HYPERLINK("http://www.twitter.com/NathanBLawrence/status/976158512899350528", "976158512899350528")</f>
        <v/>
      </c>
      <c r="B2837" s="2" t="n">
        <v>43179.75578703704</v>
      </c>
      <c r="C2837" t="n">
        <v>0</v>
      </c>
      <c r="D2837" t="n">
        <v>13</v>
      </c>
      <c r="E2837" t="s">
        <v>2848</v>
      </c>
      <c r="F2837" t="s"/>
      <c r="G2837" t="s"/>
      <c r="H2837" t="s"/>
      <c r="I2837" t="s"/>
      <c r="J2837" t="n">
        <v>0</v>
      </c>
      <c r="K2837" t="n">
        <v>0</v>
      </c>
      <c r="L2837" t="n">
        <v>1</v>
      </c>
      <c r="M2837" t="n">
        <v>0</v>
      </c>
    </row>
    <row r="2838" spans="1:13">
      <c r="A2838" s="1">
        <f>HYPERLINK("http://www.twitter.com/NathanBLawrence/status/976158385606361089", "976158385606361089")</f>
        <v/>
      </c>
      <c r="B2838" s="2" t="n">
        <v>43179.75542824074</v>
      </c>
      <c r="C2838" t="n">
        <v>0</v>
      </c>
      <c r="D2838" t="n">
        <v>3</v>
      </c>
      <c r="E2838" t="s">
        <v>2849</v>
      </c>
      <c r="F2838" t="s"/>
      <c r="G2838" t="s"/>
      <c r="H2838" t="s"/>
      <c r="I2838" t="s"/>
      <c r="J2838" t="n">
        <v>0.5423</v>
      </c>
      <c r="K2838" t="n">
        <v>0.15</v>
      </c>
      <c r="L2838" t="n">
        <v>0.586</v>
      </c>
      <c r="M2838" t="n">
        <v>0.264</v>
      </c>
    </row>
    <row r="2839" spans="1:13">
      <c r="A2839" s="1">
        <f>HYPERLINK("http://www.twitter.com/NathanBLawrence/status/976158169608130562", "976158169608130562")</f>
        <v/>
      </c>
      <c r="B2839" s="2" t="n">
        <v>43179.75483796297</v>
      </c>
      <c r="C2839" t="n">
        <v>0</v>
      </c>
      <c r="D2839" t="n">
        <v>810</v>
      </c>
      <c r="E2839" t="s">
        <v>2850</v>
      </c>
      <c r="F2839" t="s"/>
      <c r="G2839" t="s"/>
      <c r="H2839" t="s"/>
      <c r="I2839" t="s"/>
      <c r="J2839" t="n">
        <v>0.296</v>
      </c>
      <c r="K2839" t="n">
        <v>0</v>
      </c>
      <c r="L2839" t="n">
        <v>0.896</v>
      </c>
      <c r="M2839" t="n">
        <v>0.104</v>
      </c>
    </row>
    <row r="2840" spans="1:13">
      <c r="A2840" s="1">
        <f>HYPERLINK("http://www.twitter.com/NathanBLawrence/status/976157921183719424", "976157921183719424")</f>
        <v/>
      </c>
      <c r="B2840" s="2" t="n">
        <v>43179.7541550926</v>
      </c>
      <c r="C2840" t="n">
        <v>0</v>
      </c>
      <c r="D2840" t="n">
        <v>379</v>
      </c>
      <c r="E2840" t="s">
        <v>2851</v>
      </c>
      <c r="F2840">
        <f>HYPERLINK("http://pbs.twimg.com/media/DYvwSdFU0AAzjeo.jpg", "http://pbs.twimg.com/media/DYvwSdFU0AAzjeo.jpg")</f>
        <v/>
      </c>
      <c r="G2840" t="s"/>
      <c r="H2840" t="s"/>
      <c r="I2840" t="s"/>
      <c r="J2840" t="n">
        <v>0.7597</v>
      </c>
      <c r="K2840" t="n">
        <v>0.174</v>
      </c>
      <c r="L2840" t="n">
        <v>0.458</v>
      </c>
      <c r="M2840" t="n">
        <v>0.368</v>
      </c>
    </row>
    <row r="2841" spans="1:13">
      <c r="A2841" s="1">
        <f>HYPERLINK("http://www.twitter.com/NathanBLawrence/status/976157576034471937", "976157576034471937")</f>
        <v/>
      </c>
      <c r="B2841" s="2" t="n">
        <v>43179.75319444444</v>
      </c>
      <c r="C2841" t="n">
        <v>0</v>
      </c>
      <c r="D2841" t="n">
        <v>13</v>
      </c>
      <c r="E2841" t="s">
        <v>2852</v>
      </c>
      <c r="F2841" t="s"/>
      <c r="G2841" t="s"/>
      <c r="H2841" t="s"/>
      <c r="I2841" t="s"/>
      <c r="J2841" t="n">
        <v>0</v>
      </c>
      <c r="K2841" t="n">
        <v>0</v>
      </c>
      <c r="L2841" t="n">
        <v>1</v>
      </c>
      <c r="M2841" t="n">
        <v>0</v>
      </c>
    </row>
    <row r="2842" spans="1:13">
      <c r="A2842" s="1">
        <f>HYPERLINK("http://www.twitter.com/NathanBLawrence/status/976157531876798465", "976157531876798465")</f>
        <v/>
      </c>
      <c r="B2842" s="2" t="n">
        <v>43179.7530787037</v>
      </c>
      <c r="C2842" t="n">
        <v>0</v>
      </c>
      <c r="D2842" t="n">
        <v>229</v>
      </c>
      <c r="E2842" t="s">
        <v>2853</v>
      </c>
      <c r="F2842">
        <f>HYPERLINK("http://pbs.twimg.com/media/DYs-BYGUMAEwTKt.jpg", "http://pbs.twimg.com/media/DYs-BYGUMAEwTKt.jpg")</f>
        <v/>
      </c>
      <c r="G2842" t="s"/>
      <c r="H2842" t="s"/>
      <c r="I2842" t="s"/>
      <c r="J2842" t="n">
        <v>0.7284</v>
      </c>
      <c r="K2842" t="n">
        <v>0.09</v>
      </c>
      <c r="L2842" t="n">
        <v>0.612</v>
      </c>
      <c r="M2842" t="n">
        <v>0.298</v>
      </c>
    </row>
    <row r="2843" spans="1:13">
      <c r="A2843" s="1">
        <f>HYPERLINK("http://www.twitter.com/NathanBLawrence/status/976157298363129856", "976157298363129856")</f>
        <v/>
      </c>
      <c r="B2843" s="2" t="n">
        <v>43179.75243055556</v>
      </c>
      <c r="C2843" t="n">
        <v>0</v>
      </c>
      <c r="D2843" t="n">
        <v>6</v>
      </c>
      <c r="E2843" t="s">
        <v>2854</v>
      </c>
      <c r="F2843" t="s"/>
      <c r="G2843" t="s"/>
      <c r="H2843" t="s"/>
      <c r="I2843" t="s"/>
      <c r="J2843" t="n">
        <v>0</v>
      </c>
      <c r="K2843" t="n">
        <v>0</v>
      </c>
      <c r="L2843" t="n">
        <v>1</v>
      </c>
      <c r="M2843" t="n">
        <v>0</v>
      </c>
    </row>
    <row r="2844" spans="1:13">
      <c r="A2844" s="1">
        <f>HYPERLINK("http://www.twitter.com/NathanBLawrence/status/976156883424772097", "976156883424772097")</f>
        <v/>
      </c>
      <c r="B2844" s="2" t="n">
        <v>43179.75128472222</v>
      </c>
      <c r="C2844" t="n">
        <v>0</v>
      </c>
      <c r="D2844" t="n">
        <v>160</v>
      </c>
      <c r="E2844" t="s">
        <v>2855</v>
      </c>
      <c r="F2844">
        <f>HYPERLINK("http://pbs.twimg.com/media/DYr6Z77UMAA9W_X.jpg", "http://pbs.twimg.com/media/DYr6Z77UMAA9W_X.jpg")</f>
        <v/>
      </c>
      <c r="G2844" t="s"/>
      <c r="H2844" t="s"/>
      <c r="I2844" t="s"/>
      <c r="J2844" t="n">
        <v>-0.5659</v>
      </c>
      <c r="K2844" t="n">
        <v>0.264</v>
      </c>
      <c r="L2844" t="n">
        <v>0.736</v>
      </c>
      <c r="M2844" t="n">
        <v>0</v>
      </c>
    </row>
    <row r="2845" spans="1:13">
      <c r="A2845" s="1">
        <f>HYPERLINK("http://www.twitter.com/NathanBLawrence/status/976156090118430721", "976156090118430721")</f>
        <v/>
      </c>
      <c r="B2845" s="2" t="n">
        <v>43179.74909722222</v>
      </c>
      <c r="C2845" t="n">
        <v>0</v>
      </c>
      <c r="D2845" t="n">
        <v>366</v>
      </c>
      <c r="E2845" t="s">
        <v>2856</v>
      </c>
      <c r="F2845">
        <f>HYPERLINK("http://pbs.twimg.com/media/DYm7GmvWAAESBEQ.jpg", "http://pbs.twimg.com/media/DYm7GmvWAAESBEQ.jpg")</f>
        <v/>
      </c>
      <c r="G2845" t="s"/>
      <c r="H2845" t="s"/>
      <c r="I2845" t="s"/>
      <c r="J2845" t="n">
        <v>0.4939</v>
      </c>
      <c r="K2845" t="n">
        <v>0</v>
      </c>
      <c r="L2845" t="n">
        <v>0.878</v>
      </c>
      <c r="M2845" t="n">
        <v>0.122</v>
      </c>
    </row>
    <row r="2846" spans="1:13">
      <c r="A2846" s="1">
        <f>HYPERLINK("http://www.twitter.com/NathanBLawrence/status/976155247176486912", "976155247176486912")</f>
        <v/>
      </c>
      <c r="B2846" s="2" t="n">
        <v>43179.74677083334</v>
      </c>
      <c r="C2846" t="n">
        <v>0</v>
      </c>
      <c r="D2846" t="n">
        <v>14</v>
      </c>
      <c r="E2846" t="s">
        <v>2857</v>
      </c>
      <c r="F2846">
        <f>HYPERLINK("http://pbs.twimg.com/media/DYjWVMQWkAAut16.jpg", "http://pbs.twimg.com/media/DYjWVMQWkAAut16.jpg")</f>
        <v/>
      </c>
      <c r="G2846" t="s"/>
      <c r="H2846" t="s"/>
      <c r="I2846" t="s"/>
      <c r="J2846" t="n">
        <v>0</v>
      </c>
      <c r="K2846" t="n">
        <v>0</v>
      </c>
      <c r="L2846" t="n">
        <v>1</v>
      </c>
      <c r="M2846" t="n">
        <v>0</v>
      </c>
    </row>
    <row r="2847" spans="1:13">
      <c r="A2847" s="1">
        <f>HYPERLINK("http://www.twitter.com/NathanBLawrence/status/976155073180037120", "976155073180037120")</f>
        <v/>
      </c>
      <c r="B2847" s="2" t="n">
        <v>43179.7462962963</v>
      </c>
      <c r="C2847" t="n">
        <v>0</v>
      </c>
      <c r="D2847" t="n">
        <v>8144</v>
      </c>
      <c r="E2847" t="s">
        <v>2858</v>
      </c>
      <c r="F2847">
        <f>HYPERLINK("http://pbs.twimg.com/media/DYvM7RyW0AEUBzr.jpg", "http://pbs.twimg.com/media/DYvM7RyW0AEUBzr.jpg")</f>
        <v/>
      </c>
      <c r="G2847" t="s"/>
      <c r="H2847" t="s"/>
      <c r="I2847" t="s"/>
      <c r="J2847" t="n">
        <v>0.893</v>
      </c>
      <c r="K2847" t="n">
        <v>0</v>
      </c>
      <c r="L2847" t="n">
        <v>0.507</v>
      </c>
      <c r="M2847" t="n">
        <v>0.493</v>
      </c>
    </row>
    <row r="2848" spans="1:13">
      <c r="A2848" s="1">
        <f>HYPERLINK("http://www.twitter.com/NathanBLawrence/status/976154905709891584", "976154905709891584")</f>
        <v/>
      </c>
      <c r="B2848" s="2" t="n">
        <v>43179.74583333333</v>
      </c>
      <c r="C2848" t="n">
        <v>0</v>
      </c>
      <c r="D2848" t="n">
        <v>866</v>
      </c>
      <c r="E2848" t="s">
        <v>2859</v>
      </c>
      <c r="F2848" t="s"/>
      <c r="G2848" t="s"/>
      <c r="H2848" t="s"/>
      <c r="I2848" t="s"/>
      <c r="J2848" t="n">
        <v>0.8932</v>
      </c>
      <c r="K2848" t="n">
        <v>0</v>
      </c>
      <c r="L2848" t="n">
        <v>0.663</v>
      </c>
      <c r="M2848" t="n">
        <v>0.337</v>
      </c>
    </row>
    <row r="2849" spans="1:13">
      <c r="A2849" s="1">
        <f>HYPERLINK("http://www.twitter.com/NathanBLawrence/status/976154530802028548", "976154530802028548")</f>
        <v/>
      </c>
      <c r="B2849" s="2" t="n">
        <v>43179.74479166666</v>
      </c>
      <c r="C2849" t="n">
        <v>0</v>
      </c>
      <c r="D2849" t="n">
        <v>505</v>
      </c>
      <c r="E2849" t="s">
        <v>2860</v>
      </c>
      <c r="F2849">
        <f>HYPERLINK("http://pbs.twimg.com/media/DYsySM8U8AAH7dl.jpg", "http://pbs.twimg.com/media/DYsySM8U8AAH7dl.jpg")</f>
        <v/>
      </c>
      <c r="G2849" t="s"/>
      <c r="H2849" t="s"/>
      <c r="I2849" t="s"/>
      <c r="J2849" t="n">
        <v>0.0258</v>
      </c>
      <c r="K2849" t="n">
        <v>0.138</v>
      </c>
      <c r="L2849" t="n">
        <v>0.718</v>
      </c>
      <c r="M2849" t="n">
        <v>0.144</v>
      </c>
    </row>
    <row r="2850" spans="1:13">
      <c r="A2850" s="1">
        <f>HYPERLINK("http://www.twitter.com/NathanBLawrence/status/976154399960698880", "976154399960698880")</f>
        <v/>
      </c>
      <c r="B2850" s="2" t="n">
        <v>43179.74443287037</v>
      </c>
      <c r="C2850" t="n">
        <v>0</v>
      </c>
      <c r="D2850" t="n">
        <v>526</v>
      </c>
      <c r="E2850" t="s">
        <v>2861</v>
      </c>
      <c r="F2850" t="s"/>
      <c r="G2850" t="s"/>
      <c r="H2850" t="s"/>
      <c r="I2850" t="s"/>
      <c r="J2850" t="n">
        <v>0.7946</v>
      </c>
      <c r="K2850" t="n">
        <v>0.099</v>
      </c>
      <c r="L2850" t="n">
        <v>0.544</v>
      </c>
      <c r="M2850" t="n">
        <v>0.357</v>
      </c>
    </row>
    <row r="2851" spans="1:13">
      <c r="A2851" s="1">
        <f>HYPERLINK("http://www.twitter.com/NathanBLawrence/status/976154034053763072", "976154034053763072")</f>
        <v/>
      </c>
      <c r="B2851" s="2" t="n">
        <v>43179.74342592592</v>
      </c>
      <c r="C2851" t="n">
        <v>0</v>
      </c>
      <c r="D2851" t="n">
        <v>444</v>
      </c>
      <c r="E2851" t="s">
        <v>2862</v>
      </c>
      <c r="F2851" t="s"/>
      <c r="G2851" t="s"/>
      <c r="H2851" t="s"/>
      <c r="I2851" t="s"/>
      <c r="J2851" t="n">
        <v>0.1531</v>
      </c>
      <c r="K2851" t="n">
        <v>0.08500000000000001</v>
      </c>
      <c r="L2851" t="n">
        <v>0.8080000000000001</v>
      </c>
      <c r="M2851" t="n">
        <v>0.108</v>
      </c>
    </row>
    <row r="2852" spans="1:13">
      <c r="A2852" s="1">
        <f>HYPERLINK("http://www.twitter.com/NathanBLawrence/status/976153748732071936", "976153748732071936")</f>
        <v/>
      </c>
      <c r="B2852" s="2" t="n">
        <v>43179.74263888889</v>
      </c>
      <c r="C2852" t="n">
        <v>0</v>
      </c>
      <c r="D2852" t="n">
        <v>23</v>
      </c>
      <c r="E2852" t="s">
        <v>2863</v>
      </c>
      <c r="F2852">
        <f>HYPERLINK("http://pbs.twimg.com/media/DYv4XMnU8AE8g_C.jpg", "http://pbs.twimg.com/media/DYv4XMnU8AE8g_C.jpg")</f>
        <v/>
      </c>
      <c r="G2852" t="s"/>
      <c r="H2852" t="s"/>
      <c r="I2852" t="s"/>
      <c r="J2852" t="n">
        <v>0.4215</v>
      </c>
      <c r="K2852" t="n">
        <v>0</v>
      </c>
      <c r="L2852" t="n">
        <v>0.887</v>
      </c>
      <c r="M2852" t="n">
        <v>0.113</v>
      </c>
    </row>
    <row r="2853" spans="1:13">
      <c r="A2853" s="1">
        <f>HYPERLINK("http://www.twitter.com/NathanBLawrence/status/976153095519506432", "976153095519506432")</f>
        <v/>
      </c>
      <c r="B2853" s="2" t="n">
        <v>43179.74083333334</v>
      </c>
      <c r="C2853" t="n">
        <v>0</v>
      </c>
      <c r="D2853" t="n">
        <v>282</v>
      </c>
      <c r="E2853" t="s">
        <v>2864</v>
      </c>
      <c r="F2853" t="s"/>
      <c r="G2853" t="s"/>
      <c r="H2853" t="s"/>
      <c r="I2853" t="s"/>
      <c r="J2853" t="n">
        <v>-0.3595</v>
      </c>
      <c r="K2853" t="n">
        <v>0.102</v>
      </c>
      <c r="L2853" t="n">
        <v>0.898</v>
      </c>
      <c r="M2853" t="n">
        <v>0</v>
      </c>
    </row>
    <row r="2854" spans="1:13">
      <c r="A2854" s="1">
        <f>HYPERLINK("http://www.twitter.com/NathanBLawrence/status/976152876451008517", "976152876451008517")</f>
        <v/>
      </c>
      <c r="B2854" s="2" t="n">
        <v>43179.74023148148</v>
      </c>
      <c r="C2854" t="n">
        <v>0</v>
      </c>
      <c r="D2854" t="n">
        <v>140</v>
      </c>
      <c r="E2854" t="s">
        <v>2865</v>
      </c>
      <c r="F2854">
        <f>HYPERLINK("http://pbs.twimg.com/media/DYqfcIYXkAAP0EI.jpg", "http://pbs.twimg.com/media/DYqfcIYXkAAP0EI.jpg")</f>
        <v/>
      </c>
      <c r="G2854" t="s"/>
      <c r="H2854" t="s"/>
      <c r="I2854" t="s"/>
      <c r="J2854" t="n">
        <v>0</v>
      </c>
      <c r="K2854" t="n">
        <v>0</v>
      </c>
      <c r="L2854" t="n">
        <v>1</v>
      </c>
      <c r="M2854" t="n">
        <v>0</v>
      </c>
    </row>
    <row r="2855" spans="1:13">
      <c r="A2855" s="1">
        <f>HYPERLINK("http://www.twitter.com/NathanBLawrence/status/976151947945435137", "976151947945435137")</f>
        <v/>
      </c>
      <c r="B2855" s="2" t="n">
        <v>43179.73767361111</v>
      </c>
      <c r="C2855" t="n">
        <v>0</v>
      </c>
      <c r="D2855" t="n">
        <v>124</v>
      </c>
      <c r="E2855" t="s">
        <v>2866</v>
      </c>
      <c r="F2855" t="s"/>
      <c r="G2855" t="s"/>
      <c r="H2855" t="s"/>
      <c r="I2855" t="s"/>
      <c r="J2855" t="n">
        <v>-0.2263</v>
      </c>
      <c r="K2855" t="n">
        <v>0.101</v>
      </c>
      <c r="L2855" t="n">
        <v>0.899</v>
      </c>
      <c r="M2855" t="n">
        <v>0</v>
      </c>
    </row>
    <row r="2856" spans="1:13">
      <c r="A2856" s="1">
        <f>HYPERLINK("http://www.twitter.com/NathanBLawrence/status/976151009243422721", "976151009243422721")</f>
        <v/>
      </c>
      <c r="B2856" s="2" t="n">
        <v>43179.73508101852</v>
      </c>
      <c r="C2856" t="n">
        <v>0</v>
      </c>
      <c r="D2856" t="n">
        <v>616</v>
      </c>
      <c r="E2856" t="s">
        <v>2867</v>
      </c>
      <c r="F2856" t="s"/>
      <c r="G2856" t="s"/>
      <c r="H2856" t="s"/>
      <c r="I2856" t="s"/>
      <c r="J2856" t="n">
        <v>-0.5574</v>
      </c>
      <c r="K2856" t="n">
        <v>0.18</v>
      </c>
      <c r="L2856" t="n">
        <v>0.82</v>
      </c>
      <c r="M2856" t="n">
        <v>0</v>
      </c>
    </row>
    <row r="2857" spans="1:13">
      <c r="A2857" s="1">
        <f>HYPERLINK("http://www.twitter.com/NathanBLawrence/status/976149966556221441", "976149966556221441")</f>
        <v/>
      </c>
      <c r="B2857" s="2" t="n">
        <v>43179.73219907407</v>
      </c>
      <c r="C2857" t="n">
        <v>0</v>
      </c>
      <c r="D2857" t="n">
        <v>438</v>
      </c>
      <c r="E2857" t="s">
        <v>2868</v>
      </c>
      <c r="F2857">
        <f>HYPERLINK("https://video.twimg.com/amplify_video/975811900691898368/vid/640x360/nfHEKRuvZ3F6mt1J.mp4", "https://video.twimg.com/amplify_video/975811900691898368/vid/640x360/nfHEKRuvZ3F6mt1J.mp4")</f>
        <v/>
      </c>
      <c r="G2857" t="s"/>
      <c r="H2857" t="s"/>
      <c r="I2857" t="s"/>
      <c r="J2857" t="n">
        <v>0.4404</v>
      </c>
      <c r="K2857" t="n">
        <v>0.13</v>
      </c>
      <c r="L2857" t="n">
        <v>0.5590000000000001</v>
      </c>
      <c r="M2857" t="n">
        <v>0.311</v>
      </c>
    </row>
    <row r="2858" spans="1:13">
      <c r="A2858" s="1">
        <f>HYPERLINK("http://www.twitter.com/NathanBLawrence/status/976149798150696961", "976149798150696961")</f>
        <v/>
      </c>
      <c r="B2858" s="2" t="n">
        <v>43179.73173611111</v>
      </c>
      <c r="C2858" t="n">
        <v>0</v>
      </c>
      <c r="D2858" t="n">
        <v>5282</v>
      </c>
      <c r="E2858" t="s">
        <v>2869</v>
      </c>
      <c r="F2858">
        <f>HYPERLINK("http://pbs.twimg.com/media/DYaxh7fU8AA4Zvn.jpg", "http://pbs.twimg.com/media/DYaxh7fU8AA4Zvn.jpg")</f>
        <v/>
      </c>
      <c r="G2858" t="s"/>
      <c r="H2858" t="s"/>
      <c r="I2858" t="s"/>
      <c r="J2858" t="n">
        <v>-0.34</v>
      </c>
      <c r="K2858" t="n">
        <v>0.124</v>
      </c>
      <c r="L2858" t="n">
        <v>0.876</v>
      </c>
      <c r="M2858" t="n">
        <v>0</v>
      </c>
    </row>
    <row r="2859" spans="1:13">
      <c r="A2859" s="1">
        <f>HYPERLINK("http://www.twitter.com/NathanBLawrence/status/976149593686708225", "976149593686708225")</f>
        <v/>
      </c>
      <c r="B2859" s="2" t="n">
        <v>43179.73116898148</v>
      </c>
      <c r="C2859" t="n">
        <v>0</v>
      </c>
      <c r="D2859" t="n">
        <v>2864</v>
      </c>
      <c r="E2859" t="s">
        <v>2870</v>
      </c>
      <c r="F2859" t="s"/>
      <c r="G2859" t="s"/>
      <c r="H2859" t="s"/>
      <c r="I2859" t="s"/>
      <c r="J2859" t="n">
        <v>-0.6908</v>
      </c>
      <c r="K2859" t="n">
        <v>0.231</v>
      </c>
      <c r="L2859" t="n">
        <v>0.769</v>
      </c>
      <c r="M2859" t="n">
        <v>0</v>
      </c>
    </row>
    <row r="2860" spans="1:13">
      <c r="A2860" s="1">
        <f>HYPERLINK("http://www.twitter.com/NathanBLawrence/status/976149267927715841", "976149267927715841")</f>
        <v/>
      </c>
      <c r="B2860" s="2" t="n">
        <v>43179.73027777778</v>
      </c>
      <c r="C2860" t="n">
        <v>0</v>
      </c>
      <c r="D2860" t="n">
        <v>784</v>
      </c>
      <c r="E2860" t="s">
        <v>2871</v>
      </c>
      <c r="F2860">
        <f>HYPERLINK("http://pbs.twimg.com/media/DYvmbiUXcAAVt94.jpg", "http://pbs.twimg.com/media/DYvmbiUXcAAVt94.jpg")</f>
        <v/>
      </c>
      <c r="G2860" t="s"/>
      <c r="H2860" t="s"/>
      <c r="I2860" t="s"/>
      <c r="J2860" t="n">
        <v>0.9382</v>
      </c>
      <c r="K2860" t="n">
        <v>0</v>
      </c>
      <c r="L2860" t="n">
        <v>0.492</v>
      </c>
      <c r="M2860" t="n">
        <v>0.508</v>
      </c>
    </row>
    <row r="2861" spans="1:13">
      <c r="A2861" s="1">
        <f>HYPERLINK("http://www.twitter.com/NathanBLawrence/status/976149097643114502", "976149097643114502")</f>
        <v/>
      </c>
      <c r="B2861" s="2" t="n">
        <v>43179.72980324074</v>
      </c>
      <c r="C2861" t="n">
        <v>0</v>
      </c>
      <c r="D2861" t="n">
        <v>538</v>
      </c>
      <c r="E2861" t="s">
        <v>2872</v>
      </c>
      <c r="F2861" t="s"/>
      <c r="G2861" t="s"/>
      <c r="H2861" t="s"/>
      <c r="I2861" t="s"/>
      <c r="J2861" t="n">
        <v>-0.5423</v>
      </c>
      <c r="K2861" t="n">
        <v>0.189</v>
      </c>
      <c r="L2861" t="n">
        <v>0.8110000000000001</v>
      </c>
      <c r="M2861" t="n">
        <v>0</v>
      </c>
    </row>
    <row r="2862" spans="1:13">
      <c r="A2862" s="1">
        <f>HYPERLINK("http://www.twitter.com/NathanBLawrence/status/976149066680815621", "976149066680815621")</f>
        <v/>
      </c>
      <c r="B2862" s="2" t="n">
        <v>43179.72972222222</v>
      </c>
      <c r="C2862" t="n">
        <v>0</v>
      </c>
      <c r="D2862" t="n">
        <v>5</v>
      </c>
      <c r="E2862" t="s">
        <v>2873</v>
      </c>
      <c r="F2862" t="s"/>
      <c r="G2862" t="s"/>
      <c r="H2862" t="s"/>
      <c r="I2862" t="s"/>
      <c r="J2862" t="n">
        <v>0</v>
      </c>
      <c r="K2862" t="n">
        <v>0</v>
      </c>
      <c r="L2862" t="n">
        <v>1</v>
      </c>
      <c r="M2862" t="n">
        <v>0</v>
      </c>
    </row>
    <row r="2863" spans="1:13">
      <c r="A2863" s="1">
        <f>HYPERLINK("http://www.twitter.com/NathanBLawrence/status/976149032820240384", "976149032820240384")</f>
        <v/>
      </c>
      <c r="B2863" s="2" t="n">
        <v>43179.72962962963</v>
      </c>
      <c r="C2863" t="n">
        <v>0</v>
      </c>
      <c r="D2863" t="n">
        <v>7</v>
      </c>
      <c r="E2863" t="s">
        <v>2874</v>
      </c>
      <c r="F2863" t="s"/>
      <c r="G2863" t="s"/>
      <c r="H2863" t="s"/>
      <c r="I2863" t="s"/>
      <c r="J2863" t="n">
        <v>-0.1027</v>
      </c>
      <c r="K2863" t="n">
        <v>0.06</v>
      </c>
      <c r="L2863" t="n">
        <v>0.9399999999999999</v>
      </c>
      <c r="M2863" t="n">
        <v>0</v>
      </c>
    </row>
    <row r="2864" spans="1:13">
      <c r="A2864" s="1">
        <f>HYPERLINK("http://www.twitter.com/NathanBLawrence/status/976148966306959361", "976148966306959361")</f>
        <v/>
      </c>
      <c r="B2864" s="2" t="n">
        <v>43179.72944444444</v>
      </c>
      <c r="C2864" t="n">
        <v>0</v>
      </c>
      <c r="D2864" t="n">
        <v>222</v>
      </c>
      <c r="E2864" t="s">
        <v>2875</v>
      </c>
      <c r="F2864" t="s"/>
      <c r="G2864" t="s"/>
      <c r="H2864" t="s"/>
      <c r="I2864" t="s"/>
      <c r="J2864" t="n">
        <v>0.7579</v>
      </c>
      <c r="K2864" t="n">
        <v>0</v>
      </c>
      <c r="L2864" t="n">
        <v>0.755</v>
      </c>
      <c r="M2864" t="n">
        <v>0.245</v>
      </c>
    </row>
    <row r="2865" spans="1:13">
      <c r="A2865" s="1">
        <f>HYPERLINK("http://www.twitter.com/NathanBLawrence/status/976115781615439872", "976115781615439872")</f>
        <v/>
      </c>
      <c r="B2865" s="2" t="n">
        <v>43179.63787037037</v>
      </c>
      <c r="C2865" t="n">
        <v>0</v>
      </c>
      <c r="D2865" t="n">
        <v>24</v>
      </c>
      <c r="E2865" t="s">
        <v>2876</v>
      </c>
      <c r="F2865">
        <f>HYPERLINK("http://pbs.twimg.com/media/DYvXdU5X0AA9xNB.jpg", "http://pbs.twimg.com/media/DYvXdU5X0AA9xNB.jpg")</f>
        <v/>
      </c>
      <c r="G2865" t="s"/>
      <c r="H2865" t="s"/>
      <c r="I2865" t="s"/>
      <c r="J2865" t="n">
        <v>-0.5574</v>
      </c>
      <c r="K2865" t="n">
        <v>0.175</v>
      </c>
      <c r="L2865" t="n">
        <v>0.825</v>
      </c>
      <c r="M2865" t="n">
        <v>0</v>
      </c>
    </row>
    <row r="2866" spans="1:13">
      <c r="A2866" s="1">
        <f>HYPERLINK("http://www.twitter.com/NathanBLawrence/status/976114434887376896", "976114434887376896")</f>
        <v/>
      </c>
      <c r="B2866" s="2" t="n">
        <v>43179.63415509259</v>
      </c>
      <c r="C2866" t="n">
        <v>0</v>
      </c>
      <c r="D2866" t="n">
        <v>1</v>
      </c>
      <c r="E2866" t="s">
        <v>2877</v>
      </c>
      <c r="F2866">
        <f>HYPERLINK("http://pbs.twimg.com/media/DYvXL8lW4AEJ6SJ.jpg", "http://pbs.twimg.com/media/DYvXL8lW4AEJ6SJ.jpg")</f>
        <v/>
      </c>
      <c r="G2866" t="s"/>
      <c r="H2866" t="s"/>
      <c r="I2866" t="s"/>
      <c r="J2866" t="n">
        <v>0</v>
      </c>
      <c r="K2866" t="n">
        <v>0</v>
      </c>
      <c r="L2866" t="n">
        <v>1</v>
      </c>
      <c r="M2866" t="n">
        <v>0</v>
      </c>
    </row>
    <row r="2867" spans="1:13">
      <c r="A2867" s="1">
        <f>HYPERLINK("http://www.twitter.com/NathanBLawrence/status/976114336723800065", "976114336723800065")</f>
        <v/>
      </c>
      <c r="B2867" s="2" t="n">
        <v>43179.63387731482</v>
      </c>
      <c r="C2867" t="n">
        <v>0</v>
      </c>
      <c r="D2867" t="n">
        <v>1024</v>
      </c>
      <c r="E2867" t="s">
        <v>2878</v>
      </c>
      <c r="F2867" t="s"/>
      <c r="G2867" t="s"/>
      <c r="H2867" t="s"/>
      <c r="I2867" t="s"/>
      <c r="J2867" t="n">
        <v>0.1027</v>
      </c>
      <c r="K2867" t="n">
        <v>0.107</v>
      </c>
      <c r="L2867" t="n">
        <v>0.765</v>
      </c>
      <c r="M2867" t="n">
        <v>0.128</v>
      </c>
    </row>
    <row r="2868" spans="1:13">
      <c r="A2868" s="1">
        <f>HYPERLINK("http://www.twitter.com/NathanBLawrence/status/976113660300005377", "976113660300005377")</f>
        <v/>
      </c>
      <c r="B2868" s="2" t="n">
        <v>43179.63201388889</v>
      </c>
      <c r="C2868" t="n">
        <v>0</v>
      </c>
      <c r="D2868" t="n">
        <v>788</v>
      </c>
      <c r="E2868" t="s">
        <v>2879</v>
      </c>
      <c r="F2868" t="s"/>
      <c r="G2868" t="s"/>
      <c r="H2868" t="s"/>
      <c r="I2868" t="s"/>
      <c r="J2868" t="n">
        <v>0</v>
      </c>
      <c r="K2868" t="n">
        <v>0</v>
      </c>
      <c r="L2868" t="n">
        <v>1</v>
      </c>
      <c r="M2868" t="n">
        <v>0</v>
      </c>
    </row>
    <row r="2869" spans="1:13">
      <c r="A2869" s="1">
        <f>HYPERLINK("http://www.twitter.com/NathanBLawrence/status/976113311107506177", "976113311107506177")</f>
        <v/>
      </c>
      <c r="B2869" s="2" t="n">
        <v>43179.63105324074</v>
      </c>
      <c r="C2869" t="n">
        <v>0</v>
      </c>
      <c r="D2869" t="n">
        <v>17</v>
      </c>
      <c r="E2869" t="s">
        <v>2880</v>
      </c>
      <c r="F2869">
        <f>HYPERLINK("http://pbs.twimg.com/media/DYvMBXSU0AEsdSf.jpg", "http://pbs.twimg.com/media/DYvMBXSU0AEsdSf.jpg")</f>
        <v/>
      </c>
      <c r="G2869" t="s"/>
      <c r="H2869" t="s"/>
      <c r="I2869" t="s"/>
      <c r="J2869" t="n">
        <v>0</v>
      </c>
      <c r="K2869" t="n">
        <v>0</v>
      </c>
      <c r="L2869" t="n">
        <v>1</v>
      </c>
      <c r="M2869" t="n">
        <v>0</v>
      </c>
    </row>
    <row r="2870" spans="1:13">
      <c r="A2870" s="1">
        <f>HYPERLINK("http://www.twitter.com/NathanBLawrence/status/976093714673291265", "976093714673291265")</f>
        <v/>
      </c>
      <c r="B2870" s="2" t="n">
        <v>43179.57697916667</v>
      </c>
      <c r="C2870" t="n">
        <v>0</v>
      </c>
      <c r="D2870" t="n">
        <v>118</v>
      </c>
      <c r="E2870" t="s">
        <v>2881</v>
      </c>
      <c r="F2870" t="s"/>
      <c r="G2870" t="s"/>
      <c r="H2870" t="s"/>
      <c r="I2870" t="s"/>
      <c r="J2870" t="n">
        <v>0.34</v>
      </c>
      <c r="K2870" t="n">
        <v>0</v>
      </c>
      <c r="L2870" t="n">
        <v>0.888</v>
      </c>
      <c r="M2870" t="n">
        <v>0.112</v>
      </c>
    </row>
    <row r="2871" spans="1:13">
      <c r="A2871" s="1">
        <f>HYPERLINK("http://www.twitter.com/NathanBLawrence/status/976090737409495040", "976090737409495040")</f>
        <v/>
      </c>
      <c r="B2871" s="2" t="n">
        <v>43179.56876157408</v>
      </c>
      <c r="C2871" t="n">
        <v>0</v>
      </c>
      <c r="D2871" t="n">
        <v>406</v>
      </c>
      <c r="E2871" t="s">
        <v>2882</v>
      </c>
      <c r="F2871">
        <f>HYPERLINK("http://pbs.twimg.com/media/DYut8_PWsAALhPp.jpg", "http://pbs.twimg.com/media/DYut8_PWsAALhPp.jpg")</f>
        <v/>
      </c>
      <c r="G2871" t="s"/>
      <c r="H2871" t="s"/>
      <c r="I2871" t="s"/>
      <c r="J2871" t="n">
        <v>0</v>
      </c>
      <c r="K2871" t="n">
        <v>0</v>
      </c>
      <c r="L2871" t="n">
        <v>1</v>
      </c>
      <c r="M2871" t="n">
        <v>0</v>
      </c>
    </row>
    <row r="2872" spans="1:13">
      <c r="A2872" s="1">
        <f>HYPERLINK("http://www.twitter.com/NathanBLawrence/status/976090411965042688", "976090411965042688")</f>
        <v/>
      </c>
      <c r="B2872" s="2" t="n">
        <v>43179.5678587963</v>
      </c>
      <c r="C2872" t="n">
        <v>0</v>
      </c>
      <c r="D2872" t="n">
        <v>205</v>
      </c>
      <c r="E2872" t="s">
        <v>2883</v>
      </c>
      <c r="F2872" t="s"/>
      <c r="G2872" t="s"/>
      <c r="H2872" t="s"/>
      <c r="I2872" t="s"/>
      <c r="J2872" t="n">
        <v>-0.8955</v>
      </c>
      <c r="K2872" t="n">
        <v>0.402</v>
      </c>
      <c r="L2872" t="n">
        <v>0.598</v>
      </c>
      <c r="M2872" t="n">
        <v>0</v>
      </c>
    </row>
    <row r="2873" spans="1:13">
      <c r="A2873" s="1">
        <f>HYPERLINK("http://www.twitter.com/NathanBLawrence/status/976087993399341058", "976087993399341058")</f>
        <v/>
      </c>
      <c r="B2873" s="2" t="n">
        <v>43179.56119212963</v>
      </c>
      <c r="C2873" t="n">
        <v>0</v>
      </c>
      <c r="D2873" t="n">
        <v>17</v>
      </c>
      <c r="E2873" t="s">
        <v>2884</v>
      </c>
      <c r="F2873" t="s"/>
      <c r="G2873" t="s"/>
      <c r="H2873" t="s"/>
      <c r="I2873" t="s"/>
      <c r="J2873" t="n">
        <v>0.3182</v>
      </c>
      <c r="K2873" t="n">
        <v>0</v>
      </c>
      <c r="L2873" t="n">
        <v>0.909</v>
      </c>
      <c r="M2873" t="n">
        <v>0.091</v>
      </c>
    </row>
    <row r="2874" spans="1:13">
      <c r="A2874" s="1">
        <f>HYPERLINK("http://www.twitter.com/NathanBLawrence/status/975958612479705088", "975958612479705088")</f>
        <v/>
      </c>
      <c r="B2874" s="2" t="n">
        <v>43179.20416666667</v>
      </c>
      <c r="C2874" t="n">
        <v>0</v>
      </c>
      <c r="D2874" t="n">
        <v>194</v>
      </c>
      <c r="E2874" t="s">
        <v>2885</v>
      </c>
      <c r="F2874">
        <f>HYPERLINK("http://pbs.twimg.com/media/DYq277oVAAAJE-R.jpg", "http://pbs.twimg.com/media/DYq277oVAAAJE-R.jpg")</f>
        <v/>
      </c>
      <c r="G2874" t="s"/>
      <c r="H2874" t="s"/>
      <c r="I2874" t="s"/>
      <c r="J2874" t="n">
        <v>0</v>
      </c>
      <c r="K2874" t="n">
        <v>0</v>
      </c>
      <c r="L2874" t="n">
        <v>1</v>
      </c>
      <c r="M2874" t="n">
        <v>0</v>
      </c>
    </row>
    <row r="2875" spans="1:13">
      <c r="A2875" s="1">
        <f>HYPERLINK("http://www.twitter.com/NathanBLawrence/status/975957683655380992", "975957683655380992")</f>
        <v/>
      </c>
      <c r="B2875" s="2" t="n">
        <v>43179.20159722222</v>
      </c>
      <c r="C2875" t="n">
        <v>0</v>
      </c>
      <c r="D2875" t="n">
        <v>67</v>
      </c>
      <c r="E2875" t="s">
        <v>2886</v>
      </c>
      <c r="F2875">
        <f>HYPERLINK("http://pbs.twimg.com/media/DYrxjhzWsAEbR4_.jpg", "http://pbs.twimg.com/media/DYrxjhzWsAEbR4_.jpg")</f>
        <v/>
      </c>
      <c r="G2875">
        <f>HYPERLINK("http://pbs.twimg.com/media/DYrxjlhWAAAVJpV.jpg", "http://pbs.twimg.com/media/DYrxjlhWAAAVJpV.jpg")</f>
        <v/>
      </c>
      <c r="H2875">
        <f>HYPERLINK("http://pbs.twimg.com/media/DYrxjhsXkAAb1Ol.jpg", "http://pbs.twimg.com/media/DYrxjhsXkAAb1Ol.jpg")</f>
        <v/>
      </c>
      <c r="I2875" t="s"/>
      <c r="J2875" t="n">
        <v>-0.25</v>
      </c>
      <c r="K2875" t="n">
        <v>0.274</v>
      </c>
      <c r="L2875" t="n">
        <v>0.485</v>
      </c>
      <c r="M2875" t="n">
        <v>0.241</v>
      </c>
    </row>
    <row r="2876" spans="1:13">
      <c r="A2876" s="1">
        <f>HYPERLINK("http://www.twitter.com/NathanBLawrence/status/975956705627516928", "975956705627516928")</f>
        <v/>
      </c>
      <c r="B2876" s="2" t="n">
        <v>43179.19890046296</v>
      </c>
      <c r="C2876" t="n">
        <v>0</v>
      </c>
      <c r="D2876" t="n">
        <v>503</v>
      </c>
      <c r="E2876" t="s">
        <v>2887</v>
      </c>
      <c r="F2876" t="s"/>
      <c r="G2876" t="s"/>
      <c r="H2876" t="s"/>
      <c r="I2876" t="s"/>
      <c r="J2876" t="n">
        <v>-0.6486</v>
      </c>
      <c r="K2876" t="n">
        <v>0.185</v>
      </c>
      <c r="L2876" t="n">
        <v>0.8149999999999999</v>
      </c>
      <c r="M2876" t="n">
        <v>0</v>
      </c>
    </row>
    <row r="2877" spans="1:13">
      <c r="A2877" s="1">
        <f>HYPERLINK("http://www.twitter.com/NathanBLawrence/status/975956174267932673", "975956174267932673")</f>
        <v/>
      </c>
      <c r="B2877" s="2" t="n">
        <v>43179.19743055556</v>
      </c>
      <c r="C2877" t="n">
        <v>0</v>
      </c>
      <c r="D2877" t="n">
        <v>4212</v>
      </c>
      <c r="E2877" t="s">
        <v>2888</v>
      </c>
      <c r="F2877" t="s"/>
      <c r="G2877" t="s"/>
      <c r="H2877" t="s"/>
      <c r="I2877" t="s"/>
      <c r="J2877" t="n">
        <v>0.0516</v>
      </c>
      <c r="K2877" t="n">
        <v>0.116</v>
      </c>
      <c r="L2877" t="n">
        <v>0.76</v>
      </c>
      <c r="M2877" t="n">
        <v>0.124</v>
      </c>
    </row>
    <row r="2878" spans="1:13">
      <c r="A2878" s="1">
        <f>HYPERLINK("http://www.twitter.com/NathanBLawrence/status/975955967631413248", "975955967631413248")</f>
        <v/>
      </c>
      <c r="B2878" s="2" t="n">
        <v>43179.19686342592</v>
      </c>
      <c r="C2878" t="n">
        <v>0</v>
      </c>
      <c r="D2878" t="n">
        <v>562</v>
      </c>
      <c r="E2878" t="s">
        <v>2889</v>
      </c>
      <c r="F2878" t="s"/>
      <c r="G2878" t="s"/>
      <c r="H2878" t="s"/>
      <c r="I2878" t="s"/>
      <c r="J2878" t="n">
        <v>-0.8658</v>
      </c>
      <c r="K2878" t="n">
        <v>0.338</v>
      </c>
      <c r="L2878" t="n">
        <v>0.662</v>
      </c>
      <c r="M2878" t="n">
        <v>0</v>
      </c>
    </row>
    <row r="2879" spans="1:13">
      <c r="A2879" s="1">
        <f>HYPERLINK("http://www.twitter.com/NathanBLawrence/status/975955914791497728", "975955914791497728")</f>
        <v/>
      </c>
      <c r="B2879" s="2" t="n">
        <v>43179.19672453704</v>
      </c>
      <c r="C2879" t="n">
        <v>0</v>
      </c>
      <c r="D2879" t="n">
        <v>1</v>
      </c>
      <c r="E2879" t="s">
        <v>2890</v>
      </c>
      <c r="F2879" t="s"/>
      <c r="G2879" t="s"/>
      <c r="H2879" t="s"/>
      <c r="I2879" t="s"/>
      <c r="J2879" t="n">
        <v>0</v>
      </c>
      <c r="K2879" t="n">
        <v>0</v>
      </c>
      <c r="L2879" t="n">
        <v>1</v>
      </c>
      <c r="M2879" t="n">
        <v>0</v>
      </c>
    </row>
    <row r="2880" spans="1:13">
      <c r="A2880" s="1">
        <f>HYPERLINK("http://www.twitter.com/NathanBLawrence/status/975955823313682432", "975955823313682432")</f>
        <v/>
      </c>
      <c r="B2880" s="2" t="n">
        <v>43179.19646990741</v>
      </c>
      <c r="C2880" t="n">
        <v>0</v>
      </c>
      <c r="D2880" t="n">
        <v>656</v>
      </c>
      <c r="E2880" t="s">
        <v>2891</v>
      </c>
      <c r="F2880" t="s"/>
      <c r="G2880" t="s"/>
      <c r="H2880" t="s"/>
      <c r="I2880" t="s"/>
      <c r="J2880" t="n">
        <v>0.4019</v>
      </c>
      <c r="K2880" t="n">
        <v>0</v>
      </c>
      <c r="L2880" t="n">
        <v>0.895</v>
      </c>
      <c r="M2880" t="n">
        <v>0.105</v>
      </c>
    </row>
    <row r="2881" spans="1:13">
      <c r="A2881" s="1">
        <f>HYPERLINK("http://www.twitter.com/NathanBLawrence/status/975955303698194432", "975955303698194432")</f>
        <v/>
      </c>
      <c r="B2881" s="2" t="n">
        <v>43179.19503472222</v>
      </c>
      <c r="C2881" t="n">
        <v>0</v>
      </c>
      <c r="D2881" t="n">
        <v>224</v>
      </c>
      <c r="E2881" t="s">
        <v>2892</v>
      </c>
      <c r="F2881">
        <f>HYPERLINK("http://pbs.twimg.com/media/DYtHlXfXcAAlxXE.jpg", "http://pbs.twimg.com/media/DYtHlXfXcAAlxXE.jpg")</f>
        <v/>
      </c>
      <c r="G2881" t="s"/>
      <c r="H2881" t="s"/>
      <c r="I2881" t="s"/>
      <c r="J2881" t="n">
        <v>0</v>
      </c>
      <c r="K2881" t="n">
        <v>0</v>
      </c>
      <c r="L2881" t="n">
        <v>1</v>
      </c>
      <c r="M2881" t="n">
        <v>0</v>
      </c>
    </row>
    <row r="2882" spans="1:13">
      <c r="A2882" s="1">
        <f>HYPERLINK("http://www.twitter.com/NathanBLawrence/status/975953125961076736", "975953125961076736")</f>
        <v/>
      </c>
      <c r="B2882" s="2" t="n">
        <v>43179.18902777778</v>
      </c>
      <c r="C2882" t="n">
        <v>0</v>
      </c>
      <c r="D2882" t="n">
        <v>64</v>
      </c>
      <c r="E2882" t="s">
        <v>2893</v>
      </c>
      <c r="F2882" t="s"/>
      <c r="G2882" t="s"/>
      <c r="H2882" t="s"/>
      <c r="I2882" t="s"/>
      <c r="J2882" t="n">
        <v>0</v>
      </c>
      <c r="K2882" t="n">
        <v>0</v>
      </c>
      <c r="L2882" t="n">
        <v>1</v>
      </c>
      <c r="M2882" t="n">
        <v>0</v>
      </c>
    </row>
    <row r="2883" spans="1:13">
      <c r="A2883" s="1">
        <f>HYPERLINK("http://www.twitter.com/NathanBLawrence/status/975952610099417088", "975952610099417088")</f>
        <v/>
      </c>
      <c r="B2883" s="2" t="n">
        <v>43179.18760416667</v>
      </c>
      <c r="C2883" t="n">
        <v>0</v>
      </c>
      <c r="D2883" t="n">
        <v>0</v>
      </c>
      <c r="E2883" t="s">
        <v>2894</v>
      </c>
      <c r="F2883" t="s"/>
      <c r="G2883" t="s"/>
      <c r="H2883" t="s"/>
      <c r="I2883" t="s"/>
      <c r="J2883" t="n">
        <v>0.6369</v>
      </c>
      <c r="K2883" t="n">
        <v>0</v>
      </c>
      <c r="L2883" t="n">
        <v>0.769</v>
      </c>
      <c r="M2883" t="n">
        <v>0.231</v>
      </c>
    </row>
    <row r="2884" spans="1:13">
      <c r="A2884" s="1">
        <f>HYPERLINK("http://www.twitter.com/NathanBLawrence/status/975951767572803585", "975951767572803585")</f>
        <v/>
      </c>
      <c r="B2884" s="2" t="n">
        <v>43179.18527777777</v>
      </c>
      <c r="C2884" t="n">
        <v>0</v>
      </c>
      <c r="D2884" t="n">
        <v>1</v>
      </c>
      <c r="E2884" t="s">
        <v>2895</v>
      </c>
      <c r="F2884" t="s"/>
      <c r="G2884" t="s"/>
      <c r="H2884" t="s"/>
      <c r="I2884" t="s"/>
      <c r="J2884" t="n">
        <v>0</v>
      </c>
      <c r="K2884" t="n">
        <v>0</v>
      </c>
      <c r="L2884" t="n">
        <v>1</v>
      </c>
      <c r="M2884" t="n">
        <v>0</v>
      </c>
    </row>
    <row r="2885" spans="1:13">
      <c r="A2885" s="1">
        <f>HYPERLINK("http://www.twitter.com/NathanBLawrence/status/975951698953940993", "975951698953940993")</f>
        <v/>
      </c>
      <c r="B2885" s="2" t="n">
        <v>43179.18508101852</v>
      </c>
      <c r="C2885" t="n">
        <v>0</v>
      </c>
      <c r="D2885" t="n">
        <v>38</v>
      </c>
      <c r="E2885" t="s">
        <v>2896</v>
      </c>
      <c r="F2885">
        <f>HYPERLINK("http://pbs.twimg.com/media/DYs3qjUU0AAPQ9T.jpg", "http://pbs.twimg.com/media/DYs3qjUU0AAPQ9T.jpg")</f>
        <v/>
      </c>
      <c r="G2885" t="s"/>
      <c r="H2885" t="s"/>
      <c r="I2885" t="s"/>
      <c r="J2885" t="n">
        <v>0</v>
      </c>
      <c r="K2885" t="n">
        <v>0</v>
      </c>
      <c r="L2885" t="n">
        <v>1</v>
      </c>
      <c r="M2885" t="n">
        <v>0</v>
      </c>
    </row>
    <row r="2886" spans="1:13">
      <c r="A2886" s="1">
        <f>HYPERLINK("http://www.twitter.com/NathanBLawrence/status/975951365573939200", "975951365573939200")</f>
        <v/>
      </c>
      <c r="B2886" s="2" t="n">
        <v>43179.18416666667</v>
      </c>
      <c r="C2886" t="n">
        <v>0</v>
      </c>
      <c r="D2886" t="n">
        <v>31</v>
      </c>
      <c r="E2886" t="s">
        <v>2897</v>
      </c>
      <c r="F2886">
        <f>HYPERLINK("http://pbs.twimg.com/media/DYtFjHbUMAEj8LE.jpg", "http://pbs.twimg.com/media/DYtFjHbUMAEj8LE.jpg")</f>
        <v/>
      </c>
      <c r="G2886" t="s"/>
      <c r="H2886" t="s"/>
      <c r="I2886" t="s"/>
      <c r="J2886" t="n">
        <v>0</v>
      </c>
      <c r="K2886" t="n">
        <v>0</v>
      </c>
      <c r="L2886" t="n">
        <v>1</v>
      </c>
      <c r="M2886" t="n">
        <v>0</v>
      </c>
    </row>
    <row r="2887" spans="1:13">
      <c r="A2887" s="1">
        <f>HYPERLINK("http://www.twitter.com/NathanBLawrence/status/975951114616168448", "975951114616168448")</f>
        <v/>
      </c>
      <c r="B2887" s="2" t="n">
        <v>43179.18347222222</v>
      </c>
      <c r="C2887" t="n">
        <v>0</v>
      </c>
      <c r="D2887" t="n">
        <v>4</v>
      </c>
      <c r="E2887" t="s">
        <v>2898</v>
      </c>
      <c r="F2887" t="s"/>
      <c r="G2887" t="s"/>
      <c r="H2887" t="s"/>
      <c r="I2887" t="s"/>
      <c r="J2887" t="n">
        <v>-0.6808</v>
      </c>
      <c r="K2887" t="n">
        <v>0.398</v>
      </c>
      <c r="L2887" t="n">
        <v>0.602</v>
      </c>
      <c r="M2887" t="n">
        <v>0</v>
      </c>
    </row>
    <row r="2888" spans="1:13">
      <c r="A2888" s="1">
        <f>HYPERLINK("http://www.twitter.com/NathanBLawrence/status/975949876298223616", "975949876298223616")</f>
        <v/>
      </c>
      <c r="B2888" s="2" t="n">
        <v>43179.18005787037</v>
      </c>
      <c r="C2888" t="n">
        <v>0</v>
      </c>
      <c r="D2888" t="n">
        <v>222</v>
      </c>
      <c r="E2888" t="s">
        <v>2899</v>
      </c>
      <c r="F2888" t="s"/>
      <c r="G2888" t="s"/>
      <c r="H2888" t="s"/>
      <c r="I2888" t="s"/>
      <c r="J2888" t="n">
        <v>-0.34</v>
      </c>
      <c r="K2888" t="n">
        <v>0.103</v>
      </c>
      <c r="L2888" t="n">
        <v>0.897</v>
      </c>
      <c r="M2888" t="n">
        <v>0</v>
      </c>
    </row>
    <row r="2889" spans="1:13">
      <c r="A2889" s="1">
        <f>HYPERLINK("http://www.twitter.com/NathanBLawrence/status/975949700011646978", "975949700011646978")</f>
        <v/>
      </c>
      <c r="B2889" s="2" t="n">
        <v>43179.17957175926</v>
      </c>
      <c r="C2889" t="n">
        <v>0</v>
      </c>
      <c r="D2889" t="n">
        <v>704</v>
      </c>
      <c r="E2889" t="s">
        <v>2900</v>
      </c>
      <c r="F2889">
        <f>HYPERLINK("http://pbs.twimg.com/media/DYtAfONUQAAXnkH.jpg", "http://pbs.twimg.com/media/DYtAfONUQAAXnkH.jpg")</f>
        <v/>
      </c>
      <c r="G2889">
        <f>HYPERLINK("http://pbs.twimg.com/media/DYtAzgCV4AEEARG.jpg", "http://pbs.twimg.com/media/DYtAzgCV4AEEARG.jpg")</f>
        <v/>
      </c>
      <c r="H2889">
        <f>HYPERLINK("http://pbs.twimg.com/media/DYtA2SwVwAIgwoB.jpg", "http://pbs.twimg.com/media/DYtA2SwVwAIgwoB.jpg")</f>
        <v/>
      </c>
      <c r="I2889">
        <f>HYPERLINK("http://pbs.twimg.com/media/DYtA5k_VwAIIWA-.jpg", "http://pbs.twimg.com/media/DYtA5k_VwAIIWA-.jpg")</f>
        <v/>
      </c>
      <c r="J2889" t="n">
        <v>0.6114000000000001</v>
      </c>
      <c r="K2889" t="n">
        <v>0</v>
      </c>
      <c r="L2889" t="n">
        <v>0.8</v>
      </c>
      <c r="M2889" t="n">
        <v>0.2</v>
      </c>
    </row>
    <row r="2890" spans="1:13">
      <c r="A2890" s="1">
        <f>HYPERLINK("http://www.twitter.com/NathanBLawrence/status/975949102063243264", "975949102063243264")</f>
        <v/>
      </c>
      <c r="B2890" s="2" t="n">
        <v>43179.17791666667</v>
      </c>
      <c r="C2890" t="n">
        <v>0</v>
      </c>
      <c r="D2890" t="n">
        <v>4824</v>
      </c>
      <c r="E2890" t="s">
        <v>2901</v>
      </c>
      <c r="F2890" t="s"/>
      <c r="G2890" t="s"/>
      <c r="H2890" t="s"/>
      <c r="I2890" t="s"/>
      <c r="J2890" t="n">
        <v>0</v>
      </c>
      <c r="K2890" t="n">
        <v>0</v>
      </c>
      <c r="L2890" t="n">
        <v>1</v>
      </c>
      <c r="M2890" t="n">
        <v>0</v>
      </c>
    </row>
    <row r="2891" spans="1:13">
      <c r="A2891" s="1">
        <f>HYPERLINK("http://www.twitter.com/NathanBLawrence/status/975949042155950082", "975949042155950082")</f>
        <v/>
      </c>
      <c r="B2891" s="2" t="n">
        <v>43179.17775462963</v>
      </c>
      <c r="C2891" t="n">
        <v>0</v>
      </c>
      <c r="D2891" t="n">
        <v>5460</v>
      </c>
      <c r="E2891" t="s">
        <v>2902</v>
      </c>
      <c r="F2891" t="s"/>
      <c r="G2891" t="s"/>
      <c r="H2891" t="s"/>
      <c r="I2891" t="s"/>
      <c r="J2891" t="n">
        <v>0</v>
      </c>
      <c r="K2891" t="n">
        <v>0</v>
      </c>
      <c r="L2891" t="n">
        <v>1</v>
      </c>
      <c r="M2891" t="n">
        <v>0</v>
      </c>
    </row>
    <row r="2892" spans="1:13">
      <c r="A2892" s="1">
        <f>HYPERLINK("http://www.twitter.com/NathanBLawrence/status/975948538185216000", "975948538185216000")</f>
        <v/>
      </c>
      <c r="B2892" s="2" t="n">
        <v>43179.17636574074</v>
      </c>
      <c r="C2892" t="n">
        <v>0</v>
      </c>
      <c r="D2892" t="n">
        <v>99</v>
      </c>
      <c r="E2892" t="s">
        <v>2903</v>
      </c>
      <c r="F2892">
        <f>HYPERLINK("http://pbs.twimg.com/media/DYtDvHwX4AAbKRi.jpg", "http://pbs.twimg.com/media/DYtDvHwX4AAbKRi.jpg")</f>
        <v/>
      </c>
      <c r="G2892" t="s"/>
      <c r="H2892" t="s"/>
      <c r="I2892" t="s"/>
      <c r="J2892" t="n">
        <v>0</v>
      </c>
      <c r="K2892" t="n">
        <v>0</v>
      </c>
      <c r="L2892" t="n">
        <v>1</v>
      </c>
      <c r="M2892" t="n">
        <v>0</v>
      </c>
    </row>
    <row r="2893" spans="1:13">
      <c r="A2893" s="1">
        <f>HYPERLINK("http://www.twitter.com/NathanBLawrence/status/975947828089548801", "975947828089548801")</f>
        <v/>
      </c>
      <c r="B2893" s="2" t="n">
        <v>43179.17440972223</v>
      </c>
      <c r="C2893" t="n">
        <v>0</v>
      </c>
      <c r="D2893" t="n">
        <v>311</v>
      </c>
      <c r="E2893" t="s">
        <v>2904</v>
      </c>
      <c r="F2893" t="s"/>
      <c r="G2893" t="s"/>
      <c r="H2893" t="s"/>
      <c r="I2893" t="s"/>
      <c r="J2893" t="n">
        <v>0</v>
      </c>
      <c r="K2893" t="n">
        <v>0</v>
      </c>
      <c r="L2893" t="n">
        <v>1</v>
      </c>
      <c r="M2893" t="n">
        <v>0</v>
      </c>
    </row>
    <row r="2894" spans="1:13">
      <c r="A2894" s="1">
        <f>HYPERLINK("http://www.twitter.com/NathanBLawrence/status/975947214861332480", "975947214861332480")</f>
        <v/>
      </c>
      <c r="B2894" s="2" t="n">
        <v>43179.17270833333</v>
      </c>
      <c r="C2894" t="n">
        <v>0</v>
      </c>
      <c r="D2894" t="n">
        <v>76</v>
      </c>
      <c r="E2894" t="s">
        <v>2905</v>
      </c>
      <c r="F2894" t="s"/>
      <c r="G2894" t="s"/>
      <c r="H2894" t="s"/>
      <c r="I2894" t="s"/>
      <c r="J2894" t="n">
        <v>0</v>
      </c>
      <c r="K2894" t="n">
        <v>0</v>
      </c>
      <c r="L2894" t="n">
        <v>1</v>
      </c>
      <c r="M2894" t="n">
        <v>0</v>
      </c>
    </row>
    <row r="2895" spans="1:13">
      <c r="A2895" s="1">
        <f>HYPERLINK("http://www.twitter.com/NathanBLawrence/status/975947031402483712", "975947031402483712")</f>
        <v/>
      </c>
      <c r="B2895" s="2" t="n">
        <v>43179.17221064815</v>
      </c>
      <c r="C2895" t="n">
        <v>0</v>
      </c>
      <c r="D2895" t="n">
        <v>236</v>
      </c>
      <c r="E2895" t="s">
        <v>2906</v>
      </c>
      <c r="F2895" t="s"/>
      <c r="G2895" t="s"/>
      <c r="H2895" t="s"/>
      <c r="I2895" t="s"/>
      <c r="J2895" t="n">
        <v>0.4019</v>
      </c>
      <c r="K2895" t="n">
        <v>0.157</v>
      </c>
      <c r="L2895" t="n">
        <v>0.611</v>
      </c>
      <c r="M2895" t="n">
        <v>0.231</v>
      </c>
    </row>
    <row r="2896" spans="1:13">
      <c r="A2896" s="1">
        <f>HYPERLINK("http://www.twitter.com/NathanBLawrence/status/975946940297990146", "975946940297990146")</f>
        <v/>
      </c>
      <c r="B2896" s="2" t="n">
        <v>43179.17195601852</v>
      </c>
      <c r="C2896" t="n">
        <v>0</v>
      </c>
      <c r="D2896" t="n">
        <v>589</v>
      </c>
      <c r="E2896" t="s">
        <v>2907</v>
      </c>
      <c r="F2896" t="s"/>
      <c r="G2896" t="s"/>
      <c r="H2896" t="s"/>
      <c r="I2896" t="s"/>
      <c r="J2896" t="n">
        <v>-0.5423</v>
      </c>
      <c r="K2896" t="n">
        <v>0.22</v>
      </c>
      <c r="L2896" t="n">
        <v>0.78</v>
      </c>
      <c r="M2896" t="n">
        <v>0</v>
      </c>
    </row>
    <row r="2897" spans="1:13">
      <c r="A2897" s="1">
        <f>HYPERLINK("http://www.twitter.com/NathanBLawrence/status/975946901714554885", "975946901714554885")</f>
        <v/>
      </c>
      <c r="B2897" s="2" t="n">
        <v>43179.17185185185</v>
      </c>
      <c r="C2897" t="n">
        <v>0</v>
      </c>
      <c r="D2897" t="n">
        <v>1</v>
      </c>
      <c r="E2897" t="s">
        <v>2908</v>
      </c>
      <c r="F2897" t="s"/>
      <c r="G2897" t="s"/>
      <c r="H2897" t="s"/>
      <c r="I2897" t="s"/>
      <c r="J2897" t="n">
        <v>0.6037</v>
      </c>
      <c r="K2897" t="n">
        <v>0.12</v>
      </c>
      <c r="L2897" t="n">
        <v>0.545</v>
      </c>
      <c r="M2897" t="n">
        <v>0.335</v>
      </c>
    </row>
    <row r="2898" spans="1:13">
      <c r="A2898" s="1">
        <f>HYPERLINK("http://www.twitter.com/NathanBLawrence/status/975946801734922241", "975946801734922241")</f>
        <v/>
      </c>
      <c r="B2898" s="2" t="n">
        <v>43179.17157407408</v>
      </c>
      <c r="C2898" t="n">
        <v>0</v>
      </c>
      <c r="D2898" t="n">
        <v>1144</v>
      </c>
      <c r="E2898" t="s">
        <v>2909</v>
      </c>
      <c r="F2898">
        <f>HYPERLINK("http://pbs.twimg.com/media/DYsu1BWXkAADppP.jpg", "http://pbs.twimg.com/media/DYsu1BWXkAADppP.jpg")</f>
        <v/>
      </c>
      <c r="G2898" t="s"/>
      <c r="H2898" t="s"/>
      <c r="I2898" t="s"/>
      <c r="J2898" t="n">
        <v>0.6901</v>
      </c>
      <c r="K2898" t="n">
        <v>0</v>
      </c>
      <c r="L2898" t="n">
        <v>0.787</v>
      </c>
      <c r="M2898" t="n">
        <v>0.213</v>
      </c>
    </row>
    <row r="2899" spans="1:13">
      <c r="A2899" s="1">
        <f>HYPERLINK("http://www.twitter.com/NathanBLawrence/status/975924732662026240", "975924732662026240")</f>
        <v/>
      </c>
      <c r="B2899" s="2" t="n">
        <v>43179.11067129629</v>
      </c>
      <c r="C2899" t="n">
        <v>0</v>
      </c>
      <c r="D2899" t="n">
        <v>319</v>
      </c>
      <c r="E2899" t="s">
        <v>2910</v>
      </c>
      <c r="F2899">
        <f>HYPERLINK("http://pbs.twimg.com/media/DYm3vxXW0AAE1ZG.jpg", "http://pbs.twimg.com/media/DYm3vxXW0AAE1ZG.jpg")</f>
        <v/>
      </c>
      <c r="G2899" t="s"/>
      <c r="H2899" t="s"/>
      <c r="I2899" t="s"/>
      <c r="J2899" t="n">
        <v>0</v>
      </c>
      <c r="K2899" t="n">
        <v>0</v>
      </c>
      <c r="L2899" t="n">
        <v>1</v>
      </c>
      <c r="M2899" t="n">
        <v>0</v>
      </c>
    </row>
    <row r="2900" spans="1:13">
      <c r="A2900" s="1">
        <f>HYPERLINK("http://www.twitter.com/NathanBLawrence/status/975923972725510144", "975923972725510144")</f>
        <v/>
      </c>
      <c r="B2900" s="2" t="n">
        <v>43179.10857638889</v>
      </c>
      <c r="C2900" t="n">
        <v>0</v>
      </c>
      <c r="D2900" t="n">
        <v>16</v>
      </c>
      <c r="E2900" t="s">
        <v>2911</v>
      </c>
      <c r="F2900">
        <f>HYPERLINK("http://pbs.twimg.com/media/DYqJm-HX4AET2tC.jpg", "http://pbs.twimg.com/media/DYqJm-HX4AET2tC.jpg")</f>
        <v/>
      </c>
      <c r="G2900">
        <f>HYPERLINK("http://pbs.twimg.com/media/DYqJncTW4AA4U_2.jpg", "http://pbs.twimg.com/media/DYqJncTW4AA4U_2.jpg")</f>
        <v/>
      </c>
      <c r="H2900" t="s"/>
      <c r="I2900" t="s"/>
      <c r="J2900" t="n">
        <v>0</v>
      </c>
      <c r="K2900" t="n">
        <v>0</v>
      </c>
      <c r="L2900" t="n">
        <v>1</v>
      </c>
      <c r="M2900" t="n">
        <v>0</v>
      </c>
    </row>
    <row r="2901" spans="1:13">
      <c r="A2901" s="1">
        <f>HYPERLINK("http://www.twitter.com/NathanBLawrence/status/975923611612712960", "975923611612712960")</f>
        <v/>
      </c>
      <c r="B2901" s="2" t="n">
        <v>43179.10758101852</v>
      </c>
      <c r="C2901" t="n">
        <v>0</v>
      </c>
      <c r="D2901" t="n">
        <v>181</v>
      </c>
      <c r="E2901" t="s">
        <v>2912</v>
      </c>
      <c r="F2901">
        <f>HYPERLINK("http://pbs.twimg.com/media/DYqdLwSVMAIFkGt.jpg", "http://pbs.twimg.com/media/DYqdLwSVMAIFkGt.jpg")</f>
        <v/>
      </c>
      <c r="G2901" t="s"/>
      <c r="H2901" t="s"/>
      <c r="I2901" t="s"/>
      <c r="J2901" t="n">
        <v>0.5859</v>
      </c>
      <c r="K2901" t="n">
        <v>0</v>
      </c>
      <c r="L2901" t="n">
        <v>0.84</v>
      </c>
      <c r="M2901" t="n">
        <v>0.16</v>
      </c>
    </row>
    <row r="2902" spans="1:13">
      <c r="A2902" s="1">
        <f>HYPERLINK("http://www.twitter.com/NathanBLawrence/status/975922845330092032", "975922845330092032")</f>
        <v/>
      </c>
      <c r="B2902" s="2" t="n">
        <v>43179.10546296297</v>
      </c>
      <c r="C2902" t="n">
        <v>0</v>
      </c>
      <c r="D2902" t="n">
        <v>407</v>
      </c>
      <c r="E2902" t="s">
        <v>2913</v>
      </c>
      <c r="F2902" t="s"/>
      <c r="G2902" t="s"/>
      <c r="H2902" t="s"/>
      <c r="I2902" t="s"/>
      <c r="J2902" t="n">
        <v>-0.5994</v>
      </c>
      <c r="K2902" t="n">
        <v>0.231</v>
      </c>
      <c r="L2902" t="n">
        <v>0.769</v>
      </c>
      <c r="M2902" t="n">
        <v>0</v>
      </c>
    </row>
    <row r="2903" spans="1:13">
      <c r="A2903" s="1">
        <f>HYPERLINK("http://www.twitter.com/NathanBLawrence/status/975922720390221825", "975922720390221825")</f>
        <v/>
      </c>
      <c r="B2903" s="2" t="n">
        <v>43179.10511574074</v>
      </c>
      <c r="C2903" t="n">
        <v>0</v>
      </c>
      <c r="D2903" t="n">
        <v>2751</v>
      </c>
      <c r="E2903" t="s">
        <v>2914</v>
      </c>
      <c r="F2903">
        <f>HYPERLINK("http://pbs.twimg.com/media/DYlykOJU0AAXNjw.jpg", "http://pbs.twimg.com/media/DYlykOJU0AAXNjw.jpg")</f>
        <v/>
      </c>
      <c r="G2903">
        <f>HYPERLINK("http://pbs.twimg.com/media/DYlykOHVMAAzLP-.jpg", "http://pbs.twimg.com/media/DYlykOHVMAAzLP-.jpg")</f>
        <v/>
      </c>
      <c r="H2903" t="s"/>
      <c r="I2903" t="s"/>
      <c r="J2903" t="n">
        <v>0</v>
      </c>
      <c r="K2903" t="n">
        <v>0</v>
      </c>
      <c r="L2903" t="n">
        <v>1</v>
      </c>
      <c r="M2903" t="n">
        <v>0</v>
      </c>
    </row>
    <row r="2904" spans="1:13">
      <c r="A2904" s="1">
        <f>HYPERLINK("http://www.twitter.com/NathanBLawrence/status/975921351969124352", "975921351969124352")</f>
        <v/>
      </c>
      <c r="B2904" s="2" t="n">
        <v>43179.10134259259</v>
      </c>
      <c r="C2904" t="n">
        <v>0</v>
      </c>
      <c r="D2904" t="n">
        <v>318</v>
      </c>
      <c r="E2904" t="s">
        <v>2915</v>
      </c>
      <c r="F2904" t="s"/>
      <c r="G2904" t="s"/>
      <c r="H2904" t="s"/>
      <c r="I2904" t="s"/>
      <c r="J2904" t="n">
        <v>0.0258</v>
      </c>
      <c r="K2904" t="n">
        <v>0.105</v>
      </c>
      <c r="L2904" t="n">
        <v>0.786</v>
      </c>
      <c r="M2904" t="n">
        <v>0.109</v>
      </c>
    </row>
    <row r="2905" spans="1:13">
      <c r="A2905" s="1">
        <f>HYPERLINK("http://www.twitter.com/NathanBLawrence/status/975921311858987008", "975921311858987008")</f>
        <v/>
      </c>
      <c r="B2905" s="2" t="n">
        <v>43179.10123842592</v>
      </c>
      <c r="C2905" t="n">
        <v>0</v>
      </c>
      <c r="D2905" t="n">
        <v>2232</v>
      </c>
      <c r="E2905" t="s">
        <v>2916</v>
      </c>
      <c r="F2905">
        <f>HYPERLINK("https://video.twimg.com/ext_tw_video/975860936094334976/pu/vid/1280x720/kEmIFIReUFR_9Vx9.mp4", "https://video.twimg.com/ext_tw_video/975860936094334976/pu/vid/1280x720/kEmIFIReUFR_9Vx9.mp4")</f>
        <v/>
      </c>
      <c r="G2905" t="s"/>
      <c r="H2905" t="s"/>
      <c r="I2905" t="s"/>
      <c r="J2905" t="n">
        <v>-0.5994</v>
      </c>
      <c r="K2905" t="n">
        <v>0.17</v>
      </c>
      <c r="L2905" t="n">
        <v>0.83</v>
      </c>
      <c r="M2905" t="n">
        <v>0</v>
      </c>
    </row>
    <row r="2906" spans="1:13">
      <c r="A2906" s="1">
        <f>HYPERLINK("http://www.twitter.com/NathanBLawrence/status/975920112124551168", "975920112124551168")</f>
        <v/>
      </c>
      <c r="B2906" s="2" t="n">
        <v>43179.09792824074</v>
      </c>
      <c r="C2906" t="n">
        <v>0</v>
      </c>
      <c r="D2906" t="n">
        <v>105</v>
      </c>
      <c r="E2906" t="s">
        <v>2917</v>
      </c>
      <c r="F2906">
        <f>HYPERLINK("http://pbs.twimg.com/media/DYsjbiwW4AEJcaf.jpg", "http://pbs.twimg.com/media/DYsjbiwW4AEJcaf.jpg")</f>
        <v/>
      </c>
      <c r="G2906" t="s"/>
      <c r="H2906" t="s"/>
      <c r="I2906" t="s"/>
      <c r="J2906" t="n">
        <v>0</v>
      </c>
      <c r="K2906" t="n">
        <v>0</v>
      </c>
      <c r="L2906" t="n">
        <v>1</v>
      </c>
      <c r="M2906" t="n">
        <v>0</v>
      </c>
    </row>
    <row r="2907" spans="1:13">
      <c r="A2907" s="1">
        <f>HYPERLINK("http://www.twitter.com/NathanBLawrence/status/975918857624924163", "975918857624924163")</f>
        <v/>
      </c>
      <c r="B2907" s="2" t="n">
        <v>43179.09446759259</v>
      </c>
      <c r="C2907" t="n">
        <v>0</v>
      </c>
      <c r="D2907" t="n">
        <v>9683</v>
      </c>
      <c r="E2907" t="s">
        <v>2918</v>
      </c>
      <c r="F2907">
        <f>HYPERLINK("http://pbs.twimg.com/media/DYsfK4lVMAA4eDK.jpg", "http://pbs.twimg.com/media/DYsfK4lVMAA4eDK.jpg")</f>
        <v/>
      </c>
      <c r="G2907" t="s"/>
      <c r="H2907" t="s"/>
      <c r="I2907" t="s"/>
      <c r="J2907" t="n">
        <v>0.8881</v>
      </c>
      <c r="K2907" t="n">
        <v>0</v>
      </c>
      <c r="L2907" t="n">
        <v>0.644</v>
      </c>
      <c r="M2907" t="n">
        <v>0.356</v>
      </c>
    </row>
    <row r="2908" spans="1:13">
      <c r="A2908" s="1">
        <f>HYPERLINK("http://www.twitter.com/NathanBLawrence/status/975918665362223104", "975918665362223104")</f>
        <v/>
      </c>
      <c r="B2908" s="2" t="n">
        <v>43179.09393518518</v>
      </c>
      <c r="C2908" t="n">
        <v>0</v>
      </c>
      <c r="D2908" t="n">
        <v>463</v>
      </c>
      <c r="E2908" t="s">
        <v>2919</v>
      </c>
      <c r="F2908" t="s"/>
      <c r="G2908" t="s"/>
      <c r="H2908" t="s"/>
      <c r="I2908" t="s"/>
      <c r="J2908" t="n">
        <v>0.1027</v>
      </c>
      <c r="K2908" t="n">
        <v>0</v>
      </c>
      <c r="L2908" t="n">
        <v>0.947</v>
      </c>
      <c r="M2908" t="n">
        <v>0.053</v>
      </c>
    </row>
    <row r="2909" spans="1:13">
      <c r="A2909" s="1">
        <f>HYPERLINK("http://www.twitter.com/NathanBLawrence/status/975918302135451648", "975918302135451648")</f>
        <v/>
      </c>
      <c r="B2909" s="2" t="n">
        <v>43179.09292824074</v>
      </c>
      <c r="C2909" t="n">
        <v>0</v>
      </c>
      <c r="D2909" t="n">
        <v>4004</v>
      </c>
      <c r="E2909" t="s">
        <v>2920</v>
      </c>
      <c r="F2909">
        <f>HYPERLINK("https://video.twimg.com/amplify_video/975908622977904642/vid/1280x720/nv7nQZZQlivkyJ-w.mp4", "https://video.twimg.com/amplify_video/975908622977904642/vid/1280x720/nv7nQZZQlivkyJ-w.mp4")</f>
        <v/>
      </c>
      <c r="G2909" t="s"/>
      <c r="H2909" t="s"/>
      <c r="I2909" t="s"/>
      <c r="J2909" t="n">
        <v>0.0772</v>
      </c>
      <c r="K2909" t="n">
        <v>0.089</v>
      </c>
      <c r="L2909" t="n">
        <v>0.8120000000000001</v>
      </c>
      <c r="M2909" t="n">
        <v>0.1</v>
      </c>
    </row>
    <row r="2910" spans="1:13">
      <c r="A2910" s="1">
        <f>HYPERLINK("http://www.twitter.com/NathanBLawrence/status/975918254215647233", "975918254215647233")</f>
        <v/>
      </c>
      <c r="B2910" s="2" t="n">
        <v>43179.09280092592</v>
      </c>
      <c r="C2910" t="n">
        <v>0</v>
      </c>
      <c r="D2910" t="n">
        <v>1015</v>
      </c>
      <c r="E2910" t="s">
        <v>2921</v>
      </c>
      <c r="F2910">
        <f>HYPERLINK("http://pbs.twimg.com/media/DYsRfS1WAAEmqNd.jpg", "http://pbs.twimg.com/media/DYsRfS1WAAEmqNd.jpg")</f>
        <v/>
      </c>
      <c r="G2910" t="s"/>
      <c r="H2910" t="s"/>
      <c r="I2910" t="s"/>
      <c r="J2910" t="n">
        <v>0.5859</v>
      </c>
      <c r="K2910" t="n">
        <v>0</v>
      </c>
      <c r="L2910" t="n">
        <v>0.759</v>
      </c>
      <c r="M2910" t="n">
        <v>0.241</v>
      </c>
    </row>
    <row r="2911" spans="1:13">
      <c r="A2911" s="1">
        <f>HYPERLINK("http://www.twitter.com/NathanBLawrence/status/975918035969236993", "975918035969236993")</f>
        <v/>
      </c>
      <c r="B2911" s="2" t="n">
        <v>43179.09219907408</v>
      </c>
      <c r="C2911" t="n">
        <v>0</v>
      </c>
      <c r="D2911" t="n">
        <v>10304</v>
      </c>
      <c r="E2911" t="s">
        <v>2922</v>
      </c>
      <c r="F2911" t="s"/>
      <c r="G2911" t="s"/>
      <c r="H2911" t="s"/>
      <c r="I2911" t="s"/>
      <c r="J2911" t="n">
        <v>-0.3182</v>
      </c>
      <c r="K2911" t="n">
        <v>0.102</v>
      </c>
      <c r="L2911" t="n">
        <v>0.851</v>
      </c>
      <c r="M2911" t="n">
        <v>0.047</v>
      </c>
    </row>
    <row r="2912" spans="1:13">
      <c r="A2912" s="1">
        <f>HYPERLINK("http://www.twitter.com/NathanBLawrence/status/975917935071059969", "975917935071059969")</f>
        <v/>
      </c>
      <c r="B2912" s="2" t="n">
        <v>43179.0919212963</v>
      </c>
      <c r="C2912" t="n">
        <v>0</v>
      </c>
      <c r="D2912" t="n">
        <v>628</v>
      </c>
      <c r="E2912" t="s">
        <v>2923</v>
      </c>
      <c r="F2912" t="s"/>
      <c r="G2912" t="s"/>
      <c r="H2912" t="s"/>
      <c r="I2912" t="s"/>
      <c r="J2912" t="n">
        <v>-0.34</v>
      </c>
      <c r="K2912" t="n">
        <v>0.103</v>
      </c>
      <c r="L2912" t="n">
        <v>0.897</v>
      </c>
      <c r="M2912" t="n">
        <v>0</v>
      </c>
    </row>
    <row r="2913" spans="1:13">
      <c r="A2913" s="1">
        <f>HYPERLINK("http://www.twitter.com/NathanBLawrence/status/975917035250245637", "975917035250245637")</f>
        <v/>
      </c>
      <c r="B2913" s="2" t="n">
        <v>43179.08943287037</v>
      </c>
      <c r="C2913" t="n">
        <v>0</v>
      </c>
      <c r="D2913" t="n">
        <v>90</v>
      </c>
      <c r="E2913" t="s">
        <v>2924</v>
      </c>
      <c r="F2913">
        <f>HYPERLINK("https://video.twimg.com/ext_tw_video/975832774492876800/pu/vid/1280x720/LFiGYJdzzbOMnWAn.mp4", "https://video.twimg.com/ext_tw_video/975832774492876800/pu/vid/1280x720/LFiGYJdzzbOMnWAn.mp4")</f>
        <v/>
      </c>
      <c r="G2913" t="s"/>
      <c r="H2913" t="s"/>
      <c r="I2913" t="s"/>
      <c r="J2913" t="n">
        <v>0</v>
      </c>
      <c r="K2913" t="n">
        <v>0</v>
      </c>
      <c r="L2913" t="n">
        <v>1</v>
      </c>
      <c r="M2913" t="n">
        <v>0</v>
      </c>
    </row>
    <row r="2914" spans="1:13">
      <c r="A2914" s="1">
        <f>HYPERLINK("http://www.twitter.com/NathanBLawrence/status/975892629228531712", "975892629228531712")</f>
        <v/>
      </c>
      <c r="B2914" s="2" t="n">
        <v>43179.02208333334</v>
      </c>
      <c r="C2914" t="n">
        <v>0</v>
      </c>
      <c r="D2914" t="n">
        <v>246</v>
      </c>
      <c r="E2914" t="s">
        <v>2925</v>
      </c>
      <c r="F2914" t="s"/>
      <c r="G2914" t="s"/>
      <c r="H2914" t="s"/>
      <c r="I2914" t="s"/>
      <c r="J2914" t="n">
        <v>-0.4767</v>
      </c>
      <c r="K2914" t="n">
        <v>0.205</v>
      </c>
      <c r="L2914" t="n">
        <v>0.795</v>
      </c>
      <c r="M2914" t="n">
        <v>0</v>
      </c>
    </row>
    <row r="2915" spans="1:13">
      <c r="A2915" s="1">
        <f>HYPERLINK("http://www.twitter.com/NathanBLawrence/status/975850576482271232", "975850576482271232")</f>
        <v/>
      </c>
      <c r="B2915" s="2" t="n">
        <v>43178.90604166667</v>
      </c>
      <c r="C2915" t="n">
        <v>0</v>
      </c>
      <c r="D2915" t="n">
        <v>347</v>
      </c>
      <c r="E2915" t="s">
        <v>2926</v>
      </c>
      <c r="F2915">
        <f>HYPERLINK("http://pbs.twimg.com/media/DYdCPuZX4AEyiN0.jpg", "http://pbs.twimg.com/media/DYdCPuZX4AEyiN0.jpg")</f>
        <v/>
      </c>
      <c r="G2915" t="s"/>
      <c r="H2915" t="s"/>
      <c r="I2915" t="s"/>
      <c r="J2915" t="n">
        <v>0</v>
      </c>
      <c r="K2915" t="n">
        <v>0</v>
      </c>
      <c r="L2915" t="n">
        <v>1</v>
      </c>
      <c r="M2915" t="n">
        <v>0</v>
      </c>
    </row>
    <row r="2916" spans="1:13">
      <c r="A2916" s="1">
        <f>HYPERLINK("http://www.twitter.com/NathanBLawrence/status/975850246268956672", "975850246268956672")</f>
        <v/>
      </c>
      <c r="B2916" s="2" t="n">
        <v>43178.90512731481</v>
      </c>
      <c r="C2916" t="n">
        <v>0</v>
      </c>
      <c r="D2916" t="n">
        <v>746</v>
      </c>
      <c r="E2916" t="s">
        <v>2927</v>
      </c>
      <c r="F2916">
        <f>HYPERLINK("http://pbs.twimg.com/media/DYqOH2sVAAANeqV.jpg", "http://pbs.twimg.com/media/DYqOH2sVAAANeqV.jpg")</f>
        <v/>
      </c>
      <c r="G2916" t="s"/>
      <c r="H2916" t="s"/>
      <c r="I2916" t="s"/>
      <c r="J2916" t="n">
        <v>0.5574</v>
      </c>
      <c r="K2916" t="n">
        <v>0</v>
      </c>
      <c r="L2916" t="n">
        <v>0.854</v>
      </c>
      <c r="M2916" t="n">
        <v>0.146</v>
      </c>
    </row>
    <row r="2917" spans="1:13">
      <c r="A2917" s="1">
        <f>HYPERLINK("http://www.twitter.com/NathanBLawrence/status/975849413347340288", "975849413347340288")</f>
        <v/>
      </c>
      <c r="B2917" s="2" t="n">
        <v>43178.90283564815</v>
      </c>
      <c r="C2917" t="n">
        <v>0</v>
      </c>
      <c r="D2917" t="n">
        <v>1583</v>
      </c>
      <c r="E2917" t="s">
        <v>2928</v>
      </c>
      <c r="F2917">
        <f>HYPERLINK("https://video.twimg.com/ext_tw_video/975439463244550144/pu/vid/1280x720/qFPos22vlMJN3iTH.mp4", "https://video.twimg.com/ext_tw_video/975439463244550144/pu/vid/1280x720/qFPos22vlMJN3iTH.mp4")</f>
        <v/>
      </c>
      <c r="G2917" t="s"/>
      <c r="H2917" t="s"/>
      <c r="I2917" t="s"/>
      <c r="J2917" t="n">
        <v>-0.7759</v>
      </c>
      <c r="K2917" t="n">
        <v>0.337</v>
      </c>
      <c r="L2917" t="n">
        <v>0.541</v>
      </c>
      <c r="M2917" t="n">
        <v>0.122</v>
      </c>
    </row>
    <row r="2918" spans="1:13">
      <c r="A2918" s="1">
        <f>HYPERLINK("http://www.twitter.com/NathanBLawrence/status/975849070165155840", "975849070165155840")</f>
        <v/>
      </c>
      <c r="B2918" s="2" t="n">
        <v>43178.90188657407</v>
      </c>
      <c r="C2918" t="n">
        <v>0</v>
      </c>
      <c r="D2918" t="n">
        <v>1240</v>
      </c>
      <c r="E2918" t="s">
        <v>2929</v>
      </c>
      <c r="F2918">
        <f>HYPERLINK("http://pbs.twimg.com/media/DYqrT17XUAAu3l7.jpg", "http://pbs.twimg.com/media/DYqrT17XUAAu3l7.jpg")</f>
        <v/>
      </c>
      <c r="G2918" t="s"/>
      <c r="H2918" t="s"/>
      <c r="I2918" t="s"/>
      <c r="J2918" t="n">
        <v>-0.5423</v>
      </c>
      <c r="K2918" t="n">
        <v>0.224</v>
      </c>
      <c r="L2918" t="n">
        <v>0.635</v>
      </c>
      <c r="M2918" t="n">
        <v>0.14</v>
      </c>
    </row>
    <row r="2919" spans="1:13">
      <c r="A2919" s="1">
        <f>HYPERLINK("http://www.twitter.com/NathanBLawrence/status/975846865383165953", "975846865383165953")</f>
        <v/>
      </c>
      <c r="B2919" s="2" t="n">
        <v>43178.89579861111</v>
      </c>
      <c r="C2919" t="n">
        <v>0</v>
      </c>
      <c r="D2919" t="n">
        <v>423</v>
      </c>
      <c r="E2919" t="s">
        <v>2930</v>
      </c>
      <c r="F2919">
        <f>HYPERLINK("http://pbs.twimg.com/media/DYSzyjRW4AA7dSV.jpg", "http://pbs.twimg.com/media/DYSzyjRW4AA7dSV.jpg")</f>
        <v/>
      </c>
      <c r="G2919" t="s"/>
      <c r="H2919" t="s"/>
      <c r="I2919" t="s"/>
      <c r="J2919" t="n">
        <v>0.874</v>
      </c>
      <c r="K2919" t="n">
        <v>0</v>
      </c>
      <c r="L2919" t="n">
        <v>0.626</v>
      </c>
      <c r="M2919" t="n">
        <v>0.374</v>
      </c>
    </row>
    <row r="2920" spans="1:13">
      <c r="A2920" s="1">
        <f>HYPERLINK("http://www.twitter.com/NathanBLawrence/status/975846702216351744", "975846702216351744")</f>
        <v/>
      </c>
      <c r="B2920" s="2" t="n">
        <v>43178.89534722222</v>
      </c>
      <c r="C2920" t="n">
        <v>0</v>
      </c>
      <c r="D2920" t="n">
        <v>76</v>
      </c>
      <c r="E2920" t="s">
        <v>2931</v>
      </c>
      <c r="F2920">
        <f>HYPERLINK("http://pbs.twimg.com/media/DYrkTE5X0AAXPcu.jpg", "http://pbs.twimg.com/media/DYrkTE5X0AAXPcu.jpg")</f>
        <v/>
      </c>
      <c r="G2920" t="s"/>
      <c r="H2920" t="s"/>
      <c r="I2920" t="s"/>
      <c r="J2920" t="n">
        <v>0</v>
      </c>
      <c r="K2920" t="n">
        <v>0</v>
      </c>
      <c r="L2920" t="n">
        <v>1</v>
      </c>
      <c r="M2920" t="n">
        <v>0</v>
      </c>
    </row>
    <row r="2921" spans="1:13">
      <c r="A2921" s="1">
        <f>HYPERLINK("http://www.twitter.com/NathanBLawrence/status/975845647894110208", "975845647894110208")</f>
        <v/>
      </c>
      <c r="B2921" s="2" t="n">
        <v>43178.89244212963</v>
      </c>
      <c r="C2921" t="n">
        <v>0</v>
      </c>
      <c r="D2921" t="n">
        <v>132</v>
      </c>
      <c r="E2921" t="s">
        <v>2932</v>
      </c>
      <c r="F2921" t="s"/>
      <c r="G2921" t="s"/>
      <c r="H2921" t="s"/>
      <c r="I2921" t="s"/>
      <c r="J2921" t="n">
        <v>-0.7579</v>
      </c>
      <c r="K2921" t="n">
        <v>0.371</v>
      </c>
      <c r="L2921" t="n">
        <v>0.629</v>
      </c>
      <c r="M2921" t="n">
        <v>0</v>
      </c>
    </row>
    <row r="2922" spans="1:13">
      <c r="A2922" s="1">
        <f>HYPERLINK("http://www.twitter.com/NathanBLawrence/status/975845331622559749", "975845331622559749")</f>
        <v/>
      </c>
      <c r="B2922" s="2" t="n">
        <v>43178.89157407408</v>
      </c>
      <c r="C2922" t="n">
        <v>0</v>
      </c>
      <c r="D2922" t="n">
        <v>8024</v>
      </c>
      <c r="E2922" t="s">
        <v>2933</v>
      </c>
      <c r="F2922">
        <f>HYPERLINK("http://pbs.twimg.com/media/DYlCOMMVoAEvFn7.jpg", "http://pbs.twimg.com/media/DYlCOMMVoAEvFn7.jpg")</f>
        <v/>
      </c>
      <c r="G2922">
        <f>HYPERLINK("http://pbs.twimg.com/media/DYlCSw3UQAAl2Pd.jpg", "http://pbs.twimg.com/media/DYlCSw3UQAAl2Pd.jpg")</f>
        <v/>
      </c>
      <c r="H2922">
        <f>HYPERLINK("http://pbs.twimg.com/media/DYlCXlLVQAAKy93.jpg", "http://pbs.twimg.com/media/DYlCXlLVQAAKy93.jpg")</f>
        <v/>
      </c>
      <c r="I2922">
        <f>HYPERLINK("http://pbs.twimg.com/media/DYlCZPwU8AAw0g_.jpg", "http://pbs.twimg.com/media/DYlCZPwU8AAw0g_.jpg")</f>
        <v/>
      </c>
      <c r="J2922" t="n">
        <v>0</v>
      </c>
      <c r="K2922" t="n">
        <v>0</v>
      </c>
      <c r="L2922" t="n">
        <v>1</v>
      </c>
      <c r="M2922" t="n">
        <v>0</v>
      </c>
    </row>
    <row r="2923" spans="1:13">
      <c r="A2923" s="1">
        <f>HYPERLINK("http://www.twitter.com/NathanBLawrence/status/975845081835081729", "975845081835081729")</f>
        <v/>
      </c>
      <c r="B2923" s="2" t="n">
        <v>43178.89087962963</v>
      </c>
      <c r="C2923" t="n">
        <v>0</v>
      </c>
      <c r="D2923" t="n">
        <v>1</v>
      </c>
      <c r="E2923" t="s">
        <v>2934</v>
      </c>
      <c r="F2923" t="s"/>
      <c r="G2923" t="s"/>
      <c r="H2923" t="s"/>
      <c r="I2923" t="s"/>
      <c r="J2923" t="n">
        <v>0</v>
      </c>
      <c r="K2923" t="n">
        <v>0</v>
      </c>
      <c r="L2923" t="n">
        <v>1</v>
      </c>
      <c r="M2923" t="n">
        <v>0</v>
      </c>
    </row>
    <row r="2924" spans="1:13">
      <c r="A2924" s="1">
        <f>HYPERLINK("http://www.twitter.com/NathanBLawrence/status/975844905514946560", "975844905514946560")</f>
        <v/>
      </c>
      <c r="B2924" s="2" t="n">
        <v>43178.89039351852</v>
      </c>
      <c r="C2924" t="n">
        <v>0</v>
      </c>
      <c r="D2924" t="n">
        <v>3503</v>
      </c>
      <c r="E2924" t="s">
        <v>2935</v>
      </c>
      <c r="F2924" t="s"/>
      <c r="G2924" t="s"/>
      <c r="H2924" t="s"/>
      <c r="I2924" t="s"/>
      <c r="J2924" t="n">
        <v>-0.4939</v>
      </c>
      <c r="K2924" t="n">
        <v>0.151</v>
      </c>
      <c r="L2924" t="n">
        <v>0.849</v>
      </c>
      <c r="M2924" t="n">
        <v>0</v>
      </c>
    </row>
    <row r="2925" spans="1:13">
      <c r="A2925" s="1">
        <f>HYPERLINK("http://www.twitter.com/NathanBLawrence/status/975843764953604096", "975843764953604096")</f>
        <v/>
      </c>
      <c r="B2925" s="2" t="n">
        <v>43178.88724537037</v>
      </c>
      <c r="C2925" t="n">
        <v>0</v>
      </c>
      <c r="D2925" t="n">
        <v>354</v>
      </c>
      <c r="E2925" t="s">
        <v>2936</v>
      </c>
      <c r="F2925" t="s"/>
      <c r="G2925" t="s"/>
      <c r="H2925" t="s"/>
      <c r="I2925" t="s"/>
      <c r="J2925" t="n">
        <v>0.5423</v>
      </c>
      <c r="K2925" t="n">
        <v>0</v>
      </c>
      <c r="L2925" t="n">
        <v>0.8090000000000001</v>
      </c>
      <c r="M2925" t="n">
        <v>0.191</v>
      </c>
    </row>
    <row r="2926" spans="1:13">
      <c r="A2926" s="1">
        <f>HYPERLINK("http://www.twitter.com/NathanBLawrence/status/975843518945071108", "975843518945071108")</f>
        <v/>
      </c>
      <c r="B2926" s="2" t="n">
        <v>43178.8865625</v>
      </c>
      <c r="C2926" t="n">
        <v>0</v>
      </c>
      <c r="D2926" t="n">
        <v>505</v>
      </c>
      <c r="E2926" t="s">
        <v>2937</v>
      </c>
      <c r="F2926">
        <f>HYPERLINK("http://pbs.twimg.com/media/DYreirXX4AAs6sU.jpg", "http://pbs.twimg.com/media/DYreirXX4AAs6sU.jpg")</f>
        <v/>
      </c>
      <c r="G2926" t="s"/>
      <c r="H2926" t="s"/>
      <c r="I2926" t="s"/>
      <c r="J2926" t="n">
        <v>0</v>
      </c>
      <c r="K2926" t="n">
        <v>0</v>
      </c>
      <c r="L2926" t="n">
        <v>1</v>
      </c>
      <c r="M2926" t="n">
        <v>0</v>
      </c>
    </row>
    <row r="2927" spans="1:13">
      <c r="A2927" s="1">
        <f>HYPERLINK("http://www.twitter.com/NathanBLawrence/status/975843124915425282", "975843124915425282")</f>
        <v/>
      </c>
      <c r="B2927" s="2" t="n">
        <v>43178.88547453703</v>
      </c>
      <c r="C2927" t="n">
        <v>0</v>
      </c>
      <c r="D2927" t="n">
        <v>321</v>
      </c>
      <c r="E2927" t="s">
        <v>2938</v>
      </c>
      <c r="F2927">
        <f>HYPERLINK("http://pbs.twimg.com/media/DYmYN6iVAAAG7yC.jpg", "http://pbs.twimg.com/media/DYmYN6iVAAAG7yC.jpg")</f>
        <v/>
      </c>
      <c r="G2927" t="s"/>
      <c r="H2927" t="s"/>
      <c r="I2927" t="s"/>
      <c r="J2927" t="n">
        <v>0</v>
      </c>
      <c r="K2927" t="n">
        <v>0</v>
      </c>
      <c r="L2927" t="n">
        <v>1</v>
      </c>
      <c r="M2927" t="n">
        <v>0</v>
      </c>
    </row>
    <row r="2928" spans="1:13">
      <c r="A2928" s="1">
        <f>HYPERLINK("http://www.twitter.com/NathanBLawrence/status/975842427452952576", "975842427452952576")</f>
        <v/>
      </c>
      <c r="B2928" s="2" t="n">
        <v>43178.88355324074</v>
      </c>
      <c r="C2928" t="n">
        <v>0</v>
      </c>
      <c r="D2928" t="n">
        <v>1512</v>
      </c>
      <c r="E2928" t="s">
        <v>2939</v>
      </c>
      <c r="F2928" t="s"/>
      <c r="G2928" t="s"/>
      <c r="H2928" t="s"/>
      <c r="I2928" t="s"/>
      <c r="J2928" t="n">
        <v>-0.5574</v>
      </c>
      <c r="K2928" t="n">
        <v>0.153</v>
      </c>
      <c r="L2928" t="n">
        <v>0.847</v>
      </c>
      <c r="M2928" t="n">
        <v>0</v>
      </c>
    </row>
    <row r="2929" spans="1:13">
      <c r="A2929" s="1">
        <f>HYPERLINK("http://www.twitter.com/NathanBLawrence/status/975841812500897793", "975841812500897793")</f>
        <v/>
      </c>
      <c r="B2929" s="2" t="n">
        <v>43178.88186342592</v>
      </c>
      <c r="C2929" t="n">
        <v>0</v>
      </c>
      <c r="D2929" t="n">
        <v>13</v>
      </c>
      <c r="E2929" t="s">
        <v>2940</v>
      </c>
      <c r="F2929">
        <f>HYPERLINK("http://pbs.twimg.com/media/DYqzsV9X4AIIcFV.jpg", "http://pbs.twimg.com/media/DYqzsV9X4AIIcFV.jpg")</f>
        <v/>
      </c>
      <c r="G2929" t="s"/>
      <c r="H2929" t="s"/>
      <c r="I2929" t="s"/>
      <c r="J2929" t="n">
        <v>0</v>
      </c>
      <c r="K2929" t="n">
        <v>0</v>
      </c>
      <c r="L2929" t="n">
        <v>1</v>
      </c>
      <c r="M2929" t="n">
        <v>0</v>
      </c>
    </row>
    <row r="2930" spans="1:13">
      <c r="A2930" s="1">
        <f>HYPERLINK("http://www.twitter.com/NathanBLawrence/status/975841214426763264", "975841214426763264")</f>
        <v/>
      </c>
      <c r="B2930" s="2" t="n">
        <v>43178.88020833334</v>
      </c>
      <c r="C2930" t="n">
        <v>0</v>
      </c>
      <c r="D2930" t="n">
        <v>347</v>
      </c>
      <c r="E2930" t="s">
        <v>2941</v>
      </c>
      <c r="F2930" t="s"/>
      <c r="G2930" t="s"/>
      <c r="H2930" t="s"/>
      <c r="I2930" t="s"/>
      <c r="J2930" t="n">
        <v>0.0258</v>
      </c>
      <c r="K2930" t="n">
        <v>0</v>
      </c>
      <c r="L2930" t="n">
        <v>0.954</v>
      </c>
      <c r="M2930" t="n">
        <v>0.046</v>
      </c>
    </row>
    <row r="2931" spans="1:13">
      <c r="A2931" s="1">
        <f>HYPERLINK("http://www.twitter.com/NathanBLawrence/status/975788697772838912", "975788697772838912")</f>
        <v/>
      </c>
      <c r="B2931" s="2" t="n">
        <v>43178.73528935185</v>
      </c>
      <c r="C2931" t="n">
        <v>0</v>
      </c>
      <c r="D2931" t="n">
        <v>1018</v>
      </c>
      <c r="E2931" t="s">
        <v>2942</v>
      </c>
      <c r="F2931" t="s"/>
      <c r="G2931" t="s"/>
      <c r="H2931" t="s"/>
      <c r="I2931" t="s"/>
      <c r="J2931" t="n">
        <v>0.5266999999999999</v>
      </c>
      <c r="K2931" t="n">
        <v>0</v>
      </c>
      <c r="L2931" t="n">
        <v>0.871</v>
      </c>
      <c r="M2931" t="n">
        <v>0.129</v>
      </c>
    </row>
    <row r="2932" spans="1:13">
      <c r="A2932" s="1">
        <f>HYPERLINK("http://www.twitter.com/NathanBLawrence/status/975788316237983746", "975788316237983746")</f>
        <v/>
      </c>
      <c r="B2932" s="2" t="n">
        <v>43178.73423611111</v>
      </c>
      <c r="C2932" t="n">
        <v>0</v>
      </c>
      <c r="D2932" t="n">
        <v>168</v>
      </c>
      <c r="E2932" t="s">
        <v>2943</v>
      </c>
      <c r="F2932">
        <f>HYPERLINK("http://pbs.twimg.com/media/DYqbsOAVAAAHUqx.jpg", "http://pbs.twimg.com/media/DYqbsOAVAAAHUqx.jpg")</f>
        <v/>
      </c>
      <c r="G2932" t="s"/>
      <c r="H2932" t="s"/>
      <c r="I2932" t="s"/>
      <c r="J2932" t="n">
        <v>0</v>
      </c>
      <c r="K2932" t="n">
        <v>0</v>
      </c>
      <c r="L2932" t="n">
        <v>1</v>
      </c>
      <c r="M2932" t="n">
        <v>0</v>
      </c>
    </row>
    <row r="2933" spans="1:13">
      <c r="A2933" s="1">
        <f>HYPERLINK("http://www.twitter.com/NathanBLawrence/status/975786872734650368", "975786872734650368")</f>
        <v/>
      </c>
      <c r="B2933" s="2" t="n">
        <v>43178.73025462963</v>
      </c>
      <c r="C2933" t="n">
        <v>0</v>
      </c>
      <c r="D2933" t="n">
        <v>2595</v>
      </c>
      <c r="E2933" t="s">
        <v>2944</v>
      </c>
      <c r="F2933" t="s"/>
      <c r="G2933" t="s"/>
      <c r="H2933" t="s"/>
      <c r="I2933" t="s"/>
      <c r="J2933" t="n">
        <v>0.7003</v>
      </c>
      <c r="K2933" t="n">
        <v>0</v>
      </c>
      <c r="L2933" t="n">
        <v>0.784</v>
      </c>
      <c r="M2933" t="n">
        <v>0.216</v>
      </c>
    </row>
    <row r="2934" spans="1:13">
      <c r="A2934" s="1">
        <f>HYPERLINK("http://www.twitter.com/NathanBLawrence/status/975786806124965888", "975786806124965888")</f>
        <v/>
      </c>
      <c r="B2934" s="2" t="n">
        <v>43178.73006944444</v>
      </c>
      <c r="C2934" t="n">
        <v>0</v>
      </c>
      <c r="D2934" t="n">
        <v>3185</v>
      </c>
      <c r="E2934" t="s">
        <v>2945</v>
      </c>
      <c r="F2934" t="s"/>
      <c r="G2934" t="s"/>
      <c r="H2934" t="s"/>
      <c r="I2934" t="s"/>
      <c r="J2934" t="n">
        <v>0.6369</v>
      </c>
      <c r="K2934" t="n">
        <v>0</v>
      </c>
      <c r="L2934" t="n">
        <v>0.846</v>
      </c>
      <c r="M2934" t="n">
        <v>0.154</v>
      </c>
    </row>
    <row r="2935" spans="1:13">
      <c r="A2935" s="1">
        <f>HYPERLINK("http://www.twitter.com/NathanBLawrence/status/975758841618018306", "975758841618018306")</f>
        <v/>
      </c>
      <c r="B2935" s="2" t="n">
        <v>43178.65290509259</v>
      </c>
      <c r="C2935" t="n">
        <v>0</v>
      </c>
      <c r="D2935" t="n">
        <v>4464</v>
      </c>
      <c r="E2935" t="s">
        <v>2946</v>
      </c>
      <c r="F2935">
        <f>HYPERLINK("http://pbs.twimg.com/media/DYm80_EVMAA0qLl.jpg", "http://pbs.twimg.com/media/DYm80_EVMAA0qLl.jpg")</f>
        <v/>
      </c>
      <c r="G2935" t="s"/>
      <c r="H2935" t="s"/>
      <c r="I2935" t="s"/>
      <c r="J2935" t="n">
        <v>0</v>
      </c>
      <c r="K2935" t="n">
        <v>0</v>
      </c>
      <c r="L2935" t="n">
        <v>1</v>
      </c>
      <c r="M2935" t="n">
        <v>0</v>
      </c>
    </row>
    <row r="2936" spans="1:13">
      <c r="A2936" s="1">
        <f>HYPERLINK("http://www.twitter.com/NathanBLawrence/status/975758750589112320", "975758750589112320")</f>
        <v/>
      </c>
      <c r="B2936" s="2" t="n">
        <v>43178.65265046297</v>
      </c>
      <c r="C2936" t="n">
        <v>0</v>
      </c>
      <c r="D2936" t="n">
        <v>8</v>
      </c>
      <c r="E2936" t="s">
        <v>2947</v>
      </c>
      <c r="F2936" t="s"/>
      <c r="G2936" t="s"/>
      <c r="H2936" t="s"/>
      <c r="I2936" t="s"/>
      <c r="J2936" t="n">
        <v>0</v>
      </c>
      <c r="K2936" t="n">
        <v>0</v>
      </c>
      <c r="L2936" t="n">
        <v>1</v>
      </c>
      <c r="M2936" t="n">
        <v>0</v>
      </c>
    </row>
    <row r="2937" spans="1:13">
      <c r="A2937" s="1">
        <f>HYPERLINK("http://www.twitter.com/NathanBLawrence/status/975756818784931840", "975756818784931840")</f>
        <v/>
      </c>
      <c r="B2937" s="2" t="n">
        <v>43178.64731481481</v>
      </c>
      <c r="C2937" t="n">
        <v>0</v>
      </c>
      <c r="D2937" t="n">
        <v>4</v>
      </c>
      <c r="E2937" t="s">
        <v>2948</v>
      </c>
      <c r="F2937" t="s"/>
      <c r="G2937" t="s"/>
      <c r="H2937" t="s"/>
      <c r="I2937" t="s"/>
      <c r="J2937" t="n">
        <v>0</v>
      </c>
      <c r="K2937" t="n">
        <v>0</v>
      </c>
      <c r="L2937" t="n">
        <v>1</v>
      </c>
      <c r="M2937" t="n">
        <v>0</v>
      </c>
    </row>
    <row r="2938" spans="1:13">
      <c r="A2938" s="1">
        <f>HYPERLINK("http://www.twitter.com/NathanBLawrence/status/975755555137519616", "975755555137519616")</f>
        <v/>
      </c>
      <c r="B2938" s="2" t="n">
        <v>43178.64383101852</v>
      </c>
      <c r="C2938" t="n">
        <v>0</v>
      </c>
      <c r="D2938" t="n">
        <v>12</v>
      </c>
      <c r="E2938" t="s">
        <v>2949</v>
      </c>
      <c r="F2938" t="s"/>
      <c r="G2938" t="s"/>
      <c r="H2938" t="s"/>
      <c r="I2938" t="s"/>
      <c r="J2938" t="n">
        <v>0.4215</v>
      </c>
      <c r="K2938" t="n">
        <v>0</v>
      </c>
      <c r="L2938" t="n">
        <v>0.588</v>
      </c>
      <c r="M2938" t="n">
        <v>0.412</v>
      </c>
    </row>
    <row r="2939" spans="1:13">
      <c r="A2939" s="1">
        <f>HYPERLINK("http://www.twitter.com/NathanBLawrence/status/975754594205798400", "975754594205798400")</f>
        <v/>
      </c>
      <c r="B2939" s="2" t="n">
        <v>43178.64118055555</v>
      </c>
      <c r="C2939" t="n">
        <v>0</v>
      </c>
      <c r="D2939" t="n">
        <v>133</v>
      </c>
      <c r="E2939" t="s">
        <v>2950</v>
      </c>
      <c r="F2939" t="s"/>
      <c r="G2939" t="s"/>
      <c r="H2939" t="s"/>
      <c r="I2939" t="s"/>
      <c r="J2939" t="n">
        <v>-0.3612</v>
      </c>
      <c r="K2939" t="n">
        <v>0.111</v>
      </c>
      <c r="L2939" t="n">
        <v>0.889</v>
      </c>
      <c r="M2939" t="n">
        <v>0</v>
      </c>
    </row>
    <row r="2940" spans="1:13">
      <c r="A2940" s="1">
        <f>HYPERLINK("http://www.twitter.com/NathanBLawrence/status/975752668361748482", "975752668361748482")</f>
        <v/>
      </c>
      <c r="B2940" s="2" t="n">
        <v>43178.63586805556</v>
      </c>
      <c r="C2940" t="n">
        <v>0</v>
      </c>
      <c r="D2940" t="n">
        <v>4670</v>
      </c>
      <c r="E2940" t="s">
        <v>2951</v>
      </c>
      <c r="F2940">
        <f>HYPERLINK("http://pbs.twimg.com/media/DYnZt-QVMAED3ws.jpg", "http://pbs.twimg.com/media/DYnZt-QVMAED3ws.jpg")</f>
        <v/>
      </c>
      <c r="G2940" t="s"/>
      <c r="H2940" t="s"/>
      <c r="I2940" t="s"/>
      <c r="J2940" t="n">
        <v>0.7574</v>
      </c>
      <c r="K2940" t="n">
        <v>0</v>
      </c>
      <c r="L2940" t="n">
        <v>0.755</v>
      </c>
      <c r="M2940" t="n">
        <v>0.245</v>
      </c>
    </row>
    <row r="2941" spans="1:13">
      <c r="A2941" s="1">
        <f>HYPERLINK("http://www.twitter.com/NathanBLawrence/status/975742584525066242", "975742584525066242")</f>
        <v/>
      </c>
      <c r="B2941" s="2" t="n">
        <v>43178.60804398148</v>
      </c>
      <c r="C2941" t="n">
        <v>0</v>
      </c>
      <c r="D2941" t="n">
        <v>980</v>
      </c>
      <c r="E2941" t="s">
        <v>2952</v>
      </c>
      <c r="F2941" t="s"/>
      <c r="G2941" t="s"/>
      <c r="H2941" t="s"/>
      <c r="I2941" t="s"/>
      <c r="J2941" t="n">
        <v>0.5266999999999999</v>
      </c>
      <c r="K2941" t="n">
        <v>0</v>
      </c>
      <c r="L2941" t="n">
        <v>0.841</v>
      </c>
      <c r="M2941" t="n">
        <v>0.159</v>
      </c>
    </row>
    <row r="2942" spans="1:13">
      <c r="A2942" s="1">
        <f>HYPERLINK("http://www.twitter.com/NathanBLawrence/status/975740106173632512", "975740106173632512")</f>
        <v/>
      </c>
      <c r="B2942" s="2" t="n">
        <v>43178.60120370371</v>
      </c>
      <c r="C2942" t="n">
        <v>0</v>
      </c>
      <c r="D2942" t="n">
        <v>203</v>
      </c>
      <c r="E2942" t="s">
        <v>2953</v>
      </c>
      <c r="F2942" t="s"/>
      <c r="G2942" t="s"/>
      <c r="H2942" t="s"/>
      <c r="I2942" t="s"/>
      <c r="J2942" t="n">
        <v>0.6369</v>
      </c>
      <c r="K2942" t="n">
        <v>0.08599999999999999</v>
      </c>
      <c r="L2942" t="n">
        <v>0.615</v>
      </c>
      <c r="M2942" t="n">
        <v>0.299</v>
      </c>
    </row>
    <row r="2943" spans="1:13">
      <c r="A2943" s="1">
        <f>HYPERLINK("http://www.twitter.com/NathanBLawrence/status/975739737074995202", "975739737074995202")</f>
        <v/>
      </c>
      <c r="B2943" s="2" t="n">
        <v>43178.60018518518</v>
      </c>
      <c r="C2943" t="n">
        <v>0</v>
      </c>
      <c r="D2943" t="n">
        <v>6864</v>
      </c>
      <c r="E2943" t="s">
        <v>2954</v>
      </c>
      <c r="F2943" t="s"/>
      <c r="G2943" t="s"/>
      <c r="H2943" t="s"/>
      <c r="I2943" t="s"/>
      <c r="J2943" t="n">
        <v>0</v>
      </c>
      <c r="K2943" t="n">
        <v>0</v>
      </c>
      <c r="L2943" t="n">
        <v>1</v>
      </c>
      <c r="M2943" t="n">
        <v>0</v>
      </c>
    </row>
    <row r="2944" spans="1:13">
      <c r="A2944" s="1">
        <f>HYPERLINK("http://www.twitter.com/NathanBLawrence/status/975736883106992128", "975736883106992128")</f>
        <v/>
      </c>
      <c r="B2944" s="2" t="n">
        <v>43178.59230324074</v>
      </c>
      <c r="C2944" t="n">
        <v>0</v>
      </c>
      <c r="D2944" t="n">
        <v>208</v>
      </c>
      <c r="E2944" t="s">
        <v>2955</v>
      </c>
      <c r="F2944">
        <f>HYPERLINK("http://pbs.twimg.com/media/DYlVhXpVQAAAad0.jpg", "http://pbs.twimg.com/media/DYlVhXpVQAAAad0.jpg")</f>
        <v/>
      </c>
      <c r="G2944">
        <f>HYPERLINK("http://pbs.twimg.com/media/DYlVhXuU8AAhQgm.jpg", "http://pbs.twimg.com/media/DYlVhXuU8AAhQgm.jpg")</f>
        <v/>
      </c>
      <c r="H2944">
        <f>HYPERLINK("http://pbs.twimg.com/media/DYlVhXrUQAAe31X.jpg", "http://pbs.twimg.com/media/DYlVhXrUQAAe31X.jpg")</f>
        <v/>
      </c>
      <c r="I2944">
        <f>HYPERLINK("http://pbs.twimg.com/media/DYlVhXnVQAUBjIE.jpg", "http://pbs.twimg.com/media/DYlVhXnVQAUBjIE.jpg")</f>
        <v/>
      </c>
      <c r="J2944" t="n">
        <v>-0.2263</v>
      </c>
      <c r="K2944" t="n">
        <v>0.083</v>
      </c>
      <c r="L2944" t="n">
        <v>0.917</v>
      </c>
      <c r="M2944" t="n">
        <v>0</v>
      </c>
    </row>
    <row r="2945" spans="1:13">
      <c r="A2945" s="1">
        <f>HYPERLINK("http://www.twitter.com/NathanBLawrence/status/975406561593053184", "975406561593053184")</f>
        <v/>
      </c>
      <c r="B2945" s="2" t="n">
        <v>43177.68079861111</v>
      </c>
      <c r="C2945" t="n">
        <v>0</v>
      </c>
      <c r="D2945" t="n">
        <v>70</v>
      </c>
      <c r="E2945" t="s">
        <v>2956</v>
      </c>
      <c r="F2945" t="s"/>
      <c r="G2945" t="s"/>
      <c r="H2945" t="s"/>
      <c r="I2945" t="s"/>
      <c r="J2945" t="n">
        <v>0.8270999999999999</v>
      </c>
      <c r="K2945" t="n">
        <v>0.047</v>
      </c>
      <c r="L2945" t="n">
        <v>0.61</v>
      </c>
      <c r="M2945" t="n">
        <v>0.342</v>
      </c>
    </row>
    <row r="2946" spans="1:13">
      <c r="A2946" s="1">
        <f>HYPERLINK("http://www.twitter.com/NathanBLawrence/status/975397000689659905", "975397000689659905")</f>
        <v/>
      </c>
      <c r="B2946" s="2" t="n">
        <v>43177.65440972222</v>
      </c>
      <c r="C2946" t="n">
        <v>0</v>
      </c>
      <c r="D2946" t="n">
        <v>7126</v>
      </c>
      <c r="E2946" t="s">
        <v>2957</v>
      </c>
      <c r="F2946">
        <f>HYPERLINK("http://pbs.twimg.com/media/DYg1XtdV4AECvpv.jpg", "http://pbs.twimg.com/media/DYg1XtdV4AECvpv.jpg")</f>
        <v/>
      </c>
      <c r="G2946" t="s"/>
      <c r="H2946" t="s"/>
      <c r="I2946" t="s"/>
      <c r="J2946" t="n">
        <v>0.8126</v>
      </c>
      <c r="K2946" t="n">
        <v>0</v>
      </c>
      <c r="L2946" t="n">
        <v>0.73</v>
      </c>
      <c r="M2946" t="n">
        <v>0.27</v>
      </c>
    </row>
    <row r="2947" spans="1:13">
      <c r="A2947" s="1">
        <f>HYPERLINK("http://www.twitter.com/NathanBLawrence/status/975392698927546374", "975392698927546374")</f>
        <v/>
      </c>
      <c r="B2947" s="2" t="n">
        <v>43177.64254629629</v>
      </c>
      <c r="C2947" t="n">
        <v>0</v>
      </c>
      <c r="D2947" t="n">
        <v>2805</v>
      </c>
      <c r="E2947" t="s">
        <v>2958</v>
      </c>
      <c r="F2947">
        <f>HYPERLINK("http://pbs.twimg.com/media/DYhoY8eU8AALZmz.jpg", "http://pbs.twimg.com/media/DYhoY8eU8AALZmz.jpg")</f>
        <v/>
      </c>
      <c r="G2947" t="s"/>
      <c r="H2947" t="s"/>
      <c r="I2947" t="s"/>
      <c r="J2947" t="n">
        <v>0.6588000000000001</v>
      </c>
      <c r="K2947" t="n">
        <v>0</v>
      </c>
      <c r="L2947" t="n">
        <v>0.532</v>
      </c>
      <c r="M2947" t="n">
        <v>0.468</v>
      </c>
    </row>
    <row r="2948" spans="1:13">
      <c r="A2948" s="1">
        <f>HYPERLINK("http://www.twitter.com/NathanBLawrence/status/975028047203241984", "975028047203241984")</f>
        <v/>
      </c>
      <c r="B2948" s="2" t="n">
        <v>43176.6362962963</v>
      </c>
      <c r="C2948" t="n">
        <v>0</v>
      </c>
      <c r="D2948" t="n">
        <v>300</v>
      </c>
      <c r="E2948" t="s">
        <v>2959</v>
      </c>
      <c r="F2948">
        <f>HYPERLINK("http://pbs.twimg.com/media/DYf79sWX0AEKEHl.jpg", "http://pbs.twimg.com/media/DYf79sWX0AEKEHl.jpg")</f>
        <v/>
      </c>
      <c r="G2948" t="s"/>
      <c r="H2948" t="s"/>
      <c r="I2948" t="s"/>
      <c r="J2948" t="n">
        <v>0.3182</v>
      </c>
      <c r="K2948" t="n">
        <v>0</v>
      </c>
      <c r="L2948" t="n">
        <v>0.753</v>
      </c>
      <c r="M2948" t="n">
        <v>0.247</v>
      </c>
    </row>
    <row r="2949" spans="1:13">
      <c r="A2949" s="1">
        <f>HYPERLINK("http://www.twitter.com/NathanBLawrence/status/975025960390217728", "975025960390217728")</f>
        <v/>
      </c>
      <c r="B2949" s="2" t="n">
        <v>43176.63053240741</v>
      </c>
      <c r="C2949" t="n">
        <v>0</v>
      </c>
      <c r="D2949" t="n">
        <v>138</v>
      </c>
      <c r="E2949" t="s">
        <v>2960</v>
      </c>
      <c r="F2949">
        <f>HYPERLINK("http://pbs.twimg.com/media/DYf8PXWX0AEFKkk.jpg", "http://pbs.twimg.com/media/DYf8PXWX0AEFKkk.jpg")</f>
        <v/>
      </c>
      <c r="G2949" t="s"/>
      <c r="H2949" t="s"/>
      <c r="I2949" t="s"/>
      <c r="J2949" t="n">
        <v>0.5719</v>
      </c>
      <c r="K2949" t="n">
        <v>0</v>
      </c>
      <c r="L2949" t="n">
        <v>0.73</v>
      </c>
      <c r="M2949" t="n">
        <v>0.27</v>
      </c>
    </row>
    <row r="2950" spans="1:13">
      <c r="A2950" s="1">
        <f>HYPERLINK("http://www.twitter.com/NathanBLawrence/status/975023588150534144", "975023588150534144")</f>
        <v/>
      </c>
      <c r="B2950" s="2" t="n">
        <v>43176.62399305555</v>
      </c>
      <c r="C2950" t="n">
        <v>0</v>
      </c>
      <c r="D2950" t="n">
        <v>5</v>
      </c>
      <c r="E2950" t="s">
        <v>2961</v>
      </c>
      <c r="F2950" t="s"/>
      <c r="G2950" t="s"/>
      <c r="H2950" t="s"/>
      <c r="I2950" t="s"/>
      <c r="J2950" t="n">
        <v>0</v>
      </c>
      <c r="K2950" t="n">
        <v>0</v>
      </c>
      <c r="L2950" t="n">
        <v>1</v>
      </c>
      <c r="M2950" t="n">
        <v>0</v>
      </c>
    </row>
    <row r="2951" spans="1:13">
      <c r="A2951" s="1">
        <f>HYPERLINK("http://www.twitter.com/NathanBLawrence/status/974982223261786113", "974982223261786113")</f>
        <v/>
      </c>
      <c r="B2951" s="2" t="n">
        <v>43176.50983796296</v>
      </c>
      <c r="C2951" t="n">
        <v>0</v>
      </c>
      <c r="D2951" t="n">
        <v>4387</v>
      </c>
      <c r="E2951" t="s">
        <v>2962</v>
      </c>
      <c r="F2951" t="s"/>
      <c r="G2951" t="s"/>
      <c r="H2951" t="s"/>
      <c r="I2951" t="s"/>
      <c r="J2951" t="n">
        <v>0</v>
      </c>
      <c r="K2951" t="n">
        <v>0</v>
      </c>
      <c r="L2951" t="n">
        <v>1</v>
      </c>
      <c r="M2951" t="n">
        <v>0</v>
      </c>
    </row>
    <row r="2952" spans="1:13">
      <c r="A2952" s="1">
        <f>HYPERLINK("http://www.twitter.com/NathanBLawrence/status/974980776122036224", "974980776122036224")</f>
        <v/>
      </c>
      <c r="B2952" s="2" t="n">
        <v>43176.50584490741</v>
      </c>
      <c r="C2952" t="n">
        <v>0</v>
      </c>
      <c r="D2952" t="n">
        <v>170</v>
      </c>
      <c r="E2952" t="s">
        <v>2963</v>
      </c>
      <c r="F2952">
        <f>HYPERLINK("http://pbs.twimg.com/media/DYfMG4aX4AEIA0d.jpg", "http://pbs.twimg.com/media/DYfMG4aX4AEIA0d.jpg")</f>
        <v/>
      </c>
      <c r="G2952" t="s"/>
      <c r="H2952" t="s"/>
      <c r="I2952" t="s"/>
      <c r="J2952" t="n">
        <v>-0.5574</v>
      </c>
      <c r="K2952" t="n">
        <v>0.265</v>
      </c>
      <c r="L2952" t="n">
        <v>0.735</v>
      </c>
      <c r="M2952" t="n">
        <v>0</v>
      </c>
    </row>
    <row r="2953" spans="1:13">
      <c r="A2953" s="1">
        <f>HYPERLINK("http://www.twitter.com/NathanBLawrence/status/974980445376000000", "974980445376000000")</f>
        <v/>
      </c>
      <c r="B2953" s="2" t="n">
        <v>43176.50494212963</v>
      </c>
      <c r="C2953" t="n">
        <v>0</v>
      </c>
      <c r="D2953" t="n">
        <v>883</v>
      </c>
      <c r="E2953" t="s">
        <v>2964</v>
      </c>
      <c r="F2953">
        <f>HYPERLINK("https://video.twimg.com/amplify_video/974732314310660096/vid/720x720/FGMU22VoNrgS_A9Y.mp4", "https://video.twimg.com/amplify_video/974732314310660096/vid/720x720/FGMU22VoNrgS_A9Y.mp4")</f>
        <v/>
      </c>
      <c r="G2953" t="s"/>
      <c r="H2953" t="s"/>
      <c r="I2953" t="s"/>
      <c r="J2953" t="n">
        <v>-0.4588</v>
      </c>
      <c r="K2953" t="n">
        <v>0.136</v>
      </c>
      <c r="L2953" t="n">
        <v>0.864</v>
      </c>
      <c r="M2953" t="n">
        <v>0</v>
      </c>
    </row>
    <row r="2954" spans="1:13">
      <c r="A2954" s="1">
        <f>HYPERLINK("http://www.twitter.com/NathanBLawrence/status/974977781275791361", "974977781275791361")</f>
        <v/>
      </c>
      <c r="B2954" s="2" t="n">
        <v>43176.49758101852</v>
      </c>
      <c r="C2954" t="n">
        <v>0</v>
      </c>
      <c r="D2954" t="n">
        <v>1067</v>
      </c>
      <c r="E2954" t="s">
        <v>2965</v>
      </c>
      <c r="F2954">
        <f>HYPERLINK("http://pbs.twimg.com/media/DYfPvw2WAAElVvc.jpg", "http://pbs.twimg.com/media/DYfPvw2WAAElVvc.jpg")</f>
        <v/>
      </c>
      <c r="G2954" t="s"/>
      <c r="H2954" t="s"/>
      <c r="I2954" t="s"/>
      <c r="J2954" t="n">
        <v>-0.34</v>
      </c>
      <c r="K2954" t="n">
        <v>0.13</v>
      </c>
      <c r="L2954" t="n">
        <v>0.87</v>
      </c>
      <c r="M2954" t="n">
        <v>0</v>
      </c>
    </row>
    <row r="2955" spans="1:13">
      <c r="A2955" s="1">
        <f>HYPERLINK("http://www.twitter.com/NathanBLawrence/status/974976588994502658", "974976588994502658")</f>
        <v/>
      </c>
      <c r="B2955" s="2" t="n">
        <v>43176.49429398148</v>
      </c>
      <c r="C2955" t="n">
        <v>0</v>
      </c>
      <c r="D2955" t="n">
        <v>294</v>
      </c>
      <c r="E2955" t="s">
        <v>2966</v>
      </c>
      <c r="F2955" t="s"/>
      <c r="G2955" t="s"/>
      <c r="H2955" t="s"/>
      <c r="I2955" t="s"/>
      <c r="J2955" t="n">
        <v>-0.6486</v>
      </c>
      <c r="K2955" t="n">
        <v>0.249</v>
      </c>
      <c r="L2955" t="n">
        <v>0.751</v>
      </c>
      <c r="M2955" t="n">
        <v>0</v>
      </c>
    </row>
    <row r="2956" spans="1:13">
      <c r="A2956" s="1">
        <f>HYPERLINK("http://www.twitter.com/NathanBLawrence/status/974974497425158155", "974974497425158155")</f>
        <v/>
      </c>
      <c r="B2956" s="2" t="n">
        <v>43176.48851851852</v>
      </c>
      <c r="C2956" t="n">
        <v>0</v>
      </c>
      <c r="D2956" t="n">
        <v>620</v>
      </c>
      <c r="E2956" t="s">
        <v>2967</v>
      </c>
      <c r="F2956" t="s"/>
      <c r="G2956" t="s"/>
      <c r="H2956" t="s"/>
      <c r="I2956" t="s"/>
      <c r="J2956" t="n">
        <v>-0.34</v>
      </c>
      <c r="K2956" t="n">
        <v>0.091</v>
      </c>
      <c r="L2956" t="n">
        <v>0.909</v>
      </c>
      <c r="M2956" t="n">
        <v>0</v>
      </c>
    </row>
    <row r="2957" spans="1:13">
      <c r="A2957" s="1">
        <f>HYPERLINK("http://www.twitter.com/NathanBLawrence/status/974963698174431232", "974963698174431232")</f>
        <v/>
      </c>
      <c r="B2957" s="2" t="n">
        <v>43176.45872685185</v>
      </c>
      <c r="C2957" t="n">
        <v>0</v>
      </c>
      <c r="D2957" t="n">
        <v>2382</v>
      </c>
      <c r="E2957" t="s">
        <v>2968</v>
      </c>
      <c r="F2957" t="s"/>
      <c r="G2957" t="s"/>
      <c r="H2957" t="s"/>
      <c r="I2957" t="s"/>
      <c r="J2957" t="n">
        <v>-0.9136</v>
      </c>
      <c r="K2957" t="n">
        <v>0.458</v>
      </c>
      <c r="L2957" t="n">
        <v>0.542</v>
      </c>
      <c r="M2957" t="n">
        <v>0</v>
      </c>
    </row>
    <row r="2958" spans="1:13">
      <c r="A2958" s="1">
        <f>HYPERLINK("http://www.twitter.com/NathanBLawrence/status/974866430016606209", "974866430016606209")</f>
        <v/>
      </c>
      <c r="B2958" s="2" t="n">
        <v>43176.1903125</v>
      </c>
      <c r="C2958" t="n">
        <v>0</v>
      </c>
      <c r="D2958" t="n">
        <v>539</v>
      </c>
      <c r="E2958" t="s">
        <v>2969</v>
      </c>
      <c r="F2958" t="s"/>
      <c r="G2958" t="s"/>
      <c r="H2958" t="s"/>
      <c r="I2958" t="s"/>
      <c r="J2958" t="n">
        <v>-0.6705</v>
      </c>
      <c r="K2958" t="n">
        <v>0.234</v>
      </c>
      <c r="L2958" t="n">
        <v>0.766</v>
      </c>
      <c r="M2958" t="n">
        <v>0</v>
      </c>
    </row>
    <row r="2959" spans="1:13">
      <c r="A2959" s="1">
        <f>HYPERLINK("http://www.twitter.com/NathanBLawrence/status/974865415573733376", "974865415573733376")</f>
        <v/>
      </c>
      <c r="B2959" s="2" t="n">
        <v>43176.18751157408</v>
      </c>
      <c r="C2959" t="n">
        <v>0</v>
      </c>
      <c r="D2959" t="n">
        <v>1376</v>
      </c>
      <c r="E2959" t="s">
        <v>2970</v>
      </c>
      <c r="F2959">
        <f>HYPERLINK("http://pbs.twimg.com/media/DYdOdGjUMAEl_zb.jpg", "http://pbs.twimg.com/media/DYdOdGjUMAEl_zb.jpg")</f>
        <v/>
      </c>
      <c r="G2959">
        <f>HYPERLINK("http://pbs.twimg.com/media/DYdOdimUMAA7CDS.jpg", "http://pbs.twimg.com/media/DYdOdimUMAA7CDS.jpg")</f>
        <v/>
      </c>
      <c r="H2959" t="s"/>
      <c r="I2959" t="s"/>
      <c r="J2959" t="n">
        <v>-0.34</v>
      </c>
      <c r="K2959" t="n">
        <v>0.094</v>
      </c>
      <c r="L2959" t="n">
        <v>0.906</v>
      </c>
      <c r="M2959" t="n">
        <v>0</v>
      </c>
    </row>
    <row r="2960" spans="1:13">
      <c r="A2960" s="1">
        <f>HYPERLINK("http://www.twitter.com/NathanBLawrence/status/974863842659459072", "974863842659459072")</f>
        <v/>
      </c>
      <c r="B2960" s="2" t="n">
        <v>43176.1831712963</v>
      </c>
      <c r="C2960" t="n">
        <v>0</v>
      </c>
      <c r="D2960" t="n">
        <v>84</v>
      </c>
      <c r="E2960" t="s">
        <v>2971</v>
      </c>
      <c r="F2960" t="s"/>
      <c r="G2960" t="s"/>
      <c r="H2960" t="s"/>
      <c r="I2960" t="s"/>
      <c r="J2960" t="n">
        <v>0</v>
      </c>
      <c r="K2960" t="n">
        <v>0</v>
      </c>
      <c r="L2960" t="n">
        <v>1</v>
      </c>
      <c r="M2960" t="n">
        <v>0</v>
      </c>
    </row>
    <row r="2961" spans="1:13">
      <c r="A2961" s="1">
        <f>HYPERLINK("http://www.twitter.com/NathanBLawrence/status/974862606149275649", "974862606149275649")</f>
        <v/>
      </c>
      <c r="B2961" s="2" t="n">
        <v>43176.17976851852</v>
      </c>
      <c r="C2961" t="n">
        <v>0</v>
      </c>
      <c r="D2961" t="n">
        <v>432</v>
      </c>
      <c r="E2961" t="s">
        <v>2972</v>
      </c>
      <c r="F2961">
        <f>HYPERLINK("http://pbs.twimg.com/media/DYbbYs4XcAAH3Or.png", "http://pbs.twimg.com/media/DYbbYs4XcAAH3Or.png")</f>
        <v/>
      </c>
      <c r="G2961" t="s"/>
      <c r="H2961" t="s"/>
      <c r="I2961" t="s"/>
      <c r="J2961" t="n">
        <v>0.6114000000000001</v>
      </c>
      <c r="K2961" t="n">
        <v>0</v>
      </c>
      <c r="L2961" t="n">
        <v>0.734</v>
      </c>
      <c r="M2961" t="n">
        <v>0.266</v>
      </c>
    </row>
    <row r="2962" spans="1:13">
      <c r="A2962" s="1">
        <f>HYPERLINK("http://www.twitter.com/NathanBLawrence/status/974862125540806657", "974862125540806657")</f>
        <v/>
      </c>
      <c r="B2962" s="2" t="n">
        <v>43176.1784375</v>
      </c>
      <c r="C2962" t="n">
        <v>0</v>
      </c>
      <c r="D2962" t="n">
        <v>4469</v>
      </c>
      <c r="E2962" t="s">
        <v>2973</v>
      </c>
      <c r="F2962">
        <f>HYPERLINK("https://video.twimg.com/amplify_video/974828686343069697/vid/720x720/0lsecuQt80LL1DOK.mp4", "https://video.twimg.com/amplify_video/974828686343069697/vid/720x720/0lsecuQt80LL1DOK.mp4")</f>
        <v/>
      </c>
      <c r="G2962" t="s"/>
      <c r="H2962" t="s"/>
      <c r="I2962" t="s"/>
      <c r="J2962" t="n">
        <v>-0.5574</v>
      </c>
      <c r="K2962" t="n">
        <v>0.159</v>
      </c>
      <c r="L2962" t="n">
        <v>0.841</v>
      </c>
      <c r="M2962" t="n">
        <v>0</v>
      </c>
    </row>
    <row r="2963" spans="1:13">
      <c r="A2963" s="1">
        <f>HYPERLINK("http://www.twitter.com/NathanBLawrence/status/974860441729097728", "974860441729097728")</f>
        <v/>
      </c>
      <c r="B2963" s="2" t="n">
        <v>43176.17378472222</v>
      </c>
      <c r="C2963" t="n">
        <v>0</v>
      </c>
      <c r="D2963" t="n">
        <v>46932</v>
      </c>
      <c r="E2963" t="s">
        <v>2974</v>
      </c>
      <c r="F2963" t="s"/>
      <c r="G2963" t="s"/>
      <c r="H2963" t="s"/>
      <c r="I2963" t="s"/>
      <c r="J2963" t="n">
        <v>0.5372</v>
      </c>
      <c r="K2963" t="n">
        <v>0.18</v>
      </c>
      <c r="L2963" t="n">
        <v>0.5639999999999999</v>
      </c>
      <c r="M2963" t="n">
        <v>0.257</v>
      </c>
    </row>
    <row r="2964" spans="1:13">
      <c r="A2964" s="1">
        <f>HYPERLINK("http://www.twitter.com/NathanBLawrence/status/974711593555628032", "974711593555628032")</f>
        <v/>
      </c>
      <c r="B2964" s="2" t="n">
        <v>43175.76304398148</v>
      </c>
      <c r="C2964" t="n">
        <v>0</v>
      </c>
      <c r="D2964" t="n">
        <v>2987</v>
      </c>
      <c r="E2964" t="s">
        <v>2975</v>
      </c>
      <c r="F2964">
        <f>HYPERLINK("http://pbs.twimg.com/media/DYasT7dVMAEUGeF.jpg", "http://pbs.twimg.com/media/DYasT7dVMAEUGeF.jpg")</f>
        <v/>
      </c>
      <c r="G2964" t="s"/>
      <c r="H2964" t="s"/>
      <c r="I2964" t="s"/>
      <c r="J2964" t="n">
        <v>0</v>
      </c>
      <c r="K2964" t="n">
        <v>0</v>
      </c>
      <c r="L2964" t="n">
        <v>1</v>
      </c>
      <c r="M2964" t="n">
        <v>0</v>
      </c>
    </row>
    <row r="2965" spans="1:13">
      <c r="A2965" s="1">
        <f>HYPERLINK("http://www.twitter.com/NathanBLawrence/status/974699813257318400", "974699813257318400")</f>
        <v/>
      </c>
      <c r="B2965" s="2" t="n">
        <v>43175.73054398148</v>
      </c>
      <c r="C2965" t="n">
        <v>0</v>
      </c>
      <c r="D2965" t="n">
        <v>785</v>
      </c>
      <c r="E2965" t="s">
        <v>2976</v>
      </c>
      <c r="F2965">
        <f>HYPERLINK("http://pbs.twimg.com/media/DYL7XejW0AA5Lyw.jpg", "http://pbs.twimg.com/media/DYL7XejW0AA5Lyw.jpg")</f>
        <v/>
      </c>
      <c r="G2965" t="s"/>
      <c r="H2965" t="s"/>
      <c r="I2965" t="s"/>
      <c r="J2965" t="n">
        <v>0.7184</v>
      </c>
      <c r="K2965" t="n">
        <v>0.174</v>
      </c>
      <c r="L2965" t="n">
        <v>0.466</v>
      </c>
      <c r="M2965" t="n">
        <v>0.36</v>
      </c>
    </row>
    <row r="2966" spans="1:13">
      <c r="A2966" s="1">
        <f>HYPERLINK("http://www.twitter.com/NathanBLawrence/status/974697631070019584", "974697631070019584")</f>
        <v/>
      </c>
      <c r="B2966" s="2" t="n">
        <v>43175.72451388889</v>
      </c>
      <c r="C2966" t="n">
        <v>0</v>
      </c>
      <c r="D2966" t="n">
        <v>7</v>
      </c>
      <c r="E2966" t="s">
        <v>2977</v>
      </c>
      <c r="F2966" t="s"/>
      <c r="G2966" t="s"/>
      <c r="H2966" t="s"/>
      <c r="I2966" t="s"/>
      <c r="J2966" t="n">
        <v>0.5106000000000001</v>
      </c>
      <c r="K2966" t="n">
        <v>0</v>
      </c>
      <c r="L2966" t="n">
        <v>0.8090000000000001</v>
      </c>
      <c r="M2966" t="n">
        <v>0.191</v>
      </c>
    </row>
    <row r="2967" spans="1:13">
      <c r="A2967" s="1">
        <f>HYPERLINK("http://www.twitter.com/NathanBLawrence/status/974697431341379584", "974697431341379584")</f>
        <v/>
      </c>
      <c r="B2967" s="2" t="n">
        <v>43175.72396990741</v>
      </c>
      <c r="C2967" t="n">
        <v>0</v>
      </c>
      <c r="D2967" t="n">
        <v>23</v>
      </c>
      <c r="E2967" t="s">
        <v>2978</v>
      </c>
      <c r="F2967">
        <f>HYPERLINK("http://pbs.twimg.com/media/DYbRdxUX0AEmsIz.jpg", "http://pbs.twimg.com/media/DYbRdxUX0AEmsIz.jpg")</f>
        <v/>
      </c>
      <c r="G2967">
        <f>HYPERLINK("http://pbs.twimg.com/media/DYbRdxVWkAAmUoY.jpg", "http://pbs.twimg.com/media/DYbRdxVWkAAmUoY.jpg")</f>
        <v/>
      </c>
      <c r="H2967" t="s"/>
      <c r="I2967" t="s"/>
      <c r="J2967" t="n">
        <v>0</v>
      </c>
      <c r="K2967" t="n">
        <v>0</v>
      </c>
      <c r="L2967" t="n">
        <v>1</v>
      </c>
      <c r="M2967" t="n">
        <v>0</v>
      </c>
    </row>
    <row r="2968" spans="1:13">
      <c r="A2968" s="1">
        <f>HYPERLINK("http://www.twitter.com/NathanBLawrence/status/974696534003601408", "974696534003601408")</f>
        <v/>
      </c>
      <c r="B2968" s="2" t="n">
        <v>43175.72149305556</v>
      </c>
      <c r="C2968" t="n">
        <v>0</v>
      </c>
      <c r="D2968" t="n">
        <v>156</v>
      </c>
      <c r="E2968" t="s">
        <v>2979</v>
      </c>
      <c r="F2968">
        <f>HYPERLINK("https://video.twimg.com/ext_tw_video/974694461526622208/pu/vid/480x360/rauTHHNMx5YLNAPd.mp4", "https://video.twimg.com/ext_tw_video/974694461526622208/pu/vid/480x360/rauTHHNMx5YLNAPd.mp4")</f>
        <v/>
      </c>
      <c r="G2968" t="s"/>
      <c r="H2968" t="s"/>
      <c r="I2968" t="s"/>
      <c r="J2968" t="n">
        <v>0.8519</v>
      </c>
      <c r="K2968" t="n">
        <v>0.07199999999999999</v>
      </c>
      <c r="L2968" t="n">
        <v>0.554</v>
      </c>
      <c r="M2968" t="n">
        <v>0.375</v>
      </c>
    </row>
    <row r="2969" spans="1:13">
      <c r="A2969" s="1">
        <f>HYPERLINK("http://www.twitter.com/NathanBLawrence/status/974696173167693824", "974696173167693824")</f>
        <v/>
      </c>
      <c r="B2969" s="2" t="n">
        <v>43175.72049768519</v>
      </c>
      <c r="C2969" t="n">
        <v>0</v>
      </c>
      <c r="D2969" t="n">
        <v>137</v>
      </c>
      <c r="E2969" t="s">
        <v>2980</v>
      </c>
      <c r="F2969">
        <f>HYPERLINK("https://video.twimg.com/ext_tw_video/974692873135206400/pu/vid/240x180/dkl5Rms9TYhuezB-.mp4", "https://video.twimg.com/ext_tw_video/974692873135206400/pu/vid/240x180/dkl5Rms9TYhuezB-.mp4")</f>
        <v/>
      </c>
      <c r="G2969" t="s"/>
      <c r="H2969" t="s"/>
      <c r="I2969" t="s"/>
      <c r="J2969" t="n">
        <v>-0.1779</v>
      </c>
      <c r="K2969" t="n">
        <v>0.26</v>
      </c>
      <c r="L2969" t="n">
        <v>0.533</v>
      </c>
      <c r="M2969" t="n">
        <v>0.207</v>
      </c>
    </row>
    <row r="2970" spans="1:13">
      <c r="A2970" s="1">
        <f>HYPERLINK("http://www.twitter.com/NathanBLawrence/status/974695110544945154", "974695110544945154")</f>
        <v/>
      </c>
      <c r="B2970" s="2" t="n">
        <v>43175.71755787037</v>
      </c>
      <c r="C2970" t="n">
        <v>0</v>
      </c>
      <c r="D2970" t="n">
        <v>17</v>
      </c>
      <c r="E2970" t="s">
        <v>2981</v>
      </c>
      <c r="F2970" t="s"/>
      <c r="G2970" t="s"/>
      <c r="H2970" t="s"/>
      <c r="I2970" t="s"/>
      <c r="J2970" t="n">
        <v>0</v>
      </c>
      <c r="K2970" t="n">
        <v>0</v>
      </c>
      <c r="L2970" t="n">
        <v>1</v>
      </c>
      <c r="M2970" t="n">
        <v>0</v>
      </c>
    </row>
    <row r="2971" spans="1:13">
      <c r="A2971" s="1">
        <f>HYPERLINK("http://www.twitter.com/NathanBLawrence/status/974673988470427648", "974673988470427648")</f>
        <v/>
      </c>
      <c r="B2971" s="2" t="n">
        <v>43175.65928240741</v>
      </c>
      <c r="C2971" t="n">
        <v>0</v>
      </c>
      <c r="D2971" t="n">
        <v>9</v>
      </c>
      <c r="E2971" t="s">
        <v>2982</v>
      </c>
      <c r="F2971">
        <f>HYPERLINK("http://pbs.twimg.com/media/DYa8EWoXcAA-4O5.jpg", "http://pbs.twimg.com/media/DYa8EWoXcAA-4O5.jpg")</f>
        <v/>
      </c>
      <c r="G2971" t="s"/>
      <c r="H2971" t="s"/>
      <c r="I2971" t="s"/>
      <c r="J2971" t="n">
        <v>-0.1531</v>
      </c>
      <c r="K2971" t="n">
        <v>0.15</v>
      </c>
      <c r="L2971" t="n">
        <v>0.727</v>
      </c>
      <c r="M2971" t="n">
        <v>0.123</v>
      </c>
    </row>
    <row r="2972" spans="1:13">
      <c r="A2972" s="1">
        <f>HYPERLINK("http://www.twitter.com/NathanBLawrence/status/974673928596721664", "974673928596721664")</f>
        <v/>
      </c>
      <c r="B2972" s="2" t="n">
        <v>43175.6591087963</v>
      </c>
      <c r="C2972" t="n">
        <v>0</v>
      </c>
      <c r="D2972" t="n">
        <v>5</v>
      </c>
      <c r="E2972" t="s">
        <v>2983</v>
      </c>
      <c r="F2972">
        <f>HYPERLINK("http://pbs.twimg.com/media/DYa8C6bU8AAkTGz.jpg", "http://pbs.twimg.com/media/DYa8C6bU8AAkTGz.jpg")</f>
        <v/>
      </c>
      <c r="G2972" t="s"/>
      <c r="H2972" t="s"/>
      <c r="I2972" t="s"/>
      <c r="J2972" t="n">
        <v>-0.6135</v>
      </c>
      <c r="K2972" t="n">
        <v>0.154</v>
      </c>
      <c r="L2972" t="n">
        <v>0.846</v>
      </c>
      <c r="M2972" t="n">
        <v>0</v>
      </c>
    </row>
    <row r="2973" spans="1:13">
      <c r="A2973" s="1">
        <f>HYPERLINK("http://www.twitter.com/NathanBLawrence/status/974673718646632448", "974673718646632448")</f>
        <v/>
      </c>
      <c r="B2973" s="2" t="n">
        <v>43175.65853009259</v>
      </c>
      <c r="C2973" t="n">
        <v>0</v>
      </c>
      <c r="D2973" t="n">
        <v>61</v>
      </c>
      <c r="E2973" t="s">
        <v>2984</v>
      </c>
      <c r="F2973">
        <f>HYPERLINK("http://pbs.twimg.com/media/DYa8CmpXkAA9MAV.jpg", "http://pbs.twimg.com/media/DYa8CmpXkAA9MAV.jpg")</f>
        <v/>
      </c>
      <c r="G2973" t="s"/>
      <c r="H2973" t="s"/>
      <c r="I2973" t="s"/>
      <c r="J2973" t="n">
        <v>0</v>
      </c>
      <c r="K2973" t="n">
        <v>0</v>
      </c>
      <c r="L2973" t="n">
        <v>1</v>
      </c>
      <c r="M2973" t="n">
        <v>0</v>
      </c>
    </row>
    <row r="2974" spans="1:13">
      <c r="A2974" s="1">
        <f>HYPERLINK("http://www.twitter.com/NathanBLawrence/status/974673297534308352", "974673297534308352")</f>
        <v/>
      </c>
      <c r="B2974" s="2" t="n">
        <v>43175.65737268519</v>
      </c>
      <c r="C2974" t="n">
        <v>0</v>
      </c>
      <c r="D2974" t="n">
        <v>21343</v>
      </c>
      <c r="E2974" t="s">
        <v>2985</v>
      </c>
      <c r="F2974" t="s"/>
      <c r="G2974" t="s"/>
      <c r="H2974" t="s"/>
      <c r="I2974" t="s"/>
      <c r="J2974" t="n">
        <v>0.5106000000000001</v>
      </c>
      <c r="K2974" t="n">
        <v>0.15</v>
      </c>
      <c r="L2974" t="n">
        <v>0.631</v>
      </c>
      <c r="M2974" t="n">
        <v>0.219</v>
      </c>
    </row>
    <row r="2975" spans="1:13">
      <c r="A2975" s="1">
        <f>HYPERLINK("http://www.twitter.com/NathanBLawrence/status/974673051135684609", "974673051135684609")</f>
        <v/>
      </c>
      <c r="B2975" s="2" t="n">
        <v>43175.65668981482</v>
      </c>
      <c r="C2975" t="n">
        <v>0</v>
      </c>
      <c r="D2975" t="n">
        <v>260</v>
      </c>
      <c r="E2975" t="s">
        <v>2986</v>
      </c>
      <c r="F2975" t="s"/>
      <c r="G2975" t="s"/>
      <c r="H2975" t="s"/>
      <c r="I2975" t="s"/>
      <c r="J2975" t="n">
        <v>-0.7783</v>
      </c>
      <c r="K2975" t="n">
        <v>0.415</v>
      </c>
      <c r="L2975" t="n">
        <v>0.585</v>
      </c>
      <c r="M2975" t="n">
        <v>0</v>
      </c>
    </row>
    <row r="2976" spans="1:13">
      <c r="A2976" s="1">
        <f>HYPERLINK("http://www.twitter.com/NathanBLawrence/status/974669902157111297", "974669902157111297")</f>
        <v/>
      </c>
      <c r="B2976" s="2" t="n">
        <v>43175.64799768518</v>
      </c>
      <c r="C2976" t="n">
        <v>0</v>
      </c>
      <c r="D2976" t="n">
        <v>174</v>
      </c>
      <c r="E2976" t="s">
        <v>2987</v>
      </c>
      <c r="F2976">
        <f>HYPERLINK("https://video.twimg.com/amplify_video/974289606995619841/vid/362x640/hzFI1s_1Ghpz4vvM.mp4", "https://video.twimg.com/amplify_video/974289606995619841/vid/362x640/hzFI1s_1Ghpz4vvM.mp4")</f>
        <v/>
      </c>
      <c r="G2976" t="s"/>
      <c r="H2976" t="s"/>
      <c r="I2976" t="s"/>
      <c r="J2976" t="n">
        <v>-0.296</v>
      </c>
      <c r="K2976" t="n">
        <v>0.121</v>
      </c>
      <c r="L2976" t="n">
        <v>0.879</v>
      </c>
      <c r="M2976" t="n">
        <v>0</v>
      </c>
    </row>
    <row r="2977" spans="1:13">
      <c r="A2977" s="1">
        <f>HYPERLINK("http://www.twitter.com/NathanBLawrence/status/974669828106735616", "974669828106735616")</f>
        <v/>
      </c>
      <c r="B2977" s="2" t="n">
        <v>43175.64780092592</v>
      </c>
      <c r="C2977" t="n">
        <v>0</v>
      </c>
      <c r="D2977" t="n">
        <v>856</v>
      </c>
      <c r="E2977" t="s">
        <v>2988</v>
      </c>
      <c r="F2977" t="s"/>
      <c r="G2977" t="s"/>
      <c r="H2977" t="s"/>
      <c r="I2977" t="s"/>
      <c r="J2977" t="n">
        <v>0</v>
      </c>
      <c r="K2977" t="n">
        <v>0</v>
      </c>
      <c r="L2977" t="n">
        <v>1</v>
      </c>
      <c r="M2977" t="n">
        <v>0</v>
      </c>
    </row>
    <row r="2978" spans="1:13">
      <c r="A2978" s="1">
        <f>HYPERLINK("http://www.twitter.com/NathanBLawrence/status/974669533913939969", "974669533913939969")</f>
        <v/>
      </c>
      <c r="B2978" s="2" t="n">
        <v>43175.64699074074</v>
      </c>
      <c r="C2978" t="n">
        <v>0</v>
      </c>
      <c r="D2978" t="n">
        <v>378</v>
      </c>
      <c r="E2978" t="s">
        <v>2989</v>
      </c>
      <c r="F2978">
        <f>HYPERLINK("http://pbs.twimg.com/media/DYTp6jZX4AAeYS9.jpg", "http://pbs.twimg.com/media/DYTp6jZX4AAeYS9.jpg")</f>
        <v/>
      </c>
      <c r="G2978" t="s"/>
      <c r="H2978" t="s"/>
      <c r="I2978" t="s"/>
      <c r="J2978" t="n">
        <v>0.5106000000000001</v>
      </c>
      <c r="K2978" t="n">
        <v>0</v>
      </c>
      <c r="L2978" t="n">
        <v>0.8129999999999999</v>
      </c>
      <c r="M2978" t="n">
        <v>0.187</v>
      </c>
    </row>
    <row r="2979" spans="1:13">
      <c r="A2979" s="1">
        <f>HYPERLINK("http://www.twitter.com/NathanBLawrence/status/974656247323557888", "974656247323557888")</f>
        <v/>
      </c>
      <c r="B2979" s="2" t="n">
        <v>43175.61032407408</v>
      </c>
      <c r="C2979" t="n">
        <v>0</v>
      </c>
      <c r="D2979" t="n">
        <v>4</v>
      </c>
      <c r="E2979" t="s">
        <v>2990</v>
      </c>
      <c r="F2979" t="s"/>
      <c r="G2979" t="s"/>
      <c r="H2979" t="s"/>
      <c r="I2979" t="s"/>
      <c r="J2979" t="n">
        <v>0</v>
      </c>
      <c r="K2979" t="n">
        <v>0</v>
      </c>
      <c r="L2979" t="n">
        <v>1</v>
      </c>
      <c r="M2979" t="n">
        <v>0</v>
      </c>
    </row>
    <row r="2980" spans="1:13">
      <c r="A2980" s="1">
        <f>HYPERLINK("http://www.twitter.com/NathanBLawrence/status/974655163293208576", "974655163293208576")</f>
        <v/>
      </c>
      <c r="B2980" s="2" t="n">
        <v>43175.60732638889</v>
      </c>
      <c r="C2980" t="n">
        <v>0</v>
      </c>
      <c r="D2980" t="n">
        <v>5142</v>
      </c>
      <c r="E2980" t="s">
        <v>2991</v>
      </c>
      <c r="F2980" t="s"/>
      <c r="G2980" t="s"/>
      <c r="H2980" t="s"/>
      <c r="I2980" t="s"/>
      <c r="J2980" t="n">
        <v>0</v>
      </c>
      <c r="K2980" t="n">
        <v>0</v>
      </c>
      <c r="L2980" t="n">
        <v>1</v>
      </c>
      <c r="M2980" t="n">
        <v>0</v>
      </c>
    </row>
    <row r="2981" spans="1:13">
      <c r="A2981" s="1">
        <f>HYPERLINK("http://www.twitter.com/NathanBLawrence/status/974654278597054465", "974654278597054465")</f>
        <v/>
      </c>
      <c r="B2981" s="2" t="n">
        <v>43175.60488425926</v>
      </c>
      <c r="C2981" t="n">
        <v>0</v>
      </c>
      <c r="D2981" t="n">
        <v>88</v>
      </c>
      <c r="E2981" t="s">
        <v>2992</v>
      </c>
      <c r="F2981" t="s"/>
      <c r="G2981" t="s"/>
      <c r="H2981" t="s"/>
      <c r="I2981" t="s"/>
      <c r="J2981" t="n">
        <v>0</v>
      </c>
      <c r="K2981" t="n">
        <v>0</v>
      </c>
      <c r="L2981" t="n">
        <v>1</v>
      </c>
      <c r="M2981" t="n">
        <v>0</v>
      </c>
    </row>
    <row r="2982" spans="1:13">
      <c r="A2982" s="1">
        <f>HYPERLINK("http://www.twitter.com/NathanBLawrence/status/974649746987143168", "974649746987143168")</f>
        <v/>
      </c>
      <c r="B2982" s="2" t="n">
        <v>43175.59238425926</v>
      </c>
      <c r="C2982" t="n">
        <v>0</v>
      </c>
      <c r="D2982" t="n">
        <v>7161</v>
      </c>
      <c r="E2982" t="s">
        <v>2993</v>
      </c>
      <c r="F2982" t="s"/>
      <c r="G2982" t="s"/>
      <c r="H2982" t="s"/>
      <c r="I2982" t="s"/>
      <c r="J2982" t="n">
        <v>-0.6597</v>
      </c>
      <c r="K2982" t="n">
        <v>0.221</v>
      </c>
      <c r="L2982" t="n">
        <v>0.725</v>
      </c>
      <c r="M2982" t="n">
        <v>0.053</v>
      </c>
    </row>
    <row r="2983" spans="1:13">
      <c r="A2983" s="1">
        <f>HYPERLINK("http://www.twitter.com/NathanBLawrence/status/974649550160965633", "974649550160965633")</f>
        <v/>
      </c>
      <c r="B2983" s="2" t="n">
        <v>43175.59184027778</v>
      </c>
      <c r="C2983" t="n">
        <v>0</v>
      </c>
      <c r="D2983" t="n">
        <v>56</v>
      </c>
      <c r="E2983" t="s">
        <v>2994</v>
      </c>
      <c r="F2983">
        <f>HYPERLINK("http://pbs.twimg.com/media/DYaWQv3X4AAeBx3.jpg", "http://pbs.twimg.com/media/DYaWQv3X4AAeBx3.jpg")</f>
        <v/>
      </c>
      <c r="G2983" t="s"/>
      <c r="H2983" t="s"/>
      <c r="I2983" t="s"/>
      <c r="J2983" t="n">
        <v>0.7835</v>
      </c>
      <c r="K2983" t="n">
        <v>0</v>
      </c>
      <c r="L2983" t="n">
        <v>0.717</v>
      </c>
      <c r="M2983" t="n">
        <v>0.283</v>
      </c>
    </row>
    <row r="2984" spans="1:13">
      <c r="A2984" s="1">
        <f>HYPERLINK("http://www.twitter.com/NathanBLawrence/status/974497140964823040", "974497140964823040")</f>
        <v/>
      </c>
      <c r="B2984" s="2" t="n">
        <v>43175.17127314815</v>
      </c>
      <c r="C2984" t="n">
        <v>0</v>
      </c>
      <c r="D2984" t="n">
        <v>554</v>
      </c>
      <c r="E2984" t="s">
        <v>2995</v>
      </c>
      <c r="F2984" t="s"/>
      <c r="G2984" t="s"/>
      <c r="H2984" t="s"/>
      <c r="I2984" t="s"/>
      <c r="J2984" t="n">
        <v>-0.25</v>
      </c>
      <c r="K2984" t="n">
        <v>0.091</v>
      </c>
      <c r="L2984" t="n">
        <v>0.909</v>
      </c>
      <c r="M2984" t="n">
        <v>0</v>
      </c>
    </row>
    <row r="2985" spans="1:13">
      <c r="A2985" s="1">
        <f>HYPERLINK("http://www.twitter.com/NathanBLawrence/status/974496224211603456", "974496224211603456")</f>
        <v/>
      </c>
      <c r="B2985" s="2" t="n">
        <v>43175.16873842593</v>
      </c>
      <c r="C2985" t="n">
        <v>0</v>
      </c>
      <c r="D2985" t="n">
        <v>11244</v>
      </c>
      <c r="E2985" t="s">
        <v>2996</v>
      </c>
      <c r="F2985" t="s"/>
      <c r="G2985" t="s"/>
      <c r="H2985" t="s"/>
      <c r="I2985" t="s"/>
      <c r="J2985" t="n">
        <v>0.1779</v>
      </c>
      <c r="K2985" t="n">
        <v>0.08400000000000001</v>
      </c>
      <c r="L2985" t="n">
        <v>0.805</v>
      </c>
      <c r="M2985" t="n">
        <v>0.111</v>
      </c>
    </row>
    <row r="2986" spans="1:13">
      <c r="A2986" s="1">
        <f>HYPERLINK("http://www.twitter.com/NathanBLawrence/status/974458592991596544", "974458592991596544")</f>
        <v/>
      </c>
      <c r="B2986" s="2" t="n">
        <v>43175.06489583333</v>
      </c>
      <c r="C2986" t="n">
        <v>0</v>
      </c>
      <c r="D2986" t="n">
        <v>9</v>
      </c>
      <c r="E2986" t="s">
        <v>2997</v>
      </c>
      <c r="F2986" t="s"/>
      <c r="G2986" t="s"/>
      <c r="H2986" t="s"/>
      <c r="I2986" t="s"/>
      <c r="J2986" t="n">
        <v>0.8436</v>
      </c>
      <c r="K2986" t="n">
        <v>0</v>
      </c>
      <c r="L2986" t="n">
        <v>0.708</v>
      </c>
      <c r="M2986" t="n">
        <v>0.292</v>
      </c>
    </row>
    <row r="2987" spans="1:13">
      <c r="A2987" s="1">
        <f>HYPERLINK("http://www.twitter.com/NathanBLawrence/status/974453502377381889", "974453502377381889")</f>
        <v/>
      </c>
      <c r="B2987" s="2" t="n">
        <v>43175.05085648148</v>
      </c>
      <c r="C2987" t="n">
        <v>0</v>
      </c>
      <c r="D2987" t="n">
        <v>1357</v>
      </c>
      <c r="E2987" t="s">
        <v>2998</v>
      </c>
      <c r="F2987" t="s"/>
      <c r="G2987" t="s"/>
      <c r="H2987" t="s"/>
      <c r="I2987" t="s"/>
      <c r="J2987" t="n">
        <v>0</v>
      </c>
      <c r="K2987" t="n">
        <v>0</v>
      </c>
      <c r="L2987" t="n">
        <v>1</v>
      </c>
      <c r="M2987" t="n">
        <v>0</v>
      </c>
    </row>
    <row r="2988" spans="1:13">
      <c r="A2988" s="1">
        <f>HYPERLINK("http://www.twitter.com/NathanBLawrence/status/974446357711859712", "974446357711859712")</f>
        <v/>
      </c>
      <c r="B2988" s="2" t="n">
        <v>43175.03113425926</v>
      </c>
      <c r="C2988" t="n">
        <v>0</v>
      </c>
      <c r="D2988" t="n">
        <v>693</v>
      </c>
      <c r="E2988" t="s">
        <v>2999</v>
      </c>
      <c r="F2988" t="s"/>
      <c r="G2988" t="s"/>
      <c r="H2988" t="s"/>
      <c r="I2988" t="s"/>
      <c r="J2988" t="n">
        <v>0.6584</v>
      </c>
      <c r="K2988" t="n">
        <v>0.11</v>
      </c>
      <c r="L2988" t="n">
        <v>0.614</v>
      </c>
      <c r="M2988" t="n">
        <v>0.276</v>
      </c>
    </row>
    <row r="2989" spans="1:13">
      <c r="A2989" s="1">
        <f>HYPERLINK("http://www.twitter.com/NathanBLawrence/status/974444723757879297", "974444723757879297")</f>
        <v/>
      </c>
      <c r="B2989" s="2" t="n">
        <v>43175.02663194444</v>
      </c>
      <c r="C2989" t="n">
        <v>0</v>
      </c>
      <c r="D2989" t="n">
        <v>419</v>
      </c>
      <c r="E2989" t="s">
        <v>3000</v>
      </c>
      <c r="F2989">
        <f>HYPERLINK("http://pbs.twimg.com/media/DYXpGhaUMAAVm1i.jpg", "http://pbs.twimg.com/media/DYXpGhaUMAAVm1i.jpg")</f>
        <v/>
      </c>
      <c r="G2989">
        <f>HYPERLINK("http://pbs.twimg.com/media/DYXpG5WVAAAzFRF.jpg", "http://pbs.twimg.com/media/DYXpG5WVAAAzFRF.jpg")</f>
        <v/>
      </c>
      <c r="H2989">
        <f>HYPERLINK("http://pbs.twimg.com/media/DYXpHSLVMAA7OkW.jpg", "http://pbs.twimg.com/media/DYXpHSLVMAA7OkW.jpg")</f>
        <v/>
      </c>
      <c r="I2989" t="s"/>
      <c r="J2989" t="n">
        <v>0.4019</v>
      </c>
      <c r="K2989" t="n">
        <v>0</v>
      </c>
      <c r="L2989" t="n">
        <v>0.863</v>
      </c>
      <c r="M2989" t="n">
        <v>0.137</v>
      </c>
    </row>
    <row r="2990" spans="1:13">
      <c r="A2990" s="1">
        <f>HYPERLINK("http://www.twitter.com/NathanBLawrence/status/974444520938049537", "974444520938049537")</f>
        <v/>
      </c>
      <c r="B2990" s="2" t="n">
        <v>43175.02606481482</v>
      </c>
      <c r="C2990" t="n">
        <v>0</v>
      </c>
      <c r="D2990" t="n">
        <v>1070</v>
      </c>
      <c r="E2990" t="s">
        <v>3001</v>
      </c>
      <c r="F2990" t="s"/>
      <c r="G2990" t="s"/>
      <c r="H2990" t="s"/>
      <c r="I2990" t="s"/>
      <c r="J2990" t="n">
        <v>-0.8356</v>
      </c>
      <c r="K2990" t="n">
        <v>0.326</v>
      </c>
      <c r="L2990" t="n">
        <v>0.596</v>
      </c>
      <c r="M2990" t="n">
        <v>0.078</v>
      </c>
    </row>
    <row r="2991" spans="1:13">
      <c r="A2991" s="1">
        <f>HYPERLINK("http://www.twitter.com/NathanBLawrence/status/974444158709587968", "974444158709587968")</f>
        <v/>
      </c>
      <c r="B2991" s="2" t="n">
        <v>43175.02506944445</v>
      </c>
      <c r="C2991" t="n">
        <v>0</v>
      </c>
      <c r="D2991" t="n">
        <v>178</v>
      </c>
      <c r="E2991" t="s">
        <v>3002</v>
      </c>
      <c r="F2991">
        <f>HYPERLINK("http://pbs.twimg.com/media/DYXrTPHWAAAbRJA.jpg", "http://pbs.twimg.com/media/DYXrTPHWAAAbRJA.jpg")</f>
        <v/>
      </c>
      <c r="G2991" t="s"/>
      <c r="H2991" t="s"/>
      <c r="I2991" t="s"/>
      <c r="J2991" t="n">
        <v>0</v>
      </c>
      <c r="K2991" t="n">
        <v>0</v>
      </c>
      <c r="L2991" t="n">
        <v>1</v>
      </c>
      <c r="M2991" t="n">
        <v>0</v>
      </c>
    </row>
    <row r="2992" spans="1:13">
      <c r="A2992" s="1">
        <f>HYPERLINK("http://www.twitter.com/NathanBLawrence/status/974441074516283393", "974441074516283393")</f>
        <v/>
      </c>
      <c r="B2992" s="2" t="n">
        <v>43175.0165625</v>
      </c>
      <c r="C2992" t="n">
        <v>0</v>
      </c>
      <c r="D2992" t="n">
        <v>17657</v>
      </c>
      <c r="E2992" t="s">
        <v>3003</v>
      </c>
      <c r="F2992">
        <f>HYPERLINK("https://video.twimg.com/ext_tw_video/974431276097855488/pu/vid/640x360/w4fnWXDEgCAn7PuR.mp4", "https://video.twimg.com/ext_tw_video/974431276097855488/pu/vid/640x360/w4fnWXDEgCAn7PuR.mp4")</f>
        <v/>
      </c>
      <c r="G2992" t="s"/>
      <c r="H2992" t="s"/>
      <c r="I2992" t="s"/>
      <c r="J2992" t="n">
        <v>0.1232</v>
      </c>
      <c r="K2992" t="n">
        <v>0</v>
      </c>
      <c r="L2992" t="n">
        <v>0.9340000000000001</v>
      </c>
      <c r="M2992" t="n">
        <v>0.066</v>
      </c>
    </row>
    <row r="2993" spans="1:13">
      <c r="A2993" s="1">
        <f>HYPERLINK("http://www.twitter.com/NathanBLawrence/status/974441016357998593", "974441016357998593")</f>
        <v/>
      </c>
      <c r="B2993" s="2" t="n">
        <v>43175.01640046296</v>
      </c>
      <c r="C2993" t="n">
        <v>0</v>
      </c>
      <c r="D2993" t="n">
        <v>28</v>
      </c>
      <c r="E2993" t="s">
        <v>3004</v>
      </c>
      <c r="F2993" t="s"/>
      <c r="G2993" t="s"/>
      <c r="H2993" t="s"/>
      <c r="I2993" t="s"/>
      <c r="J2993" t="n">
        <v>-0.5266999999999999</v>
      </c>
      <c r="K2993" t="n">
        <v>0.12</v>
      </c>
      <c r="L2993" t="n">
        <v>0.88</v>
      </c>
      <c r="M2993" t="n">
        <v>0</v>
      </c>
    </row>
    <row r="2994" spans="1:13">
      <c r="A2994" s="1">
        <f>HYPERLINK("http://www.twitter.com/NathanBLawrence/status/974440080101163009", "974440080101163009")</f>
        <v/>
      </c>
      <c r="B2994" s="2" t="n">
        <v>43175.01380787037</v>
      </c>
      <c r="C2994" t="n">
        <v>0</v>
      </c>
      <c r="D2994" t="n">
        <v>248</v>
      </c>
      <c r="E2994" t="s">
        <v>3005</v>
      </c>
      <c r="F2994" t="s"/>
      <c r="G2994" t="s"/>
      <c r="H2994" t="s"/>
      <c r="I2994" t="s"/>
      <c r="J2994" t="n">
        <v>0.4019</v>
      </c>
      <c r="K2994" t="n">
        <v>0</v>
      </c>
      <c r="L2994" t="n">
        <v>0.891</v>
      </c>
      <c r="M2994" t="n">
        <v>0.109</v>
      </c>
    </row>
    <row r="2995" spans="1:13">
      <c r="A2995" s="1">
        <f>HYPERLINK("http://www.twitter.com/NathanBLawrence/status/974439795316445184", "974439795316445184")</f>
        <v/>
      </c>
      <c r="B2995" s="2" t="n">
        <v>43175.01303240741</v>
      </c>
      <c r="C2995" t="n">
        <v>0</v>
      </c>
      <c r="D2995" t="n">
        <v>326</v>
      </c>
      <c r="E2995" t="s">
        <v>3006</v>
      </c>
      <c r="F2995" t="s"/>
      <c r="G2995" t="s"/>
      <c r="H2995" t="s"/>
      <c r="I2995" t="s"/>
      <c r="J2995" t="n">
        <v>0</v>
      </c>
      <c r="K2995" t="n">
        <v>0</v>
      </c>
      <c r="L2995" t="n">
        <v>1</v>
      </c>
      <c r="M2995" t="n">
        <v>0</v>
      </c>
    </row>
    <row r="2996" spans="1:13">
      <c r="A2996" s="1">
        <f>HYPERLINK("http://www.twitter.com/NathanBLawrence/status/974439764966412288", "974439764966412288")</f>
        <v/>
      </c>
      <c r="B2996" s="2" t="n">
        <v>43175.01293981481</v>
      </c>
      <c r="C2996" t="n">
        <v>0</v>
      </c>
      <c r="D2996" t="n">
        <v>1365</v>
      </c>
      <c r="E2996" t="s">
        <v>3007</v>
      </c>
      <c r="F2996" t="s"/>
      <c r="G2996" t="s"/>
      <c r="H2996" t="s"/>
      <c r="I2996" t="s"/>
      <c r="J2996" t="n">
        <v>0</v>
      </c>
      <c r="K2996" t="n">
        <v>0</v>
      </c>
      <c r="L2996" t="n">
        <v>1</v>
      </c>
      <c r="M2996" t="n">
        <v>0</v>
      </c>
    </row>
    <row r="2997" spans="1:13">
      <c r="A2997" s="1">
        <f>HYPERLINK("http://www.twitter.com/NathanBLawrence/status/974438884615622656", "974438884615622656")</f>
        <v/>
      </c>
      <c r="B2997" s="2" t="n">
        <v>43175.01050925926</v>
      </c>
      <c r="C2997" t="n">
        <v>0</v>
      </c>
      <c r="D2997" t="n">
        <v>309</v>
      </c>
      <c r="E2997" t="s">
        <v>3008</v>
      </c>
      <c r="F2997">
        <f>HYPERLINK("http://pbs.twimg.com/media/DYXifhuXcAEM83d.jpg", "http://pbs.twimg.com/media/DYXifhuXcAEM83d.jpg")</f>
        <v/>
      </c>
      <c r="G2997" t="s"/>
      <c r="H2997" t="s"/>
      <c r="I2997" t="s"/>
      <c r="J2997" t="n">
        <v>0</v>
      </c>
      <c r="K2997" t="n">
        <v>0</v>
      </c>
      <c r="L2997" t="n">
        <v>1</v>
      </c>
      <c r="M2997" t="n">
        <v>0</v>
      </c>
    </row>
    <row r="2998" spans="1:13">
      <c r="A2998" s="1">
        <f>HYPERLINK("http://www.twitter.com/NathanBLawrence/status/974438633485815808", "974438633485815808")</f>
        <v/>
      </c>
      <c r="B2998" s="2" t="n">
        <v>43175.00982638889</v>
      </c>
      <c r="C2998" t="n">
        <v>0</v>
      </c>
      <c r="D2998" t="n">
        <v>2587</v>
      </c>
      <c r="E2998" t="s">
        <v>3009</v>
      </c>
      <c r="F2998">
        <f>HYPERLINK("http://pbs.twimg.com/media/DPwvtvLUMAEKof5.jpg", "http://pbs.twimg.com/media/DPwvtvLUMAEKof5.jpg")</f>
        <v/>
      </c>
      <c r="G2998" t="s"/>
      <c r="H2998" t="s"/>
      <c r="I2998" t="s"/>
      <c r="J2998" t="n">
        <v>-0.8979</v>
      </c>
      <c r="K2998" t="n">
        <v>0.365</v>
      </c>
      <c r="L2998" t="n">
        <v>0.635</v>
      </c>
      <c r="M2998" t="n">
        <v>0</v>
      </c>
    </row>
    <row r="2999" spans="1:13">
      <c r="A2999" s="1">
        <f>HYPERLINK("http://www.twitter.com/NathanBLawrence/status/974408896478613504", "974408896478613504")</f>
        <v/>
      </c>
      <c r="B2999" s="2" t="n">
        <v>43174.92776620371</v>
      </c>
      <c r="C2999" t="n">
        <v>0</v>
      </c>
      <c r="D2999" t="n">
        <v>192</v>
      </c>
      <c r="E2999" t="s">
        <v>3010</v>
      </c>
      <c r="F2999">
        <f>HYPERLINK("http://pbs.twimg.com/media/DYSUYIXXkAA0ddW.jpg", "http://pbs.twimg.com/media/DYSUYIXXkAA0ddW.jpg")</f>
        <v/>
      </c>
      <c r="G2999" t="s"/>
      <c r="H2999" t="s"/>
      <c r="I2999" t="s"/>
      <c r="J2999" t="n">
        <v>0</v>
      </c>
      <c r="K2999" t="n">
        <v>0</v>
      </c>
      <c r="L2999" t="n">
        <v>1</v>
      </c>
      <c r="M2999" t="n">
        <v>0</v>
      </c>
    </row>
    <row r="3000" spans="1:13">
      <c r="A3000" s="1">
        <f>HYPERLINK("http://www.twitter.com/NathanBLawrence/status/974399230348492800", "974399230348492800")</f>
        <v/>
      </c>
      <c r="B3000" s="2" t="n">
        <v>43174.90108796296</v>
      </c>
      <c r="C3000" t="n">
        <v>0</v>
      </c>
      <c r="D3000" t="n">
        <v>8837</v>
      </c>
      <c r="E3000" t="s">
        <v>3011</v>
      </c>
      <c r="F3000">
        <f>HYPERLINK("https://video.twimg.com/amplify_video/974273399513079808/vid/1280x720/Yob9PcnBF83Jxwwz.mp4", "https://video.twimg.com/amplify_video/974273399513079808/vid/1280x720/Yob9PcnBF83Jxwwz.mp4")</f>
        <v/>
      </c>
      <c r="G3000" t="s"/>
      <c r="H3000" t="s"/>
      <c r="I3000" t="s"/>
      <c r="J3000" t="n">
        <v>0</v>
      </c>
      <c r="K3000" t="n">
        <v>0</v>
      </c>
      <c r="L3000" t="n">
        <v>1</v>
      </c>
      <c r="M3000" t="n">
        <v>0</v>
      </c>
    </row>
    <row r="3001" spans="1:13">
      <c r="A3001" s="1">
        <f>HYPERLINK("http://www.twitter.com/NathanBLawrence/status/974399141517328384", "974399141517328384")</f>
        <v/>
      </c>
      <c r="B3001" s="2" t="n">
        <v>43174.90084490741</v>
      </c>
      <c r="C3001" t="n">
        <v>0</v>
      </c>
      <c r="D3001" t="n">
        <v>10636</v>
      </c>
      <c r="E3001" t="s">
        <v>3012</v>
      </c>
      <c r="F3001">
        <f>HYPERLINK("https://video.twimg.com/ext_tw_video/974171839814557696/pu/vid/720x1280/lbcf3aR8Eb3tF_a0.mp4", "https://video.twimg.com/ext_tw_video/974171839814557696/pu/vid/720x1280/lbcf3aR8Eb3tF_a0.mp4")</f>
        <v/>
      </c>
      <c r="G3001" t="s"/>
      <c r="H3001" t="s"/>
      <c r="I3001" t="s"/>
      <c r="J3001" t="n">
        <v>-0.3182</v>
      </c>
      <c r="K3001" t="n">
        <v>0.099</v>
      </c>
      <c r="L3001" t="n">
        <v>0.901</v>
      </c>
      <c r="M3001" t="n">
        <v>0</v>
      </c>
    </row>
    <row r="3002" spans="1:13">
      <c r="A3002" s="1">
        <f>HYPERLINK("http://www.twitter.com/NathanBLawrence/status/974398981248897029", "974398981248897029")</f>
        <v/>
      </c>
      <c r="B3002" s="2" t="n">
        <v>43174.90040509259</v>
      </c>
      <c r="C3002" t="n">
        <v>0</v>
      </c>
      <c r="D3002" t="n">
        <v>93</v>
      </c>
      <c r="E3002" t="s">
        <v>3013</v>
      </c>
      <c r="F3002">
        <f>HYPERLINK("https://video.twimg.com/amplify_video/974273399513079808/vid/1280x720/Yob9PcnBF83Jxwwz.mp4", "https://video.twimg.com/amplify_video/974273399513079808/vid/1280x720/Yob9PcnBF83Jxwwz.mp4")</f>
        <v/>
      </c>
      <c r="G3002" t="s"/>
      <c r="H3002" t="s"/>
      <c r="I3002" t="s"/>
      <c r="J3002" t="n">
        <v>0.8126</v>
      </c>
      <c r="K3002" t="n">
        <v>0</v>
      </c>
      <c r="L3002" t="n">
        <v>0.607</v>
      </c>
      <c r="M3002" t="n">
        <v>0.393</v>
      </c>
    </row>
    <row r="3003" spans="1:13">
      <c r="A3003" s="1">
        <f>HYPERLINK("http://www.twitter.com/NathanBLawrence/status/974398466704191488", "974398466704191488")</f>
        <v/>
      </c>
      <c r="B3003" s="2" t="n">
        <v>43174.89898148148</v>
      </c>
      <c r="C3003" t="n">
        <v>0</v>
      </c>
      <c r="D3003" t="n">
        <v>1</v>
      </c>
      <c r="E3003" t="s">
        <v>3014</v>
      </c>
      <c r="F3003" t="s"/>
      <c r="G3003" t="s"/>
      <c r="H3003" t="s"/>
      <c r="I3003" t="s"/>
      <c r="J3003" t="n">
        <v>0.3182</v>
      </c>
      <c r="K3003" t="n">
        <v>0</v>
      </c>
      <c r="L3003" t="n">
        <v>0.867</v>
      </c>
      <c r="M3003" t="n">
        <v>0.133</v>
      </c>
    </row>
    <row r="3004" spans="1:13">
      <c r="A3004" s="1">
        <f>HYPERLINK("http://www.twitter.com/NathanBLawrence/status/974396966716297217", "974396966716297217")</f>
        <v/>
      </c>
      <c r="B3004" s="2" t="n">
        <v>43174.89483796297</v>
      </c>
      <c r="C3004" t="n">
        <v>0</v>
      </c>
      <c r="D3004" t="n">
        <v>11233</v>
      </c>
      <c r="E3004" t="s">
        <v>3015</v>
      </c>
      <c r="F3004" t="s"/>
      <c r="G3004" t="s"/>
      <c r="H3004" t="s"/>
      <c r="I3004" t="s"/>
      <c r="J3004" t="n">
        <v>0.8398</v>
      </c>
      <c r="K3004" t="n">
        <v>0</v>
      </c>
      <c r="L3004" t="n">
        <v>0.724</v>
      </c>
      <c r="M3004" t="n">
        <v>0.276</v>
      </c>
    </row>
    <row r="3005" spans="1:13">
      <c r="A3005" s="1">
        <f>HYPERLINK("http://www.twitter.com/NathanBLawrence/status/974395664309346305", "974395664309346305")</f>
        <v/>
      </c>
      <c r="B3005" s="2" t="n">
        <v>43174.89125</v>
      </c>
      <c r="C3005" t="n">
        <v>0</v>
      </c>
      <c r="D3005" t="n">
        <v>6</v>
      </c>
      <c r="E3005" t="s">
        <v>3016</v>
      </c>
      <c r="F3005">
        <f>HYPERLINK("http://pbs.twimg.com/media/DYW-hDqXUAEZJQB.jpg", "http://pbs.twimg.com/media/DYW-hDqXUAEZJQB.jpg")</f>
        <v/>
      </c>
      <c r="G3005" t="s"/>
      <c r="H3005" t="s"/>
      <c r="I3005" t="s"/>
      <c r="J3005" t="n">
        <v>0.34</v>
      </c>
      <c r="K3005" t="n">
        <v>0</v>
      </c>
      <c r="L3005" t="n">
        <v>0.87</v>
      </c>
      <c r="M3005" t="n">
        <v>0.13</v>
      </c>
    </row>
    <row r="3006" spans="1:13">
      <c r="A3006" s="1">
        <f>HYPERLINK("http://www.twitter.com/NathanBLawrence/status/974394835393183747", "974394835393183747")</f>
        <v/>
      </c>
      <c r="B3006" s="2" t="n">
        <v>43174.88895833334</v>
      </c>
      <c r="C3006" t="n">
        <v>0</v>
      </c>
      <c r="D3006" t="n">
        <v>10375</v>
      </c>
      <c r="E3006" t="s">
        <v>3017</v>
      </c>
      <c r="F3006">
        <f>HYPERLINK("http://pbs.twimg.com/media/DYWOWcsUQAACwFX.jpg", "http://pbs.twimg.com/media/DYWOWcsUQAACwFX.jpg")</f>
        <v/>
      </c>
      <c r="G3006" t="s"/>
      <c r="H3006" t="s"/>
      <c r="I3006" t="s"/>
      <c r="J3006" t="n">
        <v>0.7574</v>
      </c>
      <c r="K3006" t="n">
        <v>0</v>
      </c>
      <c r="L3006" t="n">
        <v>0.711</v>
      </c>
      <c r="M3006" t="n">
        <v>0.289</v>
      </c>
    </row>
    <row r="3007" spans="1:13">
      <c r="A3007" s="1">
        <f>HYPERLINK("http://www.twitter.com/NathanBLawrence/status/974394110353256448", "974394110353256448")</f>
        <v/>
      </c>
      <c r="B3007" s="2" t="n">
        <v>43174.88695601852</v>
      </c>
      <c r="C3007" t="n">
        <v>0</v>
      </c>
      <c r="D3007" t="n">
        <v>561</v>
      </c>
      <c r="E3007" t="s">
        <v>3018</v>
      </c>
      <c r="F3007" t="s"/>
      <c r="G3007" t="s"/>
      <c r="H3007" t="s"/>
      <c r="I3007" t="s"/>
      <c r="J3007" t="n">
        <v>-0.34</v>
      </c>
      <c r="K3007" t="n">
        <v>0.117</v>
      </c>
      <c r="L3007" t="n">
        <v>0.826</v>
      </c>
      <c r="M3007" t="n">
        <v>0.057</v>
      </c>
    </row>
    <row r="3008" spans="1:13">
      <c r="A3008" s="1">
        <f>HYPERLINK("http://www.twitter.com/NathanBLawrence/status/974393793364492289", "974393793364492289")</f>
        <v/>
      </c>
      <c r="B3008" s="2" t="n">
        <v>43174.88608796296</v>
      </c>
      <c r="C3008" t="n">
        <v>0</v>
      </c>
      <c r="D3008" t="n">
        <v>2</v>
      </c>
      <c r="E3008" t="s">
        <v>3019</v>
      </c>
      <c r="F3008" t="s"/>
      <c r="G3008" t="s"/>
      <c r="H3008" t="s"/>
      <c r="I3008" t="s"/>
      <c r="J3008" t="n">
        <v>0.3612</v>
      </c>
      <c r="K3008" t="n">
        <v>0.126</v>
      </c>
      <c r="L3008" t="n">
        <v>0.648</v>
      </c>
      <c r="M3008" t="n">
        <v>0.227</v>
      </c>
    </row>
    <row r="3009" spans="1:13">
      <c r="A3009" s="1">
        <f>HYPERLINK("http://www.twitter.com/NathanBLawrence/status/974393385837645825", "974393385837645825")</f>
        <v/>
      </c>
      <c r="B3009" s="2" t="n">
        <v>43174.88496527778</v>
      </c>
      <c r="C3009" t="n">
        <v>0</v>
      </c>
      <c r="D3009" t="n">
        <v>1499</v>
      </c>
      <c r="E3009" t="s">
        <v>3020</v>
      </c>
      <c r="F3009" t="s"/>
      <c r="G3009" t="s"/>
      <c r="H3009" t="s"/>
      <c r="I3009" t="s"/>
      <c r="J3009" t="n">
        <v>0</v>
      </c>
      <c r="K3009" t="n">
        <v>0</v>
      </c>
      <c r="L3009" t="n">
        <v>1</v>
      </c>
      <c r="M3009" t="n">
        <v>0</v>
      </c>
    </row>
    <row r="3010" spans="1:13">
      <c r="A3010" s="1">
        <f>HYPERLINK("http://www.twitter.com/NathanBLawrence/status/974393254874578945", "974393254874578945")</f>
        <v/>
      </c>
      <c r="B3010" s="2" t="n">
        <v>43174.88459490741</v>
      </c>
      <c r="C3010" t="n">
        <v>0</v>
      </c>
      <c r="D3010" t="n">
        <v>50</v>
      </c>
      <c r="E3010" t="s">
        <v>3021</v>
      </c>
      <c r="F3010" t="s"/>
      <c r="G3010" t="s"/>
      <c r="H3010" t="s"/>
      <c r="I3010" t="s"/>
      <c r="J3010" t="n">
        <v>0</v>
      </c>
      <c r="K3010" t="n">
        <v>0</v>
      </c>
      <c r="L3010" t="n">
        <v>1</v>
      </c>
      <c r="M3010" t="n">
        <v>0</v>
      </c>
    </row>
    <row r="3011" spans="1:13">
      <c r="A3011" s="1">
        <f>HYPERLINK("http://www.twitter.com/NathanBLawrence/status/974393190127226881", "974393190127226881")</f>
        <v/>
      </c>
      <c r="B3011" s="2" t="n">
        <v>43174.88442129629</v>
      </c>
      <c r="C3011" t="n">
        <v>0</v>
      </c>
      <c r="D3011" t="n">
        <v>1790</v>
      </c>
      <c r="E3011" t="s">
        <v>3022</v>
      </c>
      <c r="F3011">
        <f>HYPERLINK("https://video.twimg.com/ext_tw_video/974377276941983744/pu/vid/640x360/TeRUVSN_W324Nxz_.mp4", "https://video.twimg.com/ext_tw_video/974377276941983744/pu/vid/640x360/TeRUVSN_W324Nxz_.mp4")</f>
        <v/>
      </c>
      <c r="G3011" t="s"/>
      <c r="H3011" t="s"/>
      <c r="I3011" t="s"/>
      <c r="J3011" t="n">
        <v>-0.4588</v>
      </c>
      <c r="K3011" t="n">
        <v>0.13</v>
      </c>
      <c r="L3011" t="n">
        <v>0.87</v>
      </c>
      <c r="M3011" t="n">
        <v>0</v>
      </c>
    </row>
    <row r="3012" spans="1:13">
      <c r="A3012" s="1">
        <f>HYPERLINK("http://www.twitter.com/NathanBLawrence/status/974392092502974465", "974392092502974465")</f>
        <v/>
      </c>
      <c r="B3012" s="2" t="n">
        <v>43174.88138888889</v>
      </c>
      <c r="C3012" t="n">
        <v>0</v>
      </c>
      <c r="D3012" t="n">
        <v>18</v>
      </c>
      <c r="E3012" t="s">
        <v>3023</v>
      </c>
      <c r="F3012">
        <f>HYPERLINK("https://video.twimg.com/amplify_video/974297120047009794/vid/1280x720/mf2dEf8h8gc-GYGa.mp4", "https://video.twimg.com/amplify_video/974297120047009794/vid/1280x720/mf2dEf8h8gc-GYGa.mp4")</f>
        <v/>
      </c>
      <c r="G3012" t="s"/>
      <c r="H3012" t="s"/>
      <c r="I3012" t="s"/>
      <c r="J3012" t="n">
        <v>-0.3412</v>
      </c>
      <c r="K3012" t="n">
        <v>0.095</v>
      </c>
      <c r="L3012" t="n">
        <v>0.905</v>
      </c>
      <c r="M3012" t="n">
        <v>0</v>
      </c>
    </row>
    <row r="3013" spans="1:13">
      <c r="A3013" s="1">
        <f>HYPERLINK("http://www.twitter.com/NathanBLawrence/status/974391944364351490", "974391944364351490")</f>
        <v/>
      </c>
      <c r="B3013" s="2" t="n">
        <v>43174.8809837963</v>
      </c>
      <c r="C3013" t="n">
        <v>0</v>
      </c>
      <c r="D3013" t="n">
        <v>428</v>
      </c>
      <c r="E3013" t="s">
        <v>3024</v>
      </c>
      <c r="F3013" t="s"/>
      <c r="G3013" t="s"/>
      <c r="H3013" t="s"/>
      <c r="I3013" t="s"/>
      <c r="J3013" t="n">
        <v>0.6688</v>
      </c>
      <c r="K3013" t="n">
        <v>0.15</v>
      </c>
      <c r="L3013" t="n">
        <v>0.591</v>
      </c>
      <c r="M3013" t="n">
        <v>0.259</v>
      </c>
    </row>
    <row r="3014" spans="1:13">
      <c r="A3014" s="1">
        <f>HYPERLINK("http://www.twitter.com/NathanBLawrence/status/974391722875785222", "974391722875785222")</f>
        <v/>
      </c>
      <c r="B3014" s="2" t="n">
        <v>43174.88037037037</v>
      </c>
      <c r="C3014" t="n">
        <v>0</v>
      </c>
      <c r="D3014" t="n">
        <v>2450</v>
      </c>
      <c r="E3014" t="s">
        <v>3025</v>
      </c>
      <c r="F3014" t="s"/>
      <c r="G3014" t="s"/>
      <c r="H3014" t="s"/>
      <c r="I3014" t="s"/>
      <c r="J3014" t="n">
        <v>0.3811</v>
      </c>
      <c r="K3014" t="n">
        <v>0</v>
      </c>
      <c r="L3014" t="n">
        <v>0.87</v>
      </c>
      <c r="M3014" t="n">
        <v>0.13</v>
      </c>
    </row>
    <row r="3015" spans="1:13">
      <c r="A3015" s="1">
        <f>HYPERLINK("http://www.twitter.com/NathanBLawrence/status/974391512447537152", "974391512447537152")</f>
        <v/>
      </c>
      <c r="B3015" s="2" t="n">
        <v>43174.87979166667</v>
      </c>
      <c r="C3015" t="n">
        <v>0</v>
      </c>
      <c r="D3015" t="n">
        <v>167</v>
      </c>
      <c r="E3015" t="s">
        <v>3026</v>
      </c>
      <c r="F3015">
        <f>HYPERLINK("https://video.twimg.com/amplify_video/974302746449993728/vid/1280x720/6cCnXFLXMng31fyF.mp4", "https://video.twimg.com/amplify_video/974302746449993728/vid/1280x720/6cCnXFLXMng31fyF.mp4")</f>
        <v/>
      </c>
      <c r="G3015" t="s"/>
      <c r="H3015" t="s"/>
      <c r="I3015" t="s"/>
      <c r="J3015" t="n">
        <v>0.8794999999999999</v>
      </c>
      <c r="K3015" t="n">
        <v>0</v>
      </c>
      <c r="L3015" t="n">
        <v>0.652</v>
      </c>
      <c r="M3015" t="n">
        <v>0.348</v>
      </c>
    </row>
    <row r="3016" spans="1:13">
      <c r="A3016" s="1">
        <f>HYPERLINK("http://www.twitter.com/NathanBLawrence/status/974390282778304512", "974390282778304512")</f>
        <v/>
      </c>
      <c r="B3016" s="2" t="n">
        <v>43174.87640046296</v>
      </c>
      <c r="C3016" t="n">
        <v>0</v>
      </c>
      <c r="D3016" t="n">
        <v>642</v>
      </c>
      <c r="E3016" t="s">
        <v>3027</v>
      </c>
      <c r="F3016">
        <f>HYPERLINK("http://pbs.twimg.com/media/DYVtCFHU0AEa4UM.jpg", "http://pbs.twimg.com/media/DYVtCFHU0AEa4UM.jpg")</f>
        <v/>
      </c>
      <c r="G3016" t="s"/>
      <c r="H3016" t="s"/>
      <c r="I3016" t="s"/>
      <c r="J3016" t="n">
        <v>-0.296</v>
      </c>
      <c r="K3016" t="n">
        <v>0.145</v>
      </c>
      <c r="L3016" t="n">
        <v>0.855</v>
      </c>
      <c r="M3016" t="n">
        <v>0</v>
      </c>
    </row>
    <row r="3017" spans="1:13">
      <c r="A3017" s="1">
        <f>HYPERLINK("http://www.twitter.com/NathanBLawrence/status/974390178851803136", "974390178851803136")</f>
        <v/>
      </c>
      <c r="B3017" s="2" t="n">
        <v>43174.87611111111</v>
      </c>
      <c r="C3017" t="n">
        <v>0</v>
      </c>
      <c r="D3017" t="n">
        <v>44</v>
      </c>
      <c r="E3017" t="s">
        <v>3028</v>
      </c>
      <c r="F3017" t="s"/>
      <c r="G3017" t="s"/>
      <c r="H3017" t="s"/>
      <c r="I3017" t="s"/>
      <c r="J3017" t="n">
        <v>-0.25</v>
      </c>
      <c r="K3017" t="n">
        <v>0.08699999999999999</v>
      </c>
      <c r="L3017" t="n">
        <v>0.913</v>
      </c>
      <c r="M3017" t="n">
        <v>0</v>
      </c>
    </row>
    <row r="3018" spans="1:13">
      <c r="A3018" s="1">
        <f>HYPERLINK("http://www.twitter.com/NathanBLawrence/status/974390091731947520", "974390091731947520")</f>
        <v/>
      </c>
      <c r="B3018" s="2" t="n">
        <v>43174.87586805555</v>
      </c>
      <c r="C3018" t="n">
        <v>0</v>
      </c>
      <c r="D3018" t="n">
        <v>259</v>
      </c>
      <c r="E3018" t="s">
        <v>3029</v>
      </c>
      <c r="F3018" t="s"/>
      <c r="G3018" t="s"/>
      <c r="H3018" t="s"/>
      <c r="I3018" t="s"/>
      <c r="J3018" t="n">
        <v>0</v>
      </c>
      <c r="K3018" t="n">
        <v>0</v>
      </c>
      <c r="L3018" t="n">
        <v>1</v>
      </c>
      <c r="M3018" t="n">
        <v>0</v>
      </c>
    </row>
    <row r="3019" spans="1:13">
      <c r="A3019" s="1">
        <f>HYPERLINK("http://www.twitter.com/NathanBLawrence/status/974390005371195392", "974390005371195392")</f>
        <v/>
      </c>
      <c r="B3019" s="2" t="n">
        <v>43174.87563657408</v>
      </c>
      <c r="C3019" t="n">
        <v>0</v>
      </c>
      <c r="D3019" t="n">
        <v>101</v>
      </c>
      <c r="E3019" t="s">
        <v>3030</v>
      </c>
      <c r="F3019">
        <f>HYPERLINK("https://video.twimg.com/ext_tw_video/974302148451356672/pu/vid/1280x720/-_LDICQsFybn55jy.mp4", "https://video.twimg.com/ext_tw_video/974302148451356672/pu/vid/1280x720/-_LDICQsFybn55jy.mp4")</f>
        <v/>
      </c>
      <c r="G3019" t="s"/>
      <c r="H3019" t="s"/>
      <c r="I3019" t="s"/>
      <c r="J3019" t="n">
        <v>0.2023</v>
      </c>
      <c r="K3019" t="n">
        <v>0.135</v>
      </c>
      <c r="L3019" t="n">
        <v>0.652</v>
      </c>
      <c r="M3019" t="n">
        <v>0.213</v>
      </c>
    </row>
    <row r="3020" spans="1:13">
      <c r="A3020" s="1">
        <f>HYPERLINK("http://www.twitter.com/NathanBLawrence/status/974293550463705088", "974293550463705088")</f>
        <v/>
      </c>
      <c r="B3020" s="2" t="n">
        <v>43174.60946759259</v>
      </c>
      <c r="C3020" t="n">
        <v>0</v>
      </c>
      <c r="D3020" t="n">
        <v>6604</v>
      </c>
      <c r="E3020" t="s">
        <v>3031</v>
      </c>
      <c r="F3020" t="s"/>
      <c r="G3020" t="s"/>
      <c r="H3020" t="s"/>
      <c r="I3020" t="s"/>
      <c r="J3020" t="n">
        <v>-0.4939</v>
      </c>
      <c r="K3020" t="n">
        <v>0.132</v>
      </c>
      <c r="L3020" t="n">
        <v>0.868</v>
      </c>
      <c r="M3020" t="n">
        <v>0</v>
      </c>
    </row>
    <row r="3021" spans="1:13">
      <c r="A3021" s="1">
        <f>HYPERLINK("http://www.twitter.com/NathanBLawrence/status/974144913779634176", "974144913779634176")</f>
        <v/>
      </c>
      <c r="B3021" s="2" t="n">
        <v>43174.19930555556</v>
      </c>
      <c r="C3021" t="n">
        <v>0</v>
      </c>
      <c r="D3021" t="n">
        <v>37</v>
      </c>
      <c r="E3021" t="s">
        <v>3032</v>
      </c>
      <c r="F3021" t="s"/>
      <c r="G3021" t="s"/>
      <c r="H3021" t="s"/>
      <c r="I3021" t="s"/>
      <c r="J3021" t="n">
        <v>0.7506</v>
      </c>
      <c r="K3021" t="n">
        <v>0</v>
      </c>
      <c r="L3021" t="n">
        <v>0.72</v>
      </c>
      <c r="M3021" t="n">
        <v>0.28</v>
      </c>
    </row>
    <row r="3022" spans="1:13">
      <c r="A3022" s="1">
        <f>HYPERLINK("http://www.twitter.com/NathanBLawrence/status/974142281992335360", "974142281992335360")</f>
        <v/>
      </c>
      <c r="B3022" s="2" t="n">
        <v>43174.19204861111</v>
      </c>
      <c r="C3022" t="n">
        <v>0</v>
      </c>
      <c r="D3022" t="n">
        <v>3</v>
      </c>
      <c r="E3022" t="s">
        <v>3033</v>
      </c>
      <c r="F3022" t="s"/>
      <c r="G3022" t="s"/>
      <c r="H3022" t="s"/>
      <c r="I3022" t="s"/>
      <c r="J3022" t="n">
        <v>0.4738</v>
      </c>
      <c r="K3022" t="n">
        <v>0</v>
      </c>
      <c r="L3022" t="n">
        <v>0.661</v>
      </c>
      <c r="M3022" t="n">
        <v>0.339</v>
      </c>
    </row>
    <row r="3023" spans="1:13">
      <c r="A3023" s="1">
        <f>HYPERLINK("http://www.twitter.com/NathanBLawrence/status/974142026559184896", "974142026559184896")</f>
        <v/>
      </c>
      <c r="B3023" s="2" t="n">
        <v>43174.1913425926</v>
      </c>
      <c r="C3023" t="n">
        <v>0</v>
      </c>
      <c r="D3023" t="n">
        <v>1132</v>
      </c>
      <c r="E3023" t="s">
        <v>3034</v>
      </c>
      <c r="F3023">
        <f>HYPERLINK("http://pbs.twimg.com/media/DYSY2uRX4AA7P74.jpg", "http://pbs.twimg.com/media/DYSY2uRX4AA7P74.jpg")</f>
        <v/>
      </c>
      <c r="G3023" t="s"/>
      <c r="H3023" t="s"/>
      <c r="I3023" t="s"/>
      <c r="J3023" t="n">
        <v>0.4215</v>
      </c>
      <c r="K3023" t="n">
        <v>0</v>
      </c>
      <c r="L3023" t="n">
        <v>0.641</v>
      </c>
      <c r="M3023" t="n">
        <v>0.359</v>
      </c>
    </row>
    <row r="3024" spans="1:13">
      <c r="A3024" s="1">
        <f>HYPERLINK("http://www.twitter.com/NathanBLawrence/status/974141671901417477", "974141671901417477")</f>
        <v/>
      </c>
      <c r="B3024" s="2" t="n">
        <v>43174.1903587963</v>
      </c>
      <c r="C3024" t="n">
        <v>0</v>
      </c>
      <c r="D3024" t="n">
        <v>1</v>
      </c>
      <c r="E3024" t="s">
        <v>3035</v>
      </c>
      <c r="F3024">
        <f>HYPERLINK("http://pbs.twimg.com/media/DYTXh8JVwAA94za.jpg", "http://pbs.twimg.com/media/DYTXh8JVwAA94za.jpg")</f>
        <v/>
      </c>
      <c r="G3024" t="s"/>
      <c r="H3024" t="s"/>
      <c r="I3024" t="s"/>
      <c r="J3024" t="n">
        <v>0.2023</v>
      </c>
      <c r="K3024" t="n">
        <v>0</v>
      </c>
      <c r="L3024" t="n">
        <v>0.886</v>
      </c>
      <c r="M3024" t="n">
        <v>0.114</v>
      </c>
    </row>
    <row r="3025" spans="1:13">
      <c r="A3025" s="1">
        <f>HYPERLINK("http://www.twitter.com/NathanBLawrence/status/974141185492226048", "974141185492226048")</f>
        <v/>
      </c>
      <c r="B3025" s="2" t="n">
        <v>43174.1890162037</v>
      </c>
      <c r="C3025" t="n">
        <v>0</v>
      </c>
      <c r="D3025" t="n">
        <v>805</v>
      </c>
      <c r="E3025" t="s">
        <v>3036</v>
      </c>
      <c r="F3025" t="s"/>
      <c r="G3025" t="s"/>
      <c r="H3025" t="s"/>
      <c r="I3025" t="s"/>
      <c r="J3025" t="n">
        <v>0</v>
      </c>
      <c r="K3025" t="n">
        <v>0</v>
      </c>
      <c r="L3025" t="n">
        <v>1</v>
      </c>
      <c r="M3025" t="n">
        <v>0</v>
      </c>
    </row>
    <row r="3026" spans="1:13">
      <c r="A3026" s="1">
        <f>HYPERLINK("http://www.twitter.com/NathanBLawrence/status/974139768673103874", "974139768673103874")</f>
        <v/>
      </c>
      <c r="B3026" s="2" t="n">
        <v>43174.18511574074</v>
      </c>
      <c r="C3026" t="n">
        <v>0</v>
      </c>
      <c r="D3026" t="n">
        <v>182</v>
      </c>
      <c r="E3026" t="s">
        <v>3037</v>
      </c>
      <c r="F3026">
        <f>HYPERLINK("http://pbs.twimg.com/media/DYLpcNFU8AEA_tT.jpg", "http://pbs.twimg.com/media/DYLpcNFU8AEA_tT.jpg")</f>
        <v/>
      </c>
      <c r="G3026" t="s"/>
      <c r="H3026" t="s"/>
      <c r="I3026" t="s"/>
      <c r="J3026" t="n">
        <v>0</v>
      </c>
      <c r="K3026" t="n">
        <v>0</v>
      </c>
      <c r="L3026" t="n">
        <v>1</v>
      </c>
      <c r="M3026" t="n">
        <v>0</v>
      </c>
    </row>
    <row r="3027" spans="1:13">
      <c r="A3027" s="1">
        <f>HYPERLINK("http://www.twitter.com/NathanBLawrence/status/974138100233506816", "974138100233506816")</f>
        <v/>
      </c>
      <c r="B3027" s="2" t="n">
        <v>43174.18050925926</v>
      </c>
      <c r="C3027" t="n">
        <v>0</v>
      </c>
      <c r="D3027" t="n">
        <v>94</v>
      </c>
      <c r="E3027" t="s">
        <v>3038</v>
      </c>
      <c r="F3027" t="s"/>
      <c r="G3027" t="s"/>
      <c r="H3027" t="s"/>
      <c r="I3027" t="s"/>
      <c r="J3027" t="n">
        <v>0</v>
      </c>
      <c r="K3027" t="n">
        <v>0</v>
      </c>
      <c r="L3027" t="n">
        <v>1</v>
      </c>
      <c r="M3027" t="n">
        <v>0</v>
      </c>
    </row>
    <row r="3028" spans="1:13">
      <c r="A3028" s="1">
        <f>HYPERLINK("http://www.twitter.com/NathanBLawrence/status/974136640192110593", "974136640192110593")</f>
        <v/>
      </c>
      <c r="B3028" s="2" t="n">
        <v>43174.17648148148</v>
      </c>
      <c r="C3028" t="n">
        <v>0</v>
      </c>
      <c r="D3028" t="n">
        <v>1479</v>
      </c>
      <c r="E3028" t="s">
        <v>3039</v>
      </c>
      <c r="F3028">
        <f>HYPERLINK("http://pbs.twimg.com/media/DYTRqwNWkAEneAJ.jpg", "http://pbs.twimg.com/media/DYTRqwNWkAEneAJ.jpg")</f>
        <v/>
      </c>
      <c r="G3028" t="s"/>
      <c r="H3028" t="s"/>
      <c r="I3028" t="s"/>
      <c r="J3028" t="n">
        <v>0.296</v>
      </c>
      <c r="K3028" t="n">
        <v>0</v>
      </c>
      <c r="L3028" t="n">
        <v>0.919</v>
      </c>
      <c r="M3028" t="n">
        <v>0.081</v>
      </c>
    </row>
    <row r="3029" spans="1:13">
      <c r="A3029" s="1">
        <f>HYPERLINK("http://www.twitter.com/NathanBLawrence/status/974135718338588672", "974135718338588672")</f>
        <v/>
      </c>
      <c r="B3029" s="2" t="n">
        <v>43174.17393518519</v>
      </c>
      <c r="C3029" t="n">
        <v>0</v>
      </c>
      <c r="D3029" t="n">
        <v>606</v>
      </c>
      <c r="E3029" t="s">
        <v>3040</v>
      </c>
      <c r="F3029">
        <f>HYPERLINK("http://pbs.twimg.com/media/DYTP_QSXUAAZWs8.jpg", "http://pbs.twimg.com/media/DYTP_QSXUAAZWs8.jpg")</f>
        <v/>
      </c>
      <c r="G3029" t="s"/>
      <c r="H3029" t="s"/>
      <c r="I3029" t="s"/>
      <c r="J3029" t="n">
        <v>0</v>
      </c>
      <c r="K3029" t="n">
        <v>0</v>
      </c>
      <c r="L3029" t="n">
        <v>1</v>
      </c>
      <c r="M3029" t="n">
        <v>0</v>
      </c>
    </row>
    <row r="3030" spans="1:13">
      <c r="A3030" s="1">
        <f>HYPERLINK("http://www.twitter.com/NathanBLawrence/status/974132331933044737", "974132331933044737")</f>
        <v/>
      </c>
      <c r="B3030" s="2" t="n">
        <v>43174.16459490741</v>
      </c>
      <c r="C3030" t="n">
        <v>0</v>
      </c>
      <c r="D3030" t="n">
        <v>86</v>
      </c>
      <c r="E3030" t="s">
        <v>3041</v>
      </c>
      <c r="F3030">
        <f>HYPERLINK("https://video.twimg.com/ext_tw_video/974123705692385280/pu/vid/640x360/yUG5R_oDkA8Mgv9A.mp4", "https://video.twimg.com/ext_tw_video/974123705692385280/pu/vid/640x360/yUG5R_oDkA8Mgv9A.mp4")</f>
        <v/>
      </c>
      <c r="G3030" t="s"/>
      <c r="H3030" t="s"/>
      <c r="I3030" t="s"/>
      <c r="J3030" t="n">
        <v>0</v>
      </c>
      <c r="K3030" t="n">
        <v>0</v>
      </c>
      <c r="L3030" t="n">
        <v>1</v>
      </c>
      <c r="M3030" t="n">
        <v>0</v>
      </c>
    </row>
    <row r="3031" spans="1:13">
      <c r="A3031" s="1">
        <f>HYPERLINK("http://www.twitter.com/NathanBLawrence/status/974077856811757568", "974077856811757568")</f>
        <v/>
      </c>
      <c r="B3031" s="2" t="n">
        <v>43174.01427083334</v>
      </c>
      <c r="C3031" t="n">
        <v>0</v>
      </c>
      <c r="D3031" t="n">
        <v>19850</v>
      </c>
      <c r="E3031" t="s">
        <v>3042</v>
      </c>
      <c r="F3031" t="s"/>
      <c r="G3031" t="s"/>
      <c r="H3031" t="s"/>
      <c r="I3031" t="s"/>
      <c r="J3031" t="n">
        <v>-0.694</v>
      </c>
      <c r="K3031" t="n">
        <v>0.24</v>
      </c>
      <c r="L3031" t="n">
        <v>0.6820000000000001</v>
      </c>
      <c r="M3031" t="n">
        <v>0.078</v>
      </c>
    </row>
    <row r="3032" spans="1:13">
      <c r="A3032" s="1">
        <f>HYPERLINK("http://www.twitter.com/NathanBLawrence/status/974074388600578048", "974074388600578048")</f>
        <v/>
      </c>
      <c r="B3032" s="2" t="n">
        <v>43174.00469907407</v>
      </c>
      <c r="C3032" t="n">
        <v>0</v>
      </c>
      <c r="D3032" t="n">
        <v>173</v>
      </c>
      <c r="E3032" t="s">
        <v>3043</v>
      </c>
      <c r="F3032" t="s"/>
      <c r="G3032" t="s"/>
      <c r="H3032" t="s"/>
      <c r="I3032" t="s"/>
      <c r="J3032" t="n">
        <v>0</v>
      </c>
      <c r="K3032" t="n">
        <v>0</v>
      </c>
      <c r="L3032" t="n">
        <v>1</v>
      </c>
      <c r="M3032" t="n">
        <v>0</v>
      </c>
    </row>
    <row r="3033" spans="1:13">
      <c r="A3033" s="1">
        <f>HYPERLINK("http://www.twitter.com/NathanBLawrence/status/974073851926794240", "974073851926794240")</f>
        <v/>
      </c>
      <c r="B3033" s="2" t="n">
        <v>43174.0032175926</v>
      </c>
      <c r="C3033" t="n">
        <v>0</v>
      </c>
      <c r="D3033" t="n">
        <v>390</v>
      </c>
      <c r="E3033" t="s">
        <v>3044</v>
      </c>
      <c r="F3033" t="s"/>
      <c r="G3033" t="s"/>
      <c r="H3033" t="s"/>
      <c r="I3033" t="s"/>
      <c r="J3033" t="n">
        <v>0.1027</v>
      </c>
      <c r="K3033" t="n">
        <v>0.14</v>
      </c>
      <c r="L3033" t="n">
        <v>0.698</v>
      </c>
      <c r="M3033" t="n">
        <v>0.163</v>
      </c>
    </row>
    <row r="3034" spans="1:13">
      <c r="A3034" s="1">
        <f>HYPERLINK("http://www.twitter.com/NathanBLawrence/status/974073375713824774", "974073375713824774")</f>
        <v/>
      </c>
      <c r="B3034" s="2" t="n">
        <v>43174.00189814815</v>
      </c>
      <c r="C3034" t="n">
        <v>0</v>
      </c>
      <c r="D3034" t="n">
        <v>365</v>
      </c>
      <c r="E3034" t="s">
        <v>3045</v>
      </c>
      <c r="F3034" t="s"/>
      <c r="G3034" t="s"/>
      <c r="H3034" t="s"/>
      <c r="I3034" t="s"/>
      <c r="J3034" t="n">
        <v>-0.2677</v>
      </c>
      <c r="K3034" t="n">
        <v>0.115</v>
      </c>
      <c r="L3034" t="n">
        <v>0.885</v>
      </c>
      <c r="M3034" t="n">
        <v>0</v>
      </c>
    </row>
    <row r="3035" spans="1:13">
      <c r="A3035" s="1">
        <f>HYPERLINK("http://www.twitter.com/NathanBLawrence/status/974073085208006658", "974073085208006658")</f>
        <v/>
      </c>
      <c r="B3035" s="2" t="n">
        <v>43174.00109953704</v>
      </c>
      <c r="C3035" t="n">
        <v>0</v>
      </c>
      <c r="D3035" t="n">
        <v>614</v>
      </c>
      <c r="E3035" t="s">
        <v>3046</v>
      </c>
      <c r="F3035">
        <f>HYPERLINK("https://video.twimg.com/amplify_video/973980694014767106/vid/1280x720/J34vOHqioWs-wCUL.mp4", "https://video.twimg.com/amplify_video/973980694014767106/vid/1280x720/J34vOHqioWs-wCUL.mp4")</f>
        <v/>
      </c>
      <c r="G3035" t="s"/>
      <c r="H3035" t="s"/>
      <c r="I3035" t="s"/>
      <c r="J3035" t="n">
        <v>-0.34</v>
      </c>
      <c r="K3035" t="n">
        <v>0.13</v>
      </c>
      <c r="L3035" t="n">
        <v>0.87</v>
      </c>
      <c r="M3035" t="n">
        <v>0</v>
      </c>
    </row>
    <row r="3036" spans="1:13">
      <c r="A3036" s="1">
        <f>HYPERLINK("http://www.twitter.com/NathanBLawrence/status/974072874091929601", "974072874091929601")</f>
        <v/>
      </c>
      <c r="B3036" s="2" t="n">
        <v>43174.00052083333</v>
      </c>
      <c r="C3036" t="n">
        <v>0</v>
      </c>
      <c r="D3036" t="n">
        <v>164</v>
      </c>
      <c r="E3036" t="s">
        <v>3047</v>
      </c>
      <c r="F3036">
        <f>HYPERLINK("https://video.twimg.com/amplify_video/974039361036615681/vid/1280x720/67PNURGxtPe4PUK0.mp4", "https://video.twimg.com/amplify_video/974039361036615681/vid/1280x720/67PNURGxtPe4PUK0.mp4")</f>
        <v/>
      </c>
      <c r="G3036" t="s"/>
      <c r="H3036" t="s"/>
      <c r="I3036" t="s"/>
      <c r="J3036" t="n">
        <v>0.4019</v>
      </c>
      <c r="K3036" t="n">
        <v>0</v>
      </c>
      <c r="L3036" t="n">
        <v>0.863</v>
      </c>
      <c r="M3036" t="n">
        <v>0.137</v>
      </c>
    </row>
    <row r="3037" spans="1:13">
      <c r="A3037" s="1">
        <f>HYPERLINK("http://www.twitter.com/NathanBLawrence/status/974072754575167493", "974072754575167493")</f>
        <v/>
      </c>
      <c r="B3037" s="2" t="n">
        <v>43174.00018518518</v>
      </c>
      <c r="C3037" t="n">
        <v>0</v>
      </c>
      <c r="D3037" t="n">
        <v>1276</v>
      </c>
      <c r="E3037" t="s">
        <v>3048</v>
      </c>
      <c r="F3037">
        <f>HYPERLINK("https://video.twimg.com/amplify_video/974059856318599168/vid/1280x720/2b3PBAOJJPfI-VyT.mp4", "https://video.twimg.com/amplify_video/974059856318599168/vid/1280x720/2b3PBAOJJPfI-VyT.mp4")</f>
        <v/>
      </c>
      <c r="G3037" t="s"/>
      <c r="H3037" t="s"/>
      <c r="I3037" t="s"/>
      <c r="J3037" t="n">
        <v>-0.3818</v>
      </c>
      <c r="K3037" t="n">
        <v>0.115</v>
      </c>
      <c r="L3037" t="n">
        <v>0.885</v>
      </c>
      <c r="M3037" t="n">
        <v>0</v>
      </c>
    </row>
    <row r="3038" spans="1:13">
      <c r="A3038" s="1">
        <f>HYPERLINK("http://www.twitter.com/NathanBLawrence/status/973936323169083393", "973936323169083393")</f>
        <v/>
      </c>
      <c r="B3038" s="2" t="n">
        <v>43173.62370370371</v>
      </c>
      <c r="C3038" t="n">
        <v>0</v>
      </c>
      <c r="D3038" t="n">
        <v>613</v>
      </c>
      <c r="E3038" t="s">
        <v>3049</v>
      </c>
      <c r="F3038" t="s"/>
      <c r="G3038" t="s"/>
      <c r="H3038" t="s"/>
      <c r="I3038" t="s"/>
      <c r="J3038" t="n">
        <v>0</v>
      </c>
      <c r="K3038" t="n">
        <v>0</v>
      </c>
      <c r="L3038" t="n">
        <v>1</v>
      </c>
      <c r="M3038" t="n">
        <v>0</v>
      </c>
    </row>
    <row r="3039" spans="1:13">
      <c r="A3039" s="1">
        <f>HYPERLINK("http://www.twitter.com/NathanBLawrence/status/973788538012602368", "973788538012602368")</f>
        <v/>
      </c>
      <c r="B3039" s="2" t="n">
        <v>43173.21590277777</v>
      </c>
      <c r="C3039" t="n">
        <v>0</v>
      </c>
      <c r="D3039" t="n">
        <v>244</v>
      </c>
      <c r="E3039" t="s">
        <v>3050</v>
      </c>
      <c r="F3039">
        <f>HYPERLINK("http://pbs.twimg.com/media/DYIzT8kVoAAYvhR.jpg", "http://pbs.twimg.com/media/DYIzT8kVoAAYvhR.jpg")</f>
        <v/>
      </c>
      <c r="G3039" t="s"/>
      <c r="H3039" t="s"/>
      <c r="I3039" t="s"/>
      <c r="J3039" t="n">
        <v>0</v>
      </c>
      <c r="K3039" t="n">
        <v>0</v>
      </c>
      <c r="L3039" t="n">
        <v>1</v>
      </c>
      <c r="M3039" t="n">
        <v>0</v>
      </c>
    </row>
    <row r="3040" spans="1:13">
      <c r="A3040" s="1">
        <f>HYPERLINK("http://www.twitter.com/NathanBLawrence/status/973788202845786113", "973788202845786113")</f>
        <v/>
      </c>
      <c r="B3040" s="2" t="n">
        <v>43173.21497685185</v>
      </c>
      <c r="C3040" t="n">
        <v>0</v>
      </c>
      <c r="D3040" t="n">
        <v>2</v>
      </c>
      <c r="E3040" t="s">
        <v>3051</v>
      </c>
      <c r="F3040">
        <f>HYPERLINK("http://pbs.twimg.com/media/DYNEyFNVQAAF7Kr.jpg", "http://pbs.twimg.com/media/DYNEyFNVQAAF7Kr.jpg")</f>
        <v/>
      </c>
      <c r="G3040" t="s"/>
      <c r="H3040" t="s"/>
      <c r="I3040" t="s"/>
      <c r="J3040" t="n">
        <v>0</v>
      </c>
      <c r="K3040" t="n">
        <v>0.232</v>
      </c>
      <c r="L3040" t="n">
        <v>0.537</v>
      </c>
      <c r="M3040" t="n">
        <v>0.232</v>
      </c>
    </row>
    <row r="3041" spans="1:13">
      <c r="A3041" s="1">
        <f>HYPERLINK("http://www.twitter.com/NathanBLawrence/status/973779629831086080", "973779629831086080")</f>
        <v/>
      </c>
      <c r="B3041" s="2" t="n">
        <v>43173.19131944444</v>
      </c>
      <c r="C3041" t="n">
        <v>0</v>
      </c>
      <c r="D3041" t="n">
        <v>1</v>
      </c>
      <c r="E3041" t="s">
        <v>3052</v>
      </c>
      <c r="F3041" t="s"/>
      <c r="G3041" t="s"/>
      <c r="H3041" t="s"/>
      <c r="I3041" t="s"/>
      <c r="J3041" t="n">
        <v>0.25</v>
      </c>
      <c r="K3041" t="n">
        <v>0.09</v>
      </c>
      <c r="L3041" t="n">
        <v>0.779</v>
      </c>
      <c r="M3041" t="n">
        <v>0.131</v>
      </c>
    </row>
    <row r="3042" spans="1:13">
      <c r="A3042" s="1">
        <f>HYPERLINK("http://www.twitter.com/NathanBLawrence/status/973777649310068736", "973777649310068736")</f>
        <v/>
      </c>
      <c r="B3042" s="2" t="n">
        <v>43173.18585648148</v>
      </c>
      <c r="C3042" t="n">
        <v>0</v>
      </c>
      <c r="D3042" t="n">
        <v>1</v>
      </c>
      <c r="E3042" t="s">
        <v>3053</v>
      </c>
      <c r="F3042" t="s"/>
      <c r="G3042" t="s"/>
      <c r="H3042" t="s"/>
      <c r="I3042" t="s"/>
      <c r="J3042" t="n">
        <v>0</v>
      </c>
      <c r="K3042" t="n">
        <v>0</v>
      </c>
      <c r="L3042" t="n">
        <v>1</v>
      </c>
      <c r="M3042" t="n">
        <v>0</v>
      </c>
    </row>
    <row r="3043" spans="1:13">
      <c r="A3043" s="1">
        <f>HYPERLINK("http://www.twitter.com/NathanBLawrence/status/973777140473847808", "973777140473847808")</f>
        <v/>
      </c>
      <c r="B3043" s="2" t="n">
        <v>43173.18444444444</v>
      </c>
      <c r="C3043" t="n">
        <v>0</v>
      </c>
      <c r="D3043" t="n">
        <v>1</v>
      </c>
      <c r="E3043" t="s">
        <v>3054</v>
      </c>
      <c r="F3043" t="s"/>
      <c r="G3043" t="s"/>
      <c r="H3043" t="s"/>
      <c r="I3043" t="s"/>
      <c r="J3043" t="n">
        <v>0</v>
      </c>
      <c r="K3043" t="n">
        <v>0</v>
      </c>
      <c r="L3043" t="n">
        <v>1</v>
      </c>
      <c r="M3043" t="n">
        <v>0</v>
      </c>
    </row>
    <row r="3044" spans="1:13">
      <c r="A3044" s="1">
        <f>HYPERLINK("http://www.twitter.com/NathanBLawrence/status/973776414305607680", "973776414305607680")</f>
        <v/>
      </c>
      <c r="B3044" s="2" t="n">
        <v>43173.18244212963</v>
      </c>
      <c r="C3044" t="n">
        <v>0</v>
      </c>
      <c r="D3044" t="n">
        <v>741</v>
      </c>
      <c r="E3044" t="s">
        <v>3055</v>
      </c>
      <c r="F3044" t="s"/>
      <c r="G3044" t="s"/>
      <c r="H3044" t="s"/>
      <c r="I3044" t="s"/>
      <c r="J3044" t="n">
        <v>0</v>
      </c>
      <c r="K3044" t="n">
        <v>0</v>
      </c>
      <c r="L3044" t="n">
        <v>1</v>
      </c>
      <c r="M3044" t="n">
        <v>0</v>
      </c>
    </row>
    <row r="3045" spans="1:13">
      <c r="A3045" s="1">
        <f>HYPERLINK("http://www.twitter.com/NathanBLawrence/status/973773475004502018", "973773475004502018")</f>
        <v/>
      </c>
      <c r="B3045" s="2" t="n">
        <v>43173.1743287037</v>
      </c>
      <c r="C3045" t="n">
        <v>0</v>
      </c>
      <c r="D3045" t="n">
        <v>869</v>
      </c>
      <c r="E3045" t="s">
        <v>3056</v>
      </c>
      <c r="F3045" t="s"/>
      <c r="G3045" t="s"/>
      <c r="H3045" t="s"/>
      <c r="I3045" t="s"/>
      <c r="J3045" t="n">
        <v>-0.7297</v>
      </c>
      <c r="K3045" t="n">
        <v>0.277</v>
      </c>
      <c r="L3045" t="n">
        <v>0.723</v>
      </c>
      <c r="M3045" t="n">
        <v>0</v>
      </c>
    </row>
    <row r="3046" spans="1:13">
      <c r="A3046" s="1">
        <f>HYPERLINK("http://www.twitter.com/NathanBLawrence/status/973772135817728000", "973772135817728000")</f>
        <v/>
      </c>
      <c r="B3046" s="2" t="n">
        <v>43173.17063657408</v>
      </c>
      <c r="C3046" t="n">
        <v>0</v>
      </c>
      <c r="D3046" t="n">
        <v>37</v>
      </c>
      <c r="E3046" t="s">
        <v>3057</v>
      </c>
      <c r="F3046">
        <f>HYPERLINK("https://video.twimg.com/amplify_video/973765634709475328/vid/1280x720/9L36PB5qtomJD5uZ.mp4", "https://video.twimg.com/amplify_video/973765634709475328/vid/1280x720/9L36PB5qtomJD5uZ.mp4")</f>
        <v/>
      </c>
      <c r="G3046" t="s"/>
      <c r="H3046" t="s"/>
      <c r="I3046" t="s"/>
      <c r="J3046" t="n">
        <v>0.8834</v>
      </c>
      <c r="K3046" t="n">
        <v>0</v>
      </c>
      <c r="L3046" t="n">
        <v>0.636</v>
      </c>
      <c r="M3046" t="n">
        <v>0.364</v>
      </c>
    </row>
    <row r="3047" spans="1:13">
      <c r="A3047" s="1">
        <f>HYPERLINK("http://www.twitter.com/NathanBLawrence/status/973771759701897216", "973771759701897216")</f>
        <v/>
      </c>
      <c r="B3047" s="2" t="n">
        <v>43173.16959490741</v>
      </c>
      <c r="C3047" t="n">
        <v>0</v>
      </c>
      <c r="D3047" t="n">
        <v>4</v>
      </c>
      <c r="E3047" t="s">
        <v>3058</v>
      </c>
      <c r="F3047" t="s"/>
      <c r="G3047" t="s"/>
      <c r="H3047" t="s"/>
      <c r="I3047" t="s"/>
      <c r="J3047" t="n">
        <v>-0.34</v>
      </c>
      <c r="K3047" t="n">
        <v>0.13</v>
      </c>
      <c r="L3047" t="n">
        <v>0.87</v>
      </c>
      <c r="M3047" t="n">
        <v>0</v>
      </c>
    </row>
    <row r="3048" spans="1:13">
      <c r="A3048" s="1">
        <f>HYPERLINK("http://www.twitter.com/NathanBLawrence/status/973770568528023552", "973770568528023552")</f>
        <v/>
      </c>
      <c r="B3048" s="2" t="n">
        <v>43173.16630787037</v>
      </c>
      <c r="C3048" t="n">
        <v>0</v>
      </c>
      <c r="D3048" t="n">
        <v>2084</v>
      </c>
      <c r="E3048" t="s">
        <v>3059</v>
      </c>
      <c r="F3048">
        <f>HYPERLINK("http://pbs.twimg.com/media/DYOGmpqWkAAJ4Hc.jpg", "http://pbs.twimg.com/media/DYOGmpqWkAAJ4Hc.jpg")</f>
        <v/>
      </c>
      <c r="G3048" t="s"/>
      <c r="H3048" t="s"/>
      <c r="I3048" t="s"/>
      <c r="J3048" t="n">
        <v>0.8398</v>
      </c>
      <c r="K3048" t="n">
        <v>0</v>
      </c>
      <c r="L3048" t="n">
        <v>0.704</v>
      </c>
      <c r="M3048" t="n">
        <v>0.296</v>
      </c>
    </row>
    <row r="3049" spans="1:13">
      <c r="A3049" s="1">
        <f>HYPERLINK("http://www.twitter.com/NathanBLawrence/status/973766349955715073", "973766349955715073")</f>
        <v/>
      </c>
      <c r="B3049" s="2" t="n">
        <v>43173.15467592593</v>
      </c>
      <c r="C3049" t="n">
        <v>0</v>
      </c>
      <c r="D3049" t="n">
        <v>2331</v>
      </c>
      <c r="E3049" t="s">
        <v>3060</v>
      </c>
      <c r="F3049" t="s"/>
      <c r="G3049" t="s"/>
      <c r="H3049" t="s"/>
      <c r="I3049" t="s"/>
      <c r="J3049" t="n">
        <v>0.3182</v>
      </c>
      <c r="K3049" t="n">
        <v>0</v>
      </c>
      <c r="L3049" t="n">
        <v>0.897</v>
      </c>
      <c r="M3049" t="n">
        <v>0.103</v>
      </c>
    </row>
    <row r="3050" spans="1:13">
      <c r="A3050" s="1">
        <f>HYPERLINK("http://www.twitter.com/NathanBLawrence/status/973753296702885888", "973753296702885888")</f>
        <v/>
      </c>
      <c r="B3050" s="2" t="n">
        <v>43173.11865740741</v>
      </c>
      <c r="C3050" t="n">
        <v>0</v>
      </c>
      <c r="D3050" t="n">
        <v>18871</v>
      </c>
      <c r="E3050" t="s">
        <v>3061</v>
      </c>
      <c r="F3050">
        <f>HYPERLINK("https://video.twimg.com/ext_tw_video/973718875647787009/pu/vid/318x180/b6NIm0V8bgB8dVld.mp4", "https://video.twimg.com/ext_tw_video/973718875647787009/pu/vid/318x180/b6NIm0V8bgB8dVld.mp4")</f>
        <v/>
      </c>
      <c r="G3050" t="s"/>
      <c r="H3050" t="s"/>
      <c r="I3050" t="s"/>
      <c r="J3050" t="n">
        <v>0.9506</v>
      </c>
      <c r="K3050" t="n">
        <v>0</v>
      </c>
      <c r="L3050" t="n">
        <v>0.488</v>
      </c>
      <c r="M3050" t="n">
        <v>0.512</v>
      </c>
    </row>
    <row r="3051" spans="1:13">
      <c r="A3051" s="1">
        <f>HYPERLINK("http://www.twitter.com/NathanBLawrence/status/973752966791532544", "973752966791532544")</f>
        <v/>
      </c>
      <c r="B3051" s="2" t="n">
        <v>43173.11774305555</v>
      </c>
      <c r="C3051" t="n">
        <v>0</v>
      </c>
      <c r="D3051" t="n">
        <v>246</v>
      </c>
      <c r="E3051" t="s">
        <v>3062</v>
      </c>
      <c r="F3051">
        <f>HYPERLINK("http://pbs.twimg.com/media/DYN12WGUQAAURAz.jpg", "http://pbs.twimg.com/media/DYN12WGUQAAURAz.jpg")</f>
        <v/>
      </c>
      <c r="G3051" t="s"/>
      <c r="H3051" t="s"/>
      <c r="I3051" t="s"/>
      <c r="J3051" t="n">
        <v>0.4019</v>
      </c>
      <c r="K3051" t="n">
        <v>0</v>
      </c>
      <c r="L3051" t="n">
        <v>0.838</v>
      </c>
      <c r="M3051" t="n">
        <v>0.162</v>
      </c>
    </row>
    <row r="3052" spans="1:13">
      <c r="A3052" s="1">
        <f>HYPERLINK("http://www.twitter.com/NathanBLawrence/status/973748432895700992", "973748432895700992")</f>
        <v/>
      </c>
      <c r="B3052" s="2" t="n">
        <v>43173.10523148148</v>
      </c>
      <c r="C3052" t="n">
        <v>0</v>
      </c>
      <c r="D3052" t="n">
        <v>181</v>
      </c>
      <c r="E3052" t="s">
        <v>3063</v>
      </c>
      <c r="F3052">
        <f>HYPERLINK("http://pbs.twimg.com/media/DXLhmuaVQAA2Ojo.jpg", "http://pbs.twimg.com/media/DXLhmuaVQAA2Ojo.jpg")</f>
        <v/>
      </c>
      <c r="G3052" t="s"/>
      <c r="H3052" t="s"/>
      <c r="I3052" t="s"/>
      <c r="J3052" t="n">
        <v>0</v>
      </c>
      <c r="K3052" t="n">
        <v>0</v>
      </c>
      <c r="L3052" t="n">
        <v>1</v>
      </c>
      <c r="M3052" t="n">
        <v>0</v>
      </c>
    </row>
    <row r="3053" spans="1:13">
      <c r="A3053" s="1">
        <f>HYPERLINK("http://www.twitter.com/NathanBLawrence/status/973747960239534081", "973747960239534081")</f>
        <v/>
      </c>
      <c r="B3053" s="2" t="n">
        <v>43173.10392361111</v>
      </c>
      <c r="C3053" t="n">
        <v>0</v>
      </c>
      <c r="D3053" t="n">
        <v>646</v>
      </c>
      <c r="E3053" t="s">
        <v>3064</v>
      </c>
      <c r="F3053">
        <f>HYPERLINK("http://pbs.twimg.com/media/DYNSacVVMAAhS63.jpg", "http://pbs.twimg.com/media/DYNSacVVMAAhS63.jpg")</f>
        <v/>
      </c>
      <c r="G3053" t="s"/>
      <c r="H3053" t="s"/>
      <c r="I3053" t="s"/>
      <c r="J3053" t="n">
        <v>-0.223</v>
      </c>
      <c r="K3053" t="n">
        <v>0.213</v>
      </c>
      <c r="L3053" t="n">
        <v>0.655</v>
      </c>
      <c r="M3053" t="n">
        <v>0.131</v>
      </c>
    </row>
    <row r="3054" spans="1:13">
      <c r="A3054" s="1">
        <f>HYPERLINK("http://www.twitter.com/NathanBLawrence/status/973747779980922881", "973747779980922881")</f>
        <v/>
      </c>
      <c r="B3054" s="2" t="n">
        <v>43173.10342592592</v>
      </c>
      <c r="C3054" t="n">
        <v>0</v>
      </c>
      <c r="D3054" t="n">
        <v>203</v>
      </c>
      <c r="E3054" t="s">
        <v>3065</v>
      </c>
      <c r="F3054" t="s"/>
      <c r="G3054" t="s"/>
      <c r="H3054" t="s"/>
      <c r="I3054" t="s"/>
      <c r="J3054" t="n">
        <v>0.3595</v>
      </c>
      <c r="K3054" t="n">
        <v>0</v>
      </c>
      <c r="L3054" t="n">
        <v>0.894</v>
      </c>
      <c r="M3054" t="n">
        <v>0.106</v>
      </c>
    </row>
    <row r="3055" spans="1:13">
      <c r="A3055" s="1">
        <f>HYPERLINK("http://www.twitter.com/NathanBLawrence/status/973745832087490562", "973745832087490562")</f>
        <v/>
      </c>
      <c r="B3055" s="2" t="n">
        <v>43173.09805555556</v>
      </c>
      <c r="C3055" t="n">
        <v>0</v>
      </c>
      <c r="D3055" t="n">
        <v>13</v>
      </c>
      <c r="E3055" t="s">
        <v>3066</v>
      </c>
      <c r="F3055" t="s"/>
      <c r="G3055" t="s"/>
      <c r="H3055" t="s"/>
      <c r="I3055" t="s"/>
      <c r="J3055" t="n">
        <v>0</v>
      </c>
      <c r="K3055" t="n">
        <v>0</v>
      </c>
      <c r="L3055" t="n">
        <v>1</v>
      </c>
      <c r="M3055" t="n">
        <v>0</v>
      </c>
    </row>
    <row r="3056" spans="1:13">
      <c r="A3056" s="1">
        <f>HYPERLINK("http://www.twitter.com/NathanBLawrence/status/973744334406389760", "973744334406389760")</f>
        <v/>
      </c>
      <c r="B3056" s="2" t="n">
        <v>43173.09392361111</v>
      </c>
      <c r="C3056" t="n">
        <v>0</v>
      </c>
      <c r="D3056" t="n">
        <v>3</v>
      </c>
      <c r="E3056" t="s">
        <v>3067</v>
      </c>
      <c r="F3056" t="s"/>
      <c r="G3056" t="s"/>
      <c r="H3056" t="s"/>
      <c r="I3056" t="s"/>
      <c r="J3056" t="n">
        <v>0.4019</v>
      </c>
      <c r="K3056" t="n">
        <v>0</v>
      </c>
      <c r="L3056" t="n">
        <v>0.876</v>
      </c>
      <c r="M3056" t="n">
        <v>0.124</v>
      </c>
    </row>
    <row r="3057" spans="1:13">
      <c r="A3057" s="1">
        <f>HYPERLINK("http://www.twitter.com/NathanBLawrence/status/973743415035924481", "973743415035924481")</f>
        <v/>
      </c>
      <c r="B3057" s="2" t="n">
        <v>43173.09138888889</v>
      </c>
      <c r="C3057" t="n">
        <v>0</v>
      </c>
      <c r="D3057" t="n">
        <v>1792</v>
      </c>
      <c r="E3057" t="s">
        <v>3068</v>
      </c>
      <c r="F3057" t="s"/>
      <c r="G3057" t="s"/>
      <c r="H3057" t="s"/>
      <c r="I3057" t="s"/>
      <c r="J3057" t="n">
        <v>-0.8807</v>
      </c>
      <c r="K3057" t="n">
        <v>0.35</v>
      </c>
      <c r="L3057" t="n">
        <v>0.612</v>
      </c>
      <c r="M3057" t="n">
        <v>0.037</v>
      </c>
    </row>
    <row r="3058" spans="1:13">
      <c r="A3058" s="1">
        <f>HYPERLINK("http://www.twitter.com/NathanBLawrence/status/973740416137859073", "973740416137859073")</f>
        <v/>
      </c>
      <c r="B3058" s="2" t="n">
        <v>43173.08311342593</v>
      </c>
      <c r="C3058" t="n">
        <v>0</v>
      </c>
      <c r="D3058" t="n">
        <v>325</v>
      </c>
      <c r="E3058" t="s">
        <v>3069</v>
      </c>
      <c r="F3058">
        <f>HYPERLINK("https://video.twimg.com/ext_tw_video/973708769791062016/pu/vid/1280x720/Ahxr7tZPCbgdNC-H.mp4", "https://video.twimg.com/ext_tw_video/973708769791062016/pu/vid/1280x720/Ahxr7tZPCbgdNC-H.mp4")</f>
        <v/>
      </c>
      <c r="G3058" t="s"/>
      <c r="H3058" t="s"/>
      <c r="I3058" t="s"/>
      <c r="J3058" t="n">
        <v>-0.7804</v>
      </c>
      <c r="K3058" t="n">
        <v>0.287</v>
      </c>
      <c r="L3058" t="n">
        <v>0.713</v>
      </c>
      <c r="M3058" t="n">
        <v>0</v>
      </c>
    </row>
    <row r="3059" spans="1:13">
      <c r="A3059" s="1">
        <f>HYPERLINK("http://www.twitter.com/NathanBLawrence/status/973738675686268934", "973738675686268934")</f>
        <v/>
      </c>
      <c r="B3059" s="2" t="n">
        <v>43173.07831018518</v>
      </c>
      <c r="C3059" t="n">
        <v>0</v>
      </c>
      <c r="D3059" t="n">
        <v>191</v>
      </c>
      <c r="E3059" t="s">
        <v>3070</v>
      </c>
      <c r="F3059" t="s"/>
      <c r="G3059" t="s"/>
      <c r="H3059" t="s"/>
      <c r="I3059" t="s"/>
      <c r="J3059" t="n">
        <v>0</v>
      </c>
      <c r="K3059" t="n">
        <v>0</v>
      </c>
      <c r="L3059" t="n">
        <v>1</v>
      </c>
      <c r="M3059" t="n">
        <v>0</v>
      </c>
    </row>
    <row r="3060" spans="1:13">
      <c r="A3060" s="1">
        <f>HYPERLINK("http://www.twitter.com/NathanBLawrence/status/973737778197475328", "973737778197475328")</f>
        <v/>
      </c>
      <c r="B3060" s="2" t="n">
        <v>43173.07583333334</v>
      </c>
      <c r="C3060" t="n">
        <v>0</v>
      </c>
      <c r="D3060" t="n">
        <v>5</v>
      </c>
      <c r="E3060" t="s">
        <v>3071</v>
      </c>
      <c r="F3060" t="s"/>
      <c r="G3060" t="s"/>
      <c r="H3060" t="s"/>
      <c r="I3060" t="s"/>
      <c r="J3060" t="n">
        <v>-0.6249</v>
      </c>
      <c r="K3060" t="n">
        <v>0.297</v>
      </c>
      <c r="L3060" t="n">
        <v>0.594</v>
      </c>
      <c r="M3060" t="n">
        <v>0.11</v>
      </c>
    </row>
    <row r="3061" spans="1:13">
      <c r="A3061" s="1">
        <f>HYPERLINK("http://www.twitter.com/NathanBLawrence/status/973736536268304384", "973736536268304384")</f>
        <v/>
      </c>
      <c r="B3061" s="2" t="n">
        <v>43173.07240740741</v>
      </c>
      <c r="C3061" t="n">
        <v>0</v>
      </c>
      <c r="D3061" t="n">
        <v>41</v>
      </c>
      <c r="E3061" t="s">
        <v>3072</v>
      </c>
      <c r="F3061">
        <f>HYPERLINK("http://pbs.twimg.com/media/DYNRZmpU8AESaSX.jpg", "http://pbs.twimg.com/media/DYNRZmpU8AESaSX.jpg")</f>
        <v/>
      </c>
      <c r="G3061" t="s"/>
      <c r="H3061" t="s"/>
      <c r="I3061" t="s"/>
      <c r="J3061" t="n">
        <v>0.4574</v>
      </c>
      <c r="K3061" t="n">
        <v>0</v>
      </c>
      <c r="L3061" t="n">
        <v>0.857</v>
      </c>
      <c r="M3061" t="n">
        <v>0.143</v>
      </c>
    </row>
    <row r="3062" spans="1:13">
      <c r="A3062" s="1">
        <f>HYPERLINK("http://www.twitter.com/NathanBLawrence/status/973736368739356673", "973736368739356673")</f>
        <v/>
      </c>
      <c r="B3062" s="2" t="n">
        <v>43173.07194444445</v>
      </c>
      <c r="C3062" t="n">
        <v>0</v>
      </c>
      <c r="D3062" t="n">
        <v>79</v>
      </c>
      <c r="E3062" t="s">
        <v>3073</v>
      </c>
      <c r="F3062">
        <f>HYPERLINK("http://pbs.twimg.com/media/DYNiI5JW4AAZQ2t.jpg", "http://pbs.twimg.com/media/DYNiI5JW4AAZQ2t.jpg")</f>
        <v/>
      </c>
      <c r="G3062" t="s"/>
      <c r="H3062" t="s"/>
      <c r="I3062" t="s"/>
      <c r="J3062" t="n">
        <v>0</v>
      </c>
      <c r="K3062" t="n">
        <v>0</v>
      </c>
      <c r="L3062" t="n">
        <v>1</v>
      </c>
      <c r="M3062" t="n">
        <v>0</v>
      </c>
    </row>
    <row r="3063" spans="1:13">
      <c r="A3063" s="1">
        <f>HYPERLINK("http://www.twitter.com/NathanBLawrence/status/973735657142214657", "973735657142214657")</f>
        <v/>
      </c>
      <c r="B3063" s="2" t="n">
        <v>43173.06997685185</v>
      </c>
      <c r="C3063" t="n">
        <v>0</v>
      </c>
      <c r="D3063" t="n">
        <v>15396</v>
      </c>
      <c r="E3063" t="s">
        <v>3074</v>
      </c>
      <c r="F3063">
        <f>HYPERLINK("http://pbs.twimg.com/media/DYNWS7vVwAELk4m.jpg", "http://pbs.twimg.com/media/DYNWS7vVwAELk4m.jpg")</f>
        <v/>
      </c>
      <c r="G3063">
        <f>HYPERLINK("http://pbs.twimg.com/media/DYNWS7wUQAAObVY.jpg", "http://pbs.twimg.com/media/DYNWS7wUQAAObVY.jpg")</f>
        <v/>
      </c>
      <c r="H3063">
        <f>HYPERLINK("http://pbs.twimg.com/media/DYNWS7yVoAEcwpE.jpg", "http://pbs.twimg.com/media/DYNWS7yVoAEcwpE.jpg")</f>
        <v/>
      </c>
      <c r="I3063">
        <f>HYPERLINK("http://pbs.twimg.com/media/DYNWS7zUQAA6hLr.jpg", "http://pbs.twimg.com/media/DYNWS7zUQAA6hLr.jpg")</f>
        <v/>
      </c>
      <c r="J3063" t="n">
        <v>0.9206</v>
      </c>
      <c r="K3063" t="n">
        <v>0</v>
      </c>
      <c r="L3063" t="n">
        <v>0.622</v>
      </c>
      <c r="M3063" t="n">
        <v>0.378</v>
      </c>
    </row>
    <row r="3064" spans="1:13">
      <c r="A3064" s="1">
        <f>HYPERLINK("http://www.twitter.com/NathanBLawrence/status/973734753324199936", "973734753324199936")</f>
        <v/>
      </c>
      <c r="B3064" s="2" t="n">
        <v>43173.06747685185</v>
      </c>
      <c r="C3064" t="n">
        <v>0</v>
      </c>
      <c r="D3064" t="n">
        <v>93</v>
      </c>
      <c r="E3064" t="s">
        <v>3075</v>
      </c>
      <c r="F3064" t="s"/>
      <c r="G3064" t="s"/>
      <c r="H3064" t="s"/>
      <c r="I3064" t="s"/>
      <c r="J3064" t="n">
        <v>-0.34</v>
      </c>
      <c r="K3064" t="n">
        <v>0.118</v>
      </c>
      <c r="L3064" t="n">
        <v>0.882</v>
      </c>
      <c r="M3064" t="n">
        <v>0</v>
      </c>
    </row>
    <row r="3065" spans="1:13">
      <c r="A3065" s="1">
        <f>HYPERLINK("http://www.twitter.com/NathanBLawrence/status/973733396710117376", "973733396710117376")</f>
        <v/>
      </c>
      <c r="B3065" s="2" t="n">
        <v>43173.06373842592</v>
      </c>
      <c r="C3065" t="n">
        <v>0</v>
      </c>
      <c r="D3065" t="n">
        <v>15244</v>
      </c>
      <c r="E3065" t="s">
        <v>3076</v>
      </c>
      <c r="F3065" t="s"/>
      <c r="G3065" t="s"/>
      <c r="H3065" t="s"/>
      <c r="I3065" t="s"/>
      <c r="J3065" t="n">
        <v>0</v>
      </c>
      <c r="K3065" t="n">
        <v>0</v>
      </c>
      <c r="L3065" t="n">
        <v>1</v>
      </c>
      <c r="M3065" t="n">
        <v>0</v>
      </c>
    </row>
    <row r="3066" spans="1:13">
      <c r="A3066" s="1">
        <f>HYPERLINK("http://www.twitter.com/NathanBLawrence/status/973708769401233409", "973708769401233409")</f>
        <v/>
      </c>
      <c r="B3066" s="2" t="n">
        <v>43172.99577546296</v>
      </c>
      <c r="C3066" t="n">
        <v>0</v>
      </c>
      <c r="D3066" t="n">
        <v>125</v>
      </c>
      <c r="E3066" t="s">
        <v>3077</v>
      </c>
      <c r="F3066" t="s"/>
      <c r="G3066" t="s"/>
      <c r="H3066" t="s"/>
      <c r="I3066" t="s"/>
      <c r="J3066" t="n">
        <v>-0.3802</v>
      </c>
      <c r="K3066" t="n">
        <v>0.149</v>
      </c>
      <c r="L3066" t="n">
        <v>0.764</v>
      </c>
      <c r="M3066" t="n">
        <v>0.08799999999999999</v>
      </c>
    </row>
    <row r="3067" spans="1:13">
      <c r="A3067" s="1">
        <f>HYPERLINK("http://www.twitter.com/NathanBLawrence/status/973707639346606080", "973707639346606080")</f>
        <v/>
      </c>
      <c r="B3067" s="2" t="n">
        <v>43172.99266203704</v>
      </c>
      <c r="C3067" t="n">
        <v>0</v>
      </c>
      <c r="D3067" t="n">
        <v>2</v>
      </c>
      <c r="E3067" t="s">
        <v>3078</v>
      </c>
      <c r="F3067" t="s"/>
      <c r="G3067" t="s"/>
      <c r="H3067" t="s"/>
      <c r="I3067" t="s"/>
      <c r="J3067" t="n">
        <v>0.5054999999999999</v>
      </c>
      <c r="K3067" t="n">
        <v>0.078</v>
      </c>
      <c r="L3067" t="n">
        <v>0.733</v>
      </c>
      <c r="M3067" t="n">
        <v>0.189</v>
      </c>
    </row>
    <row r="3068" spans="1:13">
      <c r="A3068" s="1">
        <f>HYPERLINK("http://www.twitter.com/NathanBLawrence/status/973705364226105344", "973705364226105344")</f>
        <v/>
      </c>
      <c r="B3068" s="2" t="n">
        <v>43172.98638888889</v>
      </c>
      <c r="C3068" t="n">
        <v>0</v>
      </c>
      <c r="D3068" t="n">
        <v>1</v>
      </c>
      <c r="E3068" t="s">
        <v>3079</v>
      </c>
      <c r="F3068" t="s"/>
      <c r="G3068" t="s"/>
      <c r="H3068" t="s"/>
      <c r="I3068" t="s"/>
      <c r="J3068" t="n">
        <v>0.6114000000000001</v>
      </c>
      <c r="K3068" t="n">
        <v>0</v>
      </c>
      <c r="L3068" t="n">
        <v>0.501</v>
      </c>
      <c r="M3068" t="n">
        <v>0.499</v>
      </c>
    </row>
    <row r="3069" spans="1:13">
      <c r="A3069" s="1">
        <f>HYPERLINK("http://www.twitter.com/NathanBLawrence/status/973704946259513349", "973704946259513349")</f>
        <v/>
      </c>
      <c r="B3069" s="2" t="n">
        <v>43172.98523148148</v>
      </c>
      <c r="C3069" t="n">
        <v>0</v>
      </c>
      <c r="D3069" t="n">
        <v>78</v>
      </c>
      <c r="E3069" t="s">
        <v>3080</v>
      </c>
      <c r="F3069">
        <f>HYPERLINK("http://pbs.twimg.com/media/DYNGV4_UMAABx2t.jpg", "http://pbs.twimg.com/media/DYNGV4_UMAABx2t.jpg")</f>
        <v/>
      </c>
      <c r="G3069" t="s"/>
      <c r="H3069" t="s"/>
      <c r="I3069" t="s"/>
      <c r="J3069" t="n">
        <v>0.4019</v>
      </c>
      <c r="K3069" t="n">
        <v>0</v>
      </c>
      <c r="L3069" t="n">
        <v>0.838</v>
      </c>
      <c r="M3069" t="n">
        <v>0.162</v>
      </c>
    </row>
    <row r="3070" spans="1:13">
      <c r="A3070" s="1">
        <f>HYPERLINK("http://www.twitter.com/NathanBLawrence/status/973704804773060608", "973704804773060608")</f>
        <v/>
      </c>
      <c r="B3070" s="2" t="n">
        <v>43172.98483796296</v>
      </c>
      <c r="C3070" t="n">
        <v>0</v>
      </c>
      <c r="D3070" t="n">
        <v>237</v>
      </c>
      <c r="E3070" t="s">
        <v>3081</v>
      </c>
      <c r="F3070" t="s"/>
      <c r="G3070" t="s"/>
      <c r="H3070" t="s"/>
      <c r="I3070" t="s"/>
      <c r="J3070" t="n">
        <v>-0.4767</v>
      </c>
      <c r="K3070" t="n">
        <v>0.129</v>
      </c>
      <c r="L3070" t="n">
        <v>0.871</v>
      </c>
      <c r="M3070" t="n">
        <v>0</v>
      </c>
    </row>
    <row r="3071" spans="1:13">
      <c r="A3071" s="1">
        <f>HYPERLINK("http://www.twitter.com/NathanBLawrence/status/973704476631674885", "973704476631674885")</f>
        <v/>
      </c>
      <c r="B3071" s="2" t="n">
        <v>43172.98393518518</v>
      </c>
      <c r="C3071" t="n">
        <v>0</v>
      </c>
      <c r="D3071" t="n">
        <v>738</v>
      </c>
      <c r="E3071" t="s">
        <v>3082</v>
      </c>
      <c r="F3071">
        <f>HYPERLINK("http://pbs.twimg.com/media/DYIX-t2UQAEApCW.jpg", "http://pbs.twimg.com/media/DYIX-t2UQAEApCW.jpg")</f>
        <v/>
      </c>
      <c r="G3071" t="s"/>
      <c r="H3071" t="s"/>
      <c r="I3071" t="s"/>
      <c r="J3071" t="n">
        <v>0</v>
      </c>
      <c r="K3071" t="n">
        <v>0</v>
      </c>
      <c r="L3071" t="n">
        <v>1</v>
      </c>
      <c r="M3071" t="n">
        <v>0</v>
      </c>
    </row>
    <row r="3072" spans="1:13">
      <c r="A3072" s="1">
        <f>HYPERLINK("http://www.twitter.com/NathanBLawrence/status/973703919347085312", "973703919347085312")</f>
        <v/>
      </c>
      <c r="B3072" s="2" t="n">
        <v>43172.98239583334</v>
      </c>
      <c r="C3072" t="n">
        <v>0</v>
      </c>
      <c r="D3072" t="n">
        <v>1824</v>
      </c>
      <c r="E3072" t="s">
        <v>3083</v>
      </c>
      <c r="F3072" t="s"/>
      <c r="G3072" t="s"/>
      <c r="H3072" t="s"/>
      <c r="I3072" t="s"/>
      <c r="J3072" t="n">
        <v>-0.1027</v>
      </c>
      <c r="K3072" t="n">
        <v>0.202</v>
      </c>
      <c r="L3072" t="n">
        <v>0.618</v>
      </c>
      <c r="M3072" t="n">
        <v>0.18</v>
      </c>
    </row>
    <row r="3073" spans="1:13">
      <c r="A3073" s="1">
        <f>HYPERLINK("http://www.twitter.com/NathanBLawrence/status/973703243934109702", "973703243934109702")</f>
        <v/>
      </c>
      <c r="B3073" s="2" t="n">
        <v>43172.9805324074</v>
      </c>
      <c r="C3073" t="n">
        <v>0</v>
      </c>
      <c r="D3073" t="n">
        <v>20</v>
      </c>
      <c r="E3073" t="s">
        <v>3084</v>
      </c>
      <c r="F3073">
        <f>HYPERLINK("http://pbs.twimg.com/media/DX216QqV4AE48AV.jpg", "http://pbs.twimg.com/media/DX216QqV4AE48AV.jpg")</f>
        <v/>
      </c>
      <c r="G3073" t="s"/>
      <c r="H3073" t="s"/>
      <c r="I3073" t="s"/>
      <c r="J3073" t="n">
        <v>0</v>
      </c>
      <c r="K3073" t="n">
        <v>0</v>
      </c>
      <c r="L3073" t="n">
        <v>1</v>
      </c>
      <c r="M3073" t="n">
        <v>0</v>
      </c>
    </row>
    <row r="3074" spans="1:13">
      <c r="A3074" s="1">
        <f>HYPERLINK("http://www.twitter.com/NathanBLawrence/status/973697284977451009", "973697284977451009")</f>
        <v/>
      </c>
      <c r="B3074" s="2" t="n">
        <v>43172.96408564815</v>
      </c>
      <c r="C3074" t="n">
        <v>0</v>
      </c>
      <c r="D3074" t="n">
        <v>74</v>
      </c>
      <c r="E3074" t="s">
        <v>3085</v>
      </c>
      <c r="F3074">
        <f>HYPERLINK("http://pbs.twimg.com/media/DYNC3--X0AA1Thl.jpg", "http://pbs.twimg.com/media/DYNC3--X0AA1Thl.jpg")</f>
        <v/>
      </c>
      <c r="G3074" t="s"/>
      <c r="H3074" t="s"/>
      <c r="I3074" t="s"/>
      <c r="J3074" t="n">
        <v>0</v>
      </c>
      <c r="K3074" t="n">
        <v>0</v>
      </c>
      <c r="L3074" t="n">
        <v>1</v>
      </c>
      <c r="M3074" t="n">
        <v>0</v>
      </c>
    </row>
    <row r="3075" spans="1:13">
      <c r="A3075" s="1">
        <f>HYPERLINK("http://www.twitter.com/NathanBLawrence/status/973696725310373888", "973696725310373888")</f>
        <v/>
      </c>
      <c r="B3075" s="2" t="n">
        <v>43172.96254629629</v>
      </c>
      <c r="C3075" t="n">
        <v>0</v>
      </c>
      <c r="D3075" t="n">
        <v>916</v>
      </c>
      <c r="E3075" t="s">
        <v>3086</v>
      </c>
      <c r="F3075" t="s"/>
      <c r="G3075" t="s"/>
      <c r="H3075" t="s"/>
      <c r="I3075" t="s"/>
      <c r="J3075" t="n">
        <v>0.6249</v>
      </c>
      <c r="K3075" t="n">
        <v>0</v>
      </c>
      <c r="L3075" t="n">
        <v>0.797</v>
      </c>
      <c r="M3075" t="n">
        <v>0.203</v>
      </c>
    </row>
    <row r="3076" spans="1:13">
      <c r="A3076" s="1">
        <f>HYPERLINK("http://www.twitter.com/NathanBLawrence/status/973696687012229120", "973696687012229120")</f>
        <v/>
      </c>
      <c r="B3076" s="2" t="n">
        <v>43172.96244212963</v>
      </c>
      <c r="C3076" t="n">
        <v>0</v>
      </c>
      <c r="D3076" t="n">
        <v>77</v>
      </c>
      <c r="E3076" t="s">
        <v>3087</v>
      </c>
      <c r="F3076">
        <f>HYPERLINK("http://pbs.twimg.com/media/DYNDe49XkAA5FkN.jpg", "http://pbs.twimg.com/media/DYNDe49XkAA5FkN.jpg")</f>
        <v/>
      </c>
      <c r="G3076" t="s"/>
      <c r="H3076" t="s"/>
      <c r="I3076" t="s"/>
      <c r="J3076" t="n">
        <v>0.7906</v>
      </c>
      <c r="K3076" t="n">
        <v>0</v>
      </c>
      <c r="L3076" t="n">
        <v>0.75</v>
      </c>
      <c r="M3076" t="n">
        <v>0.25</v>
      </c>
    </row>
    <row r="3077" spans="1:13">
      <c r="A3077" s="1">
        <f>HYPERLINK("http://www.twitter.com/NathanBLawrence/status/973695858989518849", "973695858989518849")</f>
        <v/>
      </c>
      <c r="B3077" s="2" t="n">
        <v>43172.96015046296</v>
      </c>
      <c r="C3077" t="n">
        <v>0</v>
      </c>
      <c r="D3077" t="n">
        <v>232</v>
      </c>
      <c r="E3077" t="s">
        <v>3088</v>
      </c>
      <c r="F3077">
        <f>HYPERLINK("http://pbs.twimg.com/media/DYMrm08X0AIWbqD.jpg", "http://pbs.twimg.com/media/DYMrm08X0AIWbqD.jpg")</f>
        <v/>
      </c>
      <c r="G3077" t="s"/>
      <c r="H3077" t="s"/>
      <c r="I3077" t="s"/>
      <c r="J3077" t="n">
        <v>0.7184</v>
      </c>
      <c r="K3077" t="n">
        <v>0</v>
      </c>
      <c r="L3077" t="n">
        <v>0.65</v>
      </c>
      <c r="M3077" t="n">
        <v>0.35</v>
      </c>
    </row>
    <row r="3078" spans="1:13">
      <c r="A3078" s="1">
        <f>HYPERLINK("http://www.twitter.com/NathanBLawrence/status/973695723702247425", "973695723702247425")</f>
        <v/>
      </c>
      <c r="B3078" s="2" t="n">
        <v>43172.95978009259</v>
      </c>
      <c r="C3078" t="n">
        <v>0</v>
      </c>
      <c r="D3078" t="n">
        <v>191</v>
      </c>
      <c r="E3078" t="s">
        <v>3089</v>
      </c>
      <c r="F3078" t="s"/>
      <c r="G3078" t="s"/>
      <c r="H3078" t="s"/>
      <c r="I3078" t="s"/>
      <c r="J3078" t="n">
        <v>0</v>
      </c>
      <c r="K3078" t="n">
        <v>0</v>
      </c>
      <c r="L3078" t="n">
        <v>1</v>
      </c>
      <c r="M3078" t="n">
        <v>0</v>
      </c>
    </row>
    <row r="3079" spans="1:13">
      <c r="A3079" s="1">
        <f>HYPERLINK("http://www.twitter.com/NathanBLawrence/status/973695436161732609", "973695436161732609")</f>
        <v/>
      </c>
      <c r="B3079" s="2" t="n">
        <v>43172.95899305555</v>
      </c>
      <c r="C3079" t="n">
        <v>0</v>
      </c>
      <c r="D3079" t="n">
        <v>10</v>
      </c>
      <c r="E3079" t="s">
        <v>3090</v>
      </c>
      <c r="F3079" t="s"/>
      <c r="G3079" t="s"/>
      <c r="H3079" t="s"/>
      <c r="I3079" t="s"/>
      <c r="J3079" t="n">
        <v>0.6486</v>
      </c>
      <c r="K3079" t="n">
        <v>0</v>
      </c>
      <c r="L3079" t="n">
        <v>0.798</v>
      </c>
      <c r="M3079" t="n">
        <v>0.202</v>
      </c>
    </row>
    <row r="3080" spans="1:13">
      <c r="A3080" s="1">
        <f>HYPERLINK("http://www.twitter.com/NathanBLawrence/status/973694987891367941", "973694987891367941")</f>
        <v/>
      </c>
      <c r="B3080" s="2" t="n">
        <v>43172.95775462963</v>
      </c>
      <c r="C3080" t="n">
        <v>0</v>
      </c>
      <c r="D3080" t="n">
        <v>75</v>
      </c>
      <c r="E3080" t="s">
        <v>3091</v>
      </c>
      <c r="F3080">
        <f>HYPERLINK("http://pbs.twimg.com/media/DYNA5etXUAAkXkN.jpg", "http://pbs.twimg.com/media/DYNA5etXUAAkXkN.jpg")</f>
        <v/>
      </c>
      <c r="G3080" t="s"/>
      <c r="H3080" t="s"/>
      <c r="I3080" t="s"/>
      <c r="J3080" t="n">
        <v>0.4826</v>
      </c>
      <c r="K3080" t="n">
        <v>0</v>
      </c>
      <c r="L3080" t="n">
        <v>0.865</v>
      </c>
      <c r="M3080" t="n">
        <v>0.135</v>
      </c>
    </row>
    <row r="3081" spans="1:13">
      <c r="A3081" s="1">
        <f>HYPERLINK("http://www.twitter.com/NathanBLawrence/status/973694768839610368", "973694768839610368")</f>
        <v/>
      </c>
      <c r="B3081" s="2" t="n">
        <v>43172.9571412037</v>
      </c>
      <c r="C3081" t="n">
        <v>0</v>
      </c>
      <c r="D3081" t="n">
        <v>664</v>
      </c>
      <c r="E3081" t="s">
        <v>3092</v>
      </c>
      <c r="F3081">
        <f>HYPERLINK("https://video.twimg.com/amplify_video/973628619808559104/vid/720x720/Ex_ncpe4F-K7hMyK.mp4", "https://video.twimg.com/amplify_video/973628619808559104/vid/720x720/Ex_ncpe4F-K7hMyK.mp4")</f>
        <v/>
      </c>
      <c r="G3081" t="s"/>
      <c r="H3081" t="s"/>
      <c r="I3081" t="s"/>
      <c r="J3081" t="n">
        <v>-0.5423</v>
      </c>
      <c r="K3081" t="n">
        <v>0.17</v>
      </c>
      <c r="L3081" t="n">
        <v>0.755</v>
      </c>
      <c r="M3081" t="n">
        <v>0.075</v>
      </c>
    </row>
    <row r="3082" spans="1:13">
      <c r="A3082" s="1">
        <f>HYPERLINK("http://www.twitter.com/NathanBLawrence/status/973694695879729157", "973694695879729157")</f>
        <v/>
      </c>
      <c r="B3082" s="2" t="n">
        <v>43172.95694444444</v>
      </c>
      <c r="C3082" t="n">
        <v>0</v>
      </c>
      <c r="D3082" t="n">
        <v>3</v>
      </c>
      <c r="E3082" t="s">
        <v>3093</v>
      </c>
      <c r="F3082" t="s"/>
      <c r="G3082" t="s"/>
      <c r="H3082" t="s"/>
      <c r="I3082" t="s"/>
      <c r="J3082" t="n">
        <v>-0.2732</v>
      </c>
      <c r="K3082" t="n">
        <v>0.116</v>
      </c>
      <c r="L3082" t="n">
        <v>0.884</v>
      </c>
      <c r="M3082" t="n">
        <v>0</v>
      </c>
    </row>
    <row r="3083" spans="1:13">
      <c r="A3083" s="1">
        <f>HYPERLINK("http://www.twitter.com/NathanBLawrence/status/973693162471510016", "973693162471510016")</f>
        <v/>
      </c>
      <c r="B3083" s="2" t="n">
        <v>43172.95270833333</v>
      </c>
      <c r="C3083" t="n">
        <v>0</v>
      </c>
      <c r="D3083" t="n">
        <v>47</v>
      </c>
      <c r="E3083" t="s">
        <v>3094</v>
      </c>
      <c r="F3083" t="s"/>
      <c r="G3083" t="s"/>
      <c r="H3083" t="s"/>
      <c r="I3083" t="s"/>
      <c r="J3083" t="n">
        <v>0</v>
      </c>
      <c r="K3083" t="n">
        <v>0</v>
      </c>
      <c r="L3083" t="n">
        <v>1</v>
      </c>
      <c r="M3083" t="n">
        <v>0</v>
      </c>
    </row>
    <row r="3084" spans="1:13">
      <c r="A3084" s="1">
        <f>HYPERLINK("http://www.twitter.com/NathanBLawrence/status/973693066740686850", "973693066740686850")</f>
        <v/>
      </c>
      <c r="B3084" s="2" t="n">
        <v>43172.95245370371</v>
      </c>
      <c r="C3084" t="n">
        <v>0</v>
      </c>
      <c r="D3084" t="n">
        <v>781</v>
      </c>
      <c r="E3084" t="s">
        <v>3095</v>
      </c>
      <c r="F3084" t="s"/>
      <c r="G3084" t="s"/>
      <c r="H3084" t="s"/>
      <c r="I3084" t="s"/>
      <c r="J3084" t="n">
        <v>0</v>
      </c>
      <c r="K3084" t="n">
        <v>0</v>
      </c>
      <c r="L3084" t="n">
        <v>1</v>
      </c>
      <c r="M3084" t="n">
        <v>0</v>
      </c>
    </row>
    <row r="3085" spans="1:13">
      <c r="A3085" s="1">
        <f>HYPERLINK("http://www.twitter.com/NathanBLawrence/status/973692436009701378", "973692436009701378")</f>
        <v/>
      </c>
      <c r="B3085" s="2" t="n">
        <v>43172.95070601852</v>
      </c>
      <c r="C3085" t="n">
        <v>0</v>
      </c>
      <c r="D3085" t="n">
        <v>2073</v>
      </c>
      <c r="E3085" t="s">
        <v>3096</v>
      </c>
      <c r="F3085">
        <f>HYPERLINK("https://video.twimg.com/ext_tw_video/973682820169187329/pu/vid/1280x720/Q-TYis5ae3UDRWa3.mp4", "https://video.twimg.com/ext_tw_video/973682820169187329/pu/vid/1280x720/Q-TYis5ae3UDRWa3.mp4")</f>
        <v/>
      </c>
      <c r="G3085" t="s"/>
      <c r="H3085" t="s"/>
      <c r="I3085" t="s"/>
      <c r="J3085" t="n">
        <v>0.7845</v>
      </c>
      <c r="K3085" t="n">
        <v>0.044</v>
      </c>
      <c r="L3085" t="n">
        <v>0.696</v>
      </c>
      <c r="M3085" t="n">
        <v>0.26</v>
      </c>
    </row>
    <row r="3086" spans="1:13">
      <c r="A3086" s="1">
        <f>HYPERLINK("http://www.twitter.com/NathanBLawrence/status/973692311635931136", "973692311635931136")</f>
        <v/>
      </c>
      <c r="B3086" s="2" t="n">
        <v>43172.95037037037</v>
      </c>
      <c r="C3086" t="n">
        <v>0</v>
      </c>
      <c r="D3086" t="n">
        <v>5</v>
      </c>
      <c r="E3086" t="s">
        <v>3097</v>
      </c>
      <c r="F3086" t="s"/>
      <c r="G3086" t="s"/>
      <c r="H3086" t="s"/>
      <c r="I3086" t="s"/>
      <c r="J3086" t="n">
        <v>0</v>
      </c>
      <c r="K3086" t="n">
        <v>0</v>
      </c>
      <c r="L3086" t="n">
        <v>1</v>
      </c>
      <c r="M3086" t="n">
        <v>0</v>
      </c>
    </row>
    <row r="3087" spans="1:13">
      <c r="A3087" s="1">
        <f>HYPERLINK("http://www.twitter.com/NathanBLawrence/status/973692111064268800", "973692111064268800")</f>
        <v/>
      </c>
      <c r="B3087" s="2" t="n">
        <v>43172.94981481481</v>
      </c>
      <c r="C3087" t="n">
        <v>0</v>
      </c>
      <c r="D3087" t="n">
        <v>806</v>
      </c>
      <c r="E3087" t="s">
        <v>3098</v>
      </c>
      <c r="F3087">
        <f>HYPERLINK("https://video.twimg.com/amplify_video/973638342695931905/vid/1280x720/S1gV7O_bpRZg0SLB.mp4", "https://video.twimg.com/amplify_video/973638342695931905/vid/1280x720/S1gV7O_bpRZg0SLB.mp4")</f>
        <v/>
      </c>
      <c r="G3087" t="s"/>
      <c r="H3087" t="s"/>
      <c r="I3087" t="s"/>
      <c r="J3087" t="n">
        <v>-0.7964</v>
      </c>
      <c r="K3087" t="n">
        <v>0.272</v>
      </c>
      <c r="L3087" t="n">
        <v>0.728</v>
      </c>
      <c r="M3087" t="n">
        <v>0</v>
      </c>
    </row>
    <row r="3088" spans="1:13">
      <c r="A3088" s="1">
        <f>HYPERLINK("http://www.twitter.com/NathanBLawrence/status/973692050771206150", "973692050771206150")</f>
        <v/>
      </c>
      <c r="B3088" s="2" t="n">
        <v>43172.9496412037</v>
      </c>
      <c r="C3088" t="n">
        <v>0</v>
      </c>
      <c r="D3088" t="n">
        <v>14056</v>
      </c>
      <c r="E3088" t="s">
        <v>3099</v>
      </c>
      <c r="F3088" t="s"/>
      <c r="G3088" t="s"/>
      <c r="H3088" t="s"/>
      <c r="I3088" t="s"/>
      <c r="J3088" t="n">
        <v>-0.5574</v>
      </c>
      <c r="K3088" t="n">
        <v>0.159</v>
      </c>
      <c r="L3088" t="n">
        <v>0.841</v>
      </c>
      <c r="M3088" t="n">
        <v>0</v>
      </c>
    </row>
    <row r="3089" spans="1:13">
      <c r="A3089" s="1">
        <f>HYPERLINK("http://www.twitter.com/NathanBLawrence/status/973691868520308737", "973691868520308737")</f>
        <v/>
      </c>
      <c r="B3089" s="2" t="n">
        <v>43172.94914351852</v>
      </c>
      <c r="C3089" t="n">
        <v>0</v>
      </c>
      <c r="D3089" t="n">
        <v>5</v>
      </c>
      <c r="E3089" t="s">
        <v>3100</v>
      </c>
      <c r="F3089" t="s"/>
      <c r="G3089" t="s"/>
      <c r="H3089" t="s"/>
      <c r="I3089" t="s"/>
      <c r="J3089" t="n">
        <v>0</v>
      </c>
      <c r="K3089" t="n">
        <v>0</v>
      </c>
      <c r="L3089" t="n">
        <v>1</v>
      </c>
      <c r="M3089" t="n">
        <v>0</v>
      </c>
    </row>
    <row r="3090" spans="1:13">
      <c r="A3090" s="1">
        <f>HYPERLINK("http://www.twitter.com/NathanBLawrence/status/973691804741758976", "973691804741758976")</f>
        <v/>
      </c>
      <c r="B3090" s="2" t="n">
        <v>43172.9489699074</v>
      </c>
      <c r="C3090" t="n">
        <v>0</v>
      </c>
      <c r="D3090" t="n">
        <v>183</v>
      </c>
      <c r="E3090" t="s">
        <v>3101</v>
      </c>
      <c r="F3090" t="s"/>
      <c r="G3090" t="s"/>
      <c r="H3090" t="s"/>
      <c r="I3090" t="s"/>
      <c r="J3090" t="n">
        <v>0</v>
      </c>
      <c r="K3090" t="n">
        <v>0</v>
      </c>
      <c r="L3090" t="n">
        <v>1</v>
      </c>
      <c r="M3090" t="n">
        <v>0</v>
      </c>
    </row>
    <row r="3091" spans="1:13">
      <c r="A3091" s="1">
        <f>HYPERLINK("http://www.twitter.com/NathanBLawrence/status/973691487602073605", "973691487602073605")</f>
        <v/>
      </c>
      <c r="B3091" s="2" t="n">
        <v>43172.94809027778</v>
      </c>
      <c r="C3091" t="n">
        <v>0</v>
      </c>
      <c r="D3091" t="n">
        <v>62</v>
      </c>
      <c r="E3091" t="s">
        <v>3102</v>
      </c>
      <c r="F3091">
        <f>HYPERLINK("http://pbs.twimg.com/media/DYM1JPJWkAc6l0K.jpg", "http://pbs.twimg.com/media/DYM1JPJWkAc6l0K.jpg")</f>
        <v/>
      </c>
      <c r="G3091" t="s"/>
      <c r="H3091" t="s"/>
      <c r="I3091" t="s"/>
      <c r="J3091" t="n">
        <v>0.8979</v>
      </c>
      <c r="K3091" t="n">
        <v>0</v>
      </c>
      <c r="L3091" t="n">
        <v>0.569</v>
      </c>
      <c r="M3091" t="n">
        <v>0.431</v>
      </c>
    </row>
    <row r="3092" spans="1:13">
      <c r="A3092" s="1">
        <f>HYPERLINK("http://www.twitter.com/NathanBLawrence/status/973691438604144641", "973691438604144641")</f>
        <v/>
      </c>
      <c r="B3092" s="2" t="n">
        <v>43172.94795138889</v>
      </c>
      <c r="C3092" t="n">
        <v>0</v>
      </c>
      <c r="D3092" t="n">
        <v>796</v>
      </c>
      <c r="E3092" t="s">
        <v>3103</v>
      </c>
      <c r="F3092" t="s"/>
      <c r="G3092" t="s"/>
      <c r="H3092" t="s"/>
      <c r="I3092" t="s"/>
      <c r="J3092" t="n">
        <v>0</v>
      </c>
      <c r="K3092" t="n">
        <v>0</v>
      </c>
      <c r="L3092" t="n">
        <v>1</v>
      </c>
      <c r="M3092" t="n">
        <v>0</v>
      </c>
    </row>
    <row r="3093" spans="1:13">
      <c r="A3093" s="1">
        <f>HYPERLINK("http://www.twitter.com/NathanBLawrence/status/973691354147708930", "973691354147708930")</f>
        <v/>
      </c>
      <c r="B3093" s="2" t="n">
        <v>43172.94771990741</v>
      </c>
      <c r="C3093" t="n">
        <v>0</v>
      </c>
      <c r="D3093" t="n">
        <v>9872</v>
      </c>
      <c r="E3093" t="s">
        <v>3104</v>
      </c>
      <c r="F3093" t="s"/>
      <c r="G3093" t="s"/>
      <c r="H3093" t="s"/>
      <c r="I3093" t="s"/>
      <c r="J3093" t="n">
        <v>0.3182</v>
      </c>
      <c r="K3093" t="n">
        <v>0</v>
      </c>
      <c r="L3093" t="n">
        <v>0.901</v>
      </c>
      <c r="M3093" t="n">
        <v>0.099</v>
      </c>
    </row>
    <row r="3094" spans="1:13">
      <c r="A3094" s="1">
        <f>HYPERLINK("http://www.twitter.com/NathanBLawrence/status/973691338473558017", "973691338473558017")</f>
        <v/>
      </c>
      <c r="B3094" s="2" t="n">
        <v>43172.94768518519</v>
      </c>
      <c r="C3094" t="n">
        <v>0</v>
      </c>
      <c r="D3094" t="n">
        <v>2271</v>
      </c>
      <c r="E3094" t="s">
        <v>3105</v>
      </c>
      <c r="F3094">
        <f>HYPERLINK("http://pbs.twimg.com/media/DYMKbUvV4AA792h.jpg", "http://pbs.twimg.com/media/DYMKbUvV4AA792h.jpg")</f>
        <v/>
      </c>
      <c r="G3094" t="s"/>
      <c r="H3094" t="s"/>
      <c r="I3094" t="s"/>
      <c r="J3094" t="n">
        <v>0.184</v>
      </c>
      <c r="K3094" t="n">
        <v>0.113</v>
      </c>
      <c r="L3094" t="n">
        <v>0.742</v>
      </c>
      <c r="M3094" t="n">
        <v>0.145</v>
      </c>
    </row>
    <row r="3095" spans="1:13">
      <c r="A3095" s="1">
        <f>HYPERLINK("http://www.twitter.com/NathanBLawrence/status/973691184865570816", "973691184865570816")</f>
        <v/>
      </c>
      <c r="B3095" s="2" t="n">
        <v>43172.94725694445</v>
      </c>
      <c r="C3095" t="n">
        <v>0</v>
      </c>
      <c r="D3095" t="n">
        <v>513</v>
      </c>
      <c r="E3095" t="s">
        <v>3106</v>
      </c>
      <c r="F3095">
        <f>HYPERLINK("https://video.twimg.com/ext_tw_video/973653552714452992/pu/vid/318x180/y-ZjuU47RBsFisPx.mp4", "https://video.twimg.com/ext_tw_video/973653552714452992/pu/vid/318x180/y-ZjuU47RBsFisPx.mp4")</f>
        <v/>
      </c>
      <c r="G3095" t="s"/>
      <c r="H3095" t="s"/>
      <c r="I3095" t="s"/>
      <c r="J3095" t="n">
        <v>0.34</v>
      </c>
      <c r="K3095" t="n">
        <v>0</v>
      </c>
      <c r="L3095" t="n">
        <v>0.882</v>
      </c>
      <c r="M3095" t="n">
        <v>0.118</v>
      </c>
    </row>
    <row r="3096" spans="1:13">
      <c r="A3096" s="1">
        <f>HYPERLINK("http://www.twitter.com/NathanBLawrence/status/973690994687430658", "973690994687430658")</f>
        <v/>
      </c>
      <c r="B3096" s="2" t="n">
        <v>43172.94673611111</v>
      </c>
      <c r="C3096" t="n">
        <v>0</v>
      </c>
      <c r="D3096" t="n">
        <v>1836</v>
      </c>
      <c r="E3096" t="s">
        <v>3107</v>
      </c>
      <c r="F3096">
        <f>HYPERLINK("https://video.twimg.com/ext_tw_video/973599515247747072/pu/vid/1280x720/7iotfAuHV45OFjlC.mp4", "https://video.twimg.com/ext_tw_video/973599515247747072/pu/vid/1280x720/7iotfAuHV45OFjlC.mp4")</f>
        <v/>
      </c>
      <c r="G3096" t="s"/>
      <c r="H3096" t="s"/>
      <c r="I3096" t="s"/>
      <c r="J3096" t="n">
        <v>0.4926</v>
      </c>
      <c r="K3096" t="n">
        <v>0</v>
      </c>
      <c r="L3096" t="n">
        <v>0.862</v>
      </c>
      <c r="M3096" t="n">
        <v>0.138</v>
      </c>
    </row>
    <row r="3097" spans="1:13">
      <c r="A3097" s="1">
        <f>HYPERLINK("http://www.twitter.com/NathanBLawrence/status/973690911984144384", "973690911984144384")</f>
        <v/>
      </c>
      <c r="B3097" s="2" t="n">
        <v>43172.94650462963</v>
      </c>
      <c r="C3097" t="n">
        <v>0</v>
      </c>
      <c r="D3097" t="n">
        <v>1136</v>
      </c>
      <c r="E3097" t="s">
        <v>3108</v>
      </c>
      <c r="F3097">
        <f>HYPERLINK("https://video.twimg.com/amplify_video/973647245185835009/vid/1280x720/N6b133baTElfNKWn.mp4", "https://video.twimg.com/amplify_video/973647245185835009/vid/1280x720/N6b133baTElfNKWn.mp4")</f>
        <v/>
      </c>
      <c r="G3097" t="s"/>
      <c r="H3097" t="s"/>
      <c r="I3097" t="s"/>
      <c r="J3097" t="n">
        <v>-0.5256</v>
      </c>
      <c r="K3097" t="n">
        <v>0.152</v>
      </c>
      <c r="L3097" t="n">
        <v>0.848</v>
      </c>
      <c r="M3097" t="n">
        <v>0</v>
      </c>
    </row>
    <row r="3098" spans="1:13">
      <c r="A3098" s="1">
        <f>HYPERLINK("http://www.twitter.com/NathanBLawrence/status/973690576708227073", "973690576708227073")</f>
        <v/>
      </c>
      <c r="B3098" s="2" t="n">
        <v>43172.9455787037</v>
      </c>
      <c r="C3098" t="n">
        <v>0</v>
      </c>
      <c r="D3098" t="n">
        <v>109</v>
      </c>
      <c r="E3098" t="s">
        <v>3109</v>
      </c>
      <c r="F3098">
        <f>HYPERLINK("https://video.twimg.com/ext_tw_video/973675576862023680/pu/vid/1280x720/37ZWwJbSTOUWqbmN.mp4", "https://video.twimg.com/ext_tw_video/973675576862023680/pu/vid/1280x720/37ZWwJbSTOUWqbmN.mp4")</f>
        <v/>
      </c>
      <c r="G3098" t="s"/>
      <c r="H3098" t="s"/>
      <c r="I3098" t="s"/>
      <c r="J3098" t="n">
        <v>0.296</v>
      </c>
      <c r="K3098" t="n">
        <v>0</v>
      </c>
      <c r="L3098" t="n">
        <v>0.855</v>
      </c>
      <c r="M3098" t="n">
        <v>0.145</v>
      </c>
    </row>
    <row r="3099" spans="1:13">
      <c r="A3099" s="1">
        <f>HYPERLINK("http://www.twitter.com/NathanBLawrence/status/973690013270597632", "973690013270597632")</f>
        <v/>
      </c>
      <c r="B3099" s="2" t="n">
        <v>43172.94402777778</v>
      </c>
      <c r="C3099" t="n">
        <v>0</v>
      </c>
      <c r="D3099" t="n">
        <v>184</v>
      </c>
      <c r="E3099" t="s">
        <v>3110</v>
      </c>
      <c r="F3099">
        <f>HYPERLINK("https://video.twimg.com/ext_tw_video/973644456946749441/pu/vid/1280x720/BwNChJwa-WhSEZQg.mp4", "https://video.twimg.com/ext_tw_video/973644456946749441/pu/vid/1280x720/BwNChJwa-WhSEZQg.mp4")</f>
        <v/>
      </c>
      <c r="G3099" t="s"/>
      <c r="H3099" t="s"/>
      <c r="I3099" t="s"/>
      <c r="J3099" t="n">
        <v>0.2732</v>
      </c>
      <c r="K3099" t="n">
        <v>0</v>
      </c>
      <c r="L3099" t="n">
        <v>0.909</v>
      </c>
      <c r="M3099" t="n">
        <v>0.091</v>
      </c>
    </row>
    <row r="3100" spans="1:13">
      <c r="A3100" s="1">
        <f>HYPERLINK("http://www.twitter.com/NathanBLawrence/status/973689886904635392", "973689886904635392")</f>
        <v/>
      </c>
      <c r="B3100" s="2" t="n">
        <v>43172.94366898148</v>
      </c>
      <c r="C3100" t="n">
        <v>0</v>
      </c>
      <c r="D3100" t="n">
        <v>6251</v>
      </c>
      <c r="E3100" t="s">
        <v>3111</v>
      </c>
      <c r="F3100" t="s"/>
      <c r="G3100" t="s"/>
      <c r="H3100" t="s"/>
      <c r="I3100" t="s"/>
      <c r="J3100" t="n">
        <v>-0.296</v>
      </c>
      <c r="K3100" t="n">
        <v>0.099</v>
      </c>
      <c r="L3100" t="n">
        <v>0.901</v>
      </c>
      <c r="M3100" t="n">
        <v>0</v>
      </c>
    </row>
    <row r="3101" spans="1:13">
      <c r="A3101" s="1">
        <f>HYPERLINK("http://www.twitter.com/NathanBLawrence/status/973689811012935681", "973689811012935681")</f>
        <v/>
      </c>
      <c r="B3101" s="2" t="n">
        <v>43172.94346064814</v>
      </c>
      <c r="C3101" t="n">
        <v>0</v>
      </c>
      <c r="D3101" t="n">
        <v>25740</v>
      </c>
      <c r="E3101" t="s">
        <v>3112</v>
      </c>
      <c r="F3101">
        <f>HYPERLINK("https://video.twimg.com/ext_tw_video/973684685359300608/pu/vid/1280x720/gctGbHCN_Z3K3rW0.mp4", "https://video.twimg.com/ext_tw_video/973684685359300608/pu/vid/1280x720/gctGbHCN_Z3K3rW0.mp4")</f>
        <v/>
      </c>
      <c r="G3101" t="s"/>
      <c r="H3101" t="s"/>
      <c r="I3101" t="s"/>
      <c r="J3101" t="n">
        <v>0</v>
      </c>
      <c r="K3101" t="n">
        <v>0</v>
      </c>
      <c r="L3101" t="n">
        <v>1</v>
      </c>
      <c r="M3101" t="n">
        <v>0</v>
      </c>
    </row>
    <row r="3102" spans="1:13">
      <c r="A3102" s="1">
        <f>HYPERLINK("http://www.twitter.com/NathanBLawrence/status/973605378628947968", "973605378628947968")</f>
        <v/>
      </c>
      <c r="B3102" s="2" t="n">
        <v>43172.71047453704</v>
      </c>
      <c r="C3102" t="n">
        <v>0</v>
      </c>
      <c r="D3102" t="n">
        <v>53</v>
      </c>
      <c r="E3102" t="s">
        <v>3113</v>
      </c>
      <c r="F3102">
        <f>HYPERLINK("http://pbs.twimg.com/media/DYLXN50VQAchzZh.jpg", "http://pbs.twimg.com/media/DYLXN50VQAchzZh.jpg")</f>
        <v/>
      </c>
      <c r="G3102" t="s"/>
      <c r="H3102" t="s"/>
      <c r="I3102" t="s"/>
      <c r="J3102" t="n">
        <v>0</v>
      </c>
      <c r="K3102" t="n">
        <v>0</v>
      </c>
      <c r="L3102" t="n">
        <v>1</v>
      </c>
      <c r="M3102" t="n">
        <v>0</v>
      </c>
    </row>
    <row r="3103" spans="1:13">
      <c r="A3103" s="1">
        <f>HYPERLINK("http://www.twitter.com/NathanBLawrence/status/973604728692248576", "973604728692248576")</f>
        <v/>
      </c>
      <c r="B3103" s="2" t="n">
        <v>43172.70868055556</v>
      </c>
      <c r="C3103" t="n">
        <v>0</v>
      </c>
      <c r="D3103" t="n">
        <v>3070</v>
      </c>
      <c r="E3103" t="s">
        <v>3114</v>
      </c>
      <c r="F3103">
        <f>HYPERLINK("http://pbs.twimg.com/media/DYLKGEoXcAIj8OM.jpg", "http://pbs.twimg.com/media/DYLKGEoXcAIj8OM.jpg")</f>
        <v/>
      </c>
      <c r="G3103" t="s"/>
      <c r="H3103" t="s"/>
      <c r="I3103" t="s"/>
      <c r="J3103" t="n">
        <v>0.3802</v>
      </c>
      <c r="K3103" t="n">
        <v>0</v>
      </c>
      <c r="L3103" t="n">
        <v>0.89</v>
      </c>
      <c r="M3103" t="n">
        <v>0.11</v>
      </c>
    </row>
    <row r="3104" spans="1:13">
      <c r="A3104" s="1">
        <f>HYPERLINK("http://www.twitter.com/NathanBLawrence/status/973604675487399937", "973604675487399937")</f>
        <v/>
      </c>
      <c r="B3104" s="2" t="n">
        <v>43172.70853009259</v>
      </c>
      <c r="C3104" t="n">
        <v>0</v>
      </c>
      <c r="D3104" t="n">
        <v>1929</v>
      </c>
      <c r="E3104" t="s">
        <v>3115</v>
      </c>
      <c r="F3104">
        <f>HYPERLINK("https://video.twimg.com/ext_tw_video/973305187665399809/pu/vid/1280x720/8McIA5Bgad3g3HpV.mp4", "https://video.twimg.com/ext_tw_video/973305187665399809/pu/vid/1280x720/8McIA5Bgad3g3HpV.mp4")</f>
        <v/>
      </c>
      <c r="G3104" t="s"/>
      <c r="H3104" t="s"/>
      <c r="I3104" t="s"/>
      <c r="J3104" t="n">
        <v>-0.5106000000000001</v>
      </c>
      <c r="K3104" t="n">
        <v>0.301</v>
      </c>
      <c r="L3104" t="n">
        <v>0.699</v>
      </c>
      <c r="M3104" t="n">
        <v>0</v>
      </c>
    </row>
    <row r="3105" spans="1:13">
      <c r="A3105" s="1">
        <f>HYPERLINK("http://www.twitter.com/NathanBLawrence/status/973604439100620800", "973604439100620800")</f>
        <v/>
      </c>
      <c r="B3105" s="2" t="n">
        <v>43172.70788194444</v>
      </c>
      <c r="C3105" t="n">
        <v>0</v>
      </c>
      <c r="D3105" t="n">
        <v>2</v>
      </c>
      <c r="E3105" t="s">
        <v>3116</v>
      </c>
      <c r="F3105">
        <f>HYPERLINK("http://pbs.twimg.com/media/DYLsgneVoAAQKht.jpg", "http://pbs.twimg.com/media/DYLsgneVoAAQKht.jpg")</f>
        <v/>
      </c>
      <c r="G3105" t="s"/>
      <c r="H3105" t="s"/>
      <c r="I3105" t="s"/>
      <c r="J3105" t="n">
        <v>-0.34</v>
      </c>
      <c r="K3105" t="n">
        <v>0.107</v>
      </c>
      <c r="L3105" t="n">
        <v>0.893</v>
      </c>
      <c r="M3105" t="n">
        <v>0</v>
      </c>
    </row>
    <row r="3106" spans="1:13">
      <c r="A3106" s="1">
        <f>HYPERLINK("http://www.twitter.com/NathanBLawrence/status/973604389222014976", "973604389222014976")</f>
        <v/>
      </c>
      <c r="B3106" s="2" t="n">
        <v>43172.70774305556</v>
      </c>
      <c r="C3106" t="n">
        <v>0</v>
      </c>
      <c r="D3106" t="n">
        <v>6076</v>
      </c>
      <c r="E3106" t="s">
        <v>3117</v>
      </c>
      <c r="F3106">
        <f>HYPERLINK("https://video.twimg.com/ext_tw_video/973561505101897728/pu/vid/640x360/hMJF9H8MGEw-7hQ8.mp4", "https://video.twimg.com/ext_tw_video/973561505101897728/pu/vid/640x360/hMJF9H8MGEw-7hQ8.mp4")</f>
        <v/>
      </c>
      <c r="G3106" t="s"/>
      <c r="H3106" t="s"/>
      <c r="I3106" t="s"/>
      <c r="J3106" t="n">
        <v>0</v>
      </c>
      <c r="K3106" t="n">
        <v>0</v>
      </c>
      <c r="L3106" t="n">
        <v>1</v>
      </c>
      <c r="M3106" t="n">
        <v>0</v>
      </c>
    </row>
    <row r="3107" spans="1:13">
      <c r="A3107" s="1">
        <f>HYPERLINK("http://www.twitter.com/NathanBLawrence/status/973604151425937409", "973604151425937409")</f>
        <v/>
      </c>
      <c r="B3107" s="2" t="n">
        <v>43172.7070949074</v>
      </c>
      <c r="C3107" t="n">
        <v>0</v>
      </c>
      <c r="D3107" t="n">
        <v>2371</v>
      </c>
      <c r="E3107" t="s">
        <v>3118</v>
      </c>
      <c r="F3107">
        <f>HYPERLINK("https://video.twimg.com/ext_tw_video/973545826374094849/pu/vid/1280x720/urlhxuUVC8tl6lqt.mp4", "https://video.twimg.com/ext_tw_video/973545826374094849/pu/vid/1280x720/urlhxuUVC8tl6lqt.mp4")</f>
        <v/>
      </c>
      <c r="G3107" t="s"/>
      <c r="H3107" t="s"/>
      <c r="I3107" t="s"/>
      <c r="J3107" t="n">
        <v>-0.2714</v>
      </c>
      <c r="K3107" t="n">
        <v>0.191</v>
      </c>
      <c r="L3107" t="n">
        <v>0.674</v>
      </c>
      <c r="M3107" t="n">
        <v>0.135</v>
      </c>
    </row>
    <row r="3108" spans="1:13">
      <c r="A3108" s="1">
        <f>HYPERLINK("http://www.twitter.com/NathanBLawrence/status/973603403694792704", "973603403694792704")</f>
        <v/>
      </c>
      <c r="B3108" s="2" t="n">
        <v>43172.70502314815</v>
      </c>
      <c r="C3108" t="n">
        <v>0</v>
      </c>
      <c r="D3108" t="n">
        <v>85</v>
      </c>
      <c r="E3108" t="s">
        <v>3119</v>
      </c>
      <c r="F3108">
        <f>HYPERLINK("http://pbs.twimg.com/media/DYLh-77UQAA8sob.jpg", "http://pbs.twimg.com/media/DYLh-77UQAA8sob.jpg")</f>
        <v/>
      </c>
      <c r="G3108" t="s"/>
      <c r="H3108" t="s"/>
      <c r="I3108" t="s"/>
      <c r="J3108" t="n">
        <v>-0.4767</v>
      </c>
      <c r="K3108" t="n">
        <v>0.162</v>
      </c>
      <c r="L3108" t="n">
        <v>0.838</v>
      </c>
      <c r="M3108" t="n">
        <v>0</v>
      </c>
    </row>
    <row r="3109" spans="1:13">
      <c r="A3109" s="1">
        <f>HYPERLINK("http://www.twitter.com/NathanBLawrence/status/973603258437722113", "973603258437722113")</f>
        <v/>
      </c>
      <c r="B3109" s="2" t="n">
        <v>43172.70462962963</v>
      </c>
      <c r="C3109" t="n">
        <v>0</v>
      </c>
      <c r="D3109" t="n">
        <v>733</v>
      </c>
      <c r="E3109" t="s">
        <v>3120</v>
      </c>
      <c r="F3109">
        <f>HYPERLINK("https://video.twimg.com/ext_tw_video/972543356831088640/pu/vid/640x360/wrENT9RmGy1WaOZg.mp4", "https://video.twimg.com/ext_tw_video/972543356831088640/pu/vid/640x360/wrENT9RmGy1WaOZg.mp4")</f>
        <v/>
      </c>
      <c r="G3109" t="s"/>
      <c r="H3109" t="s"/>
      <c r="I3109" t="s"/>
      <c r="J3109" t="n">
        <v>-0.2003</v>
      </c>
      <c r="K3109" t="n">
        <v>0.152</v>
      </c>
      <c r="L3109" t="n">
        <v>0.848</v>
      </c>
      <c r="M3109" t="n">
        <v>0</v>
      </c>
    </row>
    <row r="3110" spans="1:13">
      <c r="A3110" s="1">
        <f>HYPERLINK("http://www.twitter.com/NathanBLawrence/status/973603078766243842", "973603078766243842")</f>
        <v/>
      </c>
      <c r="B3110" s="2" t="n">
        <v>43172.70413194445</v>
      </c>
      <c r="C3110" t="n">
        <v>0</v>
      </c>
      <c r="D3110" t="n">
        <v>5</v>
      </c>
      <c r="E3110" t="s">
        <v>3121</v>
      </c>
      <c r="F3110" t="s"/>
      <c r="G3110" t="s"/>
      <c r="H3110" t="s"/>
      <c r="I3110" t="s"/>
      <c r="J3110" t="n">
        <v>-0.8934</v>
      </c>
      <c r="K3110" t="n">
        <v>0.438</v>
      </c>
      <c r="L3110" t="n">
        <v>0.5620000000000001</v>
      </c>
      <c r="M3110" t="n">
        <v>0</v>
      </c>
    </row>
    <row r="3111" spans="1:13">
      <c r="A3111" s="1">
        <f>HYPERLINK("http://www.twitter.com/NathanBLawrence/status/973602859135750144", "973602859135750144")</f>
        <v/>
      </c>
      <c r="B3111" s="2" t="n">
        <v>43172.70351851852</v>
      </c>
      <c r="C3111" t="n">
        <v>0</v>
      </c>
      <c r="D3111" t="n">
        <v>255</v>
      </c>
      <c r="E3111" t="s">
        <v>3122</v>
      </c>
      <c r="F3111">
        <f>HYPERLINK("http://pbs.twimg.com/media/DYLQ_tSV4AABKyI.jpg", "http://pbs.twimg.com/media/DYLQ_tSV4AABKyI.jpg")</f>
        <v/>
      </c>
      <c r="G3111" t="s"/>
      <c r="H3111" t="s"/>
      <c r="I3111" t="s"/>
      <c r="J3111" t="n">
        <v>-0.4939</v>
      </c>
      <c r="K3111" t="n">
        <v>0.118</v>
      </c>
      <c r="L3111" t="n">
        <v>0.882</v>
      </c>
      <c r="M3111" t="n">
        <v>0</v>
      </c>
    </row>
    <row r="3112" spans="1:13">
      <c r="A3112" s="1">
        <f>HYPERLINK("http://www.twitter.com/NathanBLawrence/status/973602490984824833", "973602490984824833")</f>
        <v/>
      </c>
      <c r="B3112" s="2" t="n">
        <v>43172.70251157408</v>
      </c>
      <c r="C3112" t="n">
        <v>0</v>
      </c>
      <c r="D3112" t="n">
        <v>465</v>
      </c>
      <c r="E3112" t="s">
        <v>3123</v>
      </c>
      <c r="F3112">
        <f>HYPERLINK("http://pbs.twimg.com/media/DYK9ovfV4AAcOMb.jpg", "http://pbs.twimg.com/media/DYK9ovfV4AAcOMb.jpg")</f>
        <v/>
      </c>
      <c r="G3112" t="s"/>
      <c r="H3112" t="s"/>
      <c r="I3112" t="s"/>
      <c r="J3112" t="n">
        <v>0.1655</v>
      </c>
      <c r="K3112" t="n">
        <v>0</v>
      </c>
      <c r="L3112" t="n">
        <v>0.9379999999999999</v>
      </c>
      <c r="M3112" t="n">
        <v>0.062</v>
      </c>
    </row>
    <row r="3113" spans="1:13">
      <c r="A3113" s="1">
        <f>HYPERLINK("http://www.twitter.com/NathanBLawrence/status/973602257773117441", "973602257773117441")</f>
        <v/>
      </c>
      <c r="B3113" s="2" t="n">
        <v>43172.70186342593</v>
      </c>
      <c r="C3113" t="n">
        <v>0</v>
      </c>
      <c r="D3113" t="n">
        <v>2</v>
      </c>
      <c r="E3113" t="s">
        <v>3124</v>
      </c>
      <c r="F3113" t="s"/>
      <c r="G3113" t="s"/>
      <c r="H3113" t="s"/>
      <c r="I3113" t="s"/>
      <c r="J3113" t="n">
        <v>0.0772</v>
      </c>
      <c r="K3113" t="n">
        <v>0.159</v>
      </c>
      <c r="L3113" t="n">
        <v>0.662</v>
      </c>
      <c r="M3113" t="n">
        <v>0.179</v>
      </c>
    </row>
    <row r="3114" spans="1:13">
      <c r="A3114" s="1">
        <f>HYPERLINK("http://www.twitter.com/NathanBLawrence/status/973601896803065856", "973601896803065856")</f>
        <v/>
      </c>
      <c r="B3114" s="2" t="n">
        <v>43172.70086805556</v>
      </c>
      <c r="C3114" t="n">
        <v>0</v>
      </c>
      <c r="D3114" t="n">
        <v>21</v>
      </c>
      <c r="E3114" t="s">
        <v>3125</v>
      </c>
      <c r="F3114">
        <f>HYPERLINK("http://pbs.twimg.com/media/DYLqxl8U0AEwRvq.jpg", "http://pbs.twimg.com/media/DYLqxl8U0AEwRvq.jpg")</f>
        <v/>
      </c>
      <c r="G3114" t="s"/>
      <c r="H3114" t="s"/>
      <c r="I3114" t="s"/>
      <c r="J3114" t="n">
        <v>-0.8074</v>
      </c>
      <c r="K3114" t="n">
        <v>0.39</v>
      </c>
      <c r="L3114" t="n">
        <v>0.61</v>
      </c>
      <c r="M3114" t="n">
        <v>0</v>
      </c>
    </row>
    <row r="3115" spans="1:13">
      <c r="A3115" s="1">
        <f>HYPERLINK("http://www.twitter.com/NathanBLawrence/status/973598635370926081", "973598635370926081")</f>
        <v/>
      </c>
      <c r="B3115" s="2" t="n">
        <v>43172.69186342593</v>
      </c>
      <c r="C3115" t="n">
        <v>0</v>
      </c>
      <c r="D3115" t="n">
        <v>2</v>
      </c>
      <c r="E3115" t="s">
        <v>3126</v>
      </c>
      <c r="F3115">
        <f>HYPERLINK("http://pbs.twimg.com/media/DYLl-FOV4AA95b-.jpg", "http://pbs.twimg.com/media/DYLl-FOV4AA95b-.jpg")</f>
        <v/>
      </c>
      <c r="G3115" t="s"/>
      <c r="H3115" t="s"/>
      <c r="I3115" t="s"/>
      <c r="J3115" t="n">
        <v>0</v>
      </c>
      <c r="K3115" t="n">
        <v>0</v>
      </c>
      <c r="L3115" t="n">
        <v>1</v>
      </c>
      <c r="M3115" t="n">
        <v>0</v>
      </c>
    </row>
    <row r="3116" spans="1:13">
      <c r="A3116" s="1">
        <f>HYPERLINK("http://www.twitter.com/NathanBLawrence/status/973598203147890688", "973598203147890688")</f>
        <v/>
      </c>
      <c r="B3116" s="2" t="n">
        <v>43172.6906712963</v>
      </c>
      <c r="C3116" t="n">
        <v>0</v>
      </c>
      <c r="D3116" t="n">
        <v>3924</v>
      </c>
      <c r="E3116" t="s">
        <v>3127</v>
      </c>
      <c r="F3116" t="s"/>
      <c r="G3116" t="s"/>
      <c r="H3116" t="s"/>
      <c r="I3116" t="s"/>
      <c r="J3116" t="n">
        <v>-0.4854</v>
      </c>
      <c r="K3116" t="n">
        <v>0.205</v>
      </c>
      <c r="L3116" t="n">
        <v>0.795</v>
      </c>
      <c r="M3116" t="n">
        <v>0</v>
      </c>
    </row>
    <row r="3117" spans="1:13">
      <c r="A3117" s="1">
        <f>HYPERLINK("http://www.twitter.com/NathanBLawrence/status/973598159388717058", "973598159388717058")</f>
        <v/>
      </c>
      <c r="B3117" s="2" t="n">
        <v>43172.69055555556</v>
      </c>
      <c r="C3117" t="n">
        <v>0</v>
      </c>
      <c r="D3117" t="n">
        <v>4401</v>
      </c>
      <c r="E3117" t="s">
        <v>3128</v>
      </c>
      <c r="F3117">
        <f>HYPERLINK("http://pbs.twimg.com/media/DYKoIvoXUAAz0uE.jpg", "http://pbs.twimg.com/media/DYKoIvoXUAAz0uE.jpg")</f>
        <v/>
      </c>
      <c r="G3117" t="s"/>
      <c r="H3117" t="s"/>
      <c r="I3117" t="s"/>
      <c r="J3117" t="n">
        <v>0</v>
      </c>
      <c r="K3117" t="n">
        <v>0</v>
      </c>
      <c r="L3117" t="n">
        <v>1</v>
      </c>
      <c r="M3117" t="n">
        <v>0</v>
      </c>
    </row>
    <row r="3118" spans="1:13">
      <c r="A3118" s="1">
        <f>HYPERLINK("http://www.twitter.com/NathanBLawrence/status/973597919541628928", "973597919541628928")</f>
        <v/>
      </c>
      <c r="B3118" s="2" t="n">
        <v>43172.68989583333</v>
      </c>
      <c r="C3118" t="n">
        <v>0</v>
      </c>
      <c r="D3118" t="n">
        <v>483</v>
      </c>
      <c r="E3118" t="s">
        <v>3129</v>
      </c>
      <c r="F3118">
        <f>HYPERLINK("http://pbs.twimg.com/media/DYCqG-QV4AAlJxb.jpg", "http://pbs.twimg.com/media/DYCqG-QV4AAlJxb.jpg")</f>
        <v/>
      </c>
      <c r="G3118">
        <f>HYPERLINK("http://pbs.twimg.com/media/DYCqG-QVAAA-rjm.jpg", "http://pbs.twimg.com/media/DYCqG-QVAAA-rjm.jpg")</f>
        <v/>
      </c>
      <c r="H3118" t="s"/>
      <c r="I3118" t="s"/>
      <c r="J3118" t="n">
        <v>-0.7717000000000001</v>
      </c>
      <c r="K3118" t="n">
        <v>0.262</v>
      </c>
      <c r="L3118" t="n">
        <v>0.59</v>
      </c>
      <c r="M3118" t="n">
        <v>0.148</v>
      </c>
    </row>
    <row r="3119" spans="1:13">
      <c r="A3119" s="1">
        <f>HYPERLINK("http://www.twitter.com/NathanBLawrence/status/973597434860527616", "973597434860527616")</f>
        <v/>
      </c>
      <c r="B3119" s="2" t="n">
        <v>43172.68855324074</v>
      </c>
      <c r="C3119" t="n">
        <v>0</v>
      </c>
      <c r="D3119" t="n">
        <v>202</v>
      </c>
      <c r="E3119" t="s">
        <v>3130</v>
      </c>
      <c r="F3119" t="s"/>
      <c r="G3119" t="s"/>
      <c r="H3119" t="s"/>
      <c r="I3119" t="s"/>
      <c r="J3119" t="n">
        <v>-0.3612</v>
      </c>
      <c r="K3119" t="n">
        <v>0.106</v>
      </c>
      <c r="L3119" t="n">
        <v>0.894</v>
      </c>
      <c r="M3119" t="n">
        <v>0</v>
      </c>
    </row>
    <row r="3120" spans="1:13">
      <c r="A3120" s="1">
        <f>HYPERLINK("http://www.twitter.com/NathanBLawrence/status/973596861213880320", "973596861213880320")</f>
        <v/>
      </c>
      <c r="B3120" s="2" t="n">
        <v>43172.68696759259</v>
      </c>
      <c r="C3120" t="n">
        <v>0</v>
      </c>
      <c r="D3120" t="n">
        <v>14</v>
      </c>
      <c r="E3120" t="s">
        <v>3131</v>
      </c>
      <c r="F3120" t="s"/>
      <c r="G3120" t="s"/>
      <c r="H3120" t="s"/>
      <c r="I3120" t="s"/>
      <c r="J3120" t="n">
        <v>0.8949</v>
      </c>
      <c r="K3120" t="n">
        <v>0.051</v>
      </c>
      <c r="L3120" t="n">
        <v>0.544</v>
      </c>
      <c r="M3120" t="n">
        <v>0.405</v>
      </c>
    </row>
    <row r="3121" spans="1:13">
      <c r="A3121" s="1">
        <f>HYPERLINK("http://www.twitter.com/NathanBLawrence/status/973596573757255687", "973596573757255687")</f>
        <v/>
      </c>
      <c r="B3121" s="2" t="n">
        <v>43172.68618055555</v>
      </c>
      <c r="C3121" t="n">
        <v>0</v>
      </c>
      <c r="D3121" t="n">
        <v>190</v>
      </c>
      <c r="E3121" t="s">
        <v>3132</v>
      </c>
      <c r="F3121" t="s"/>
      <c r="G3121" t="s"/>
      <c r="H3121" t="s"/>
      <c r="I3121" t="s"/>
      <c r="J3121" t="n">
        <v>0.2263</v>
      </c>
      <c r="K3121" t="n">
        <v>0</v>
      </c>
      <c r="L3121" t="n">
        <v>0.888</v>
      </c>
      <c r="M3121" t="n">
        <v>0.112</v>
      </c>
    </row>
    <row r="3122" spans="1:13">
      <c r="A3122" s="1">
        <f>HYPERLINK("http://www.twitter.com/NathanBLawrence/status/973596429057961985", "973596429057961985")</f>
        <v/>
      </c>
      <c r="B3122" s="2" t="n">
        <v>43172.68577546296</v>
      </c>
      <c r="C3122" t="n">
        <v>0</v>
      </c>
      <c r="D3122" t="n">
        <v>37</v>
      </c>
      <c r="E3122" t="s">
        <v>3133</v>
      </c>
      <c r="F3122" t="s"/>
      <c r="G3122" t="s"/>
      <c r="H3122" t="s"/>
      <c r="I3122" t="s"/>
      <c r="J3122" t="n">
        <v>-0.4215</v>
      </c>
      <c r="K3122" t="n">
        <v>0.113</v>
      </c>
      <c r="L3122" t="n">
        <v>0.887</v>
      </c>
      <c r="M3122" t="n">
        <v>0</v>
      </c>
    </row>
    <row r="3123" spans="1:13">
      <c r="A3123" s="1">
        <f>HYPERLINK("http://www.twitter.com/NathanBLawrence/status/973596138132705283", "973596138132705283")</f>
        <v/>
      </c>
      <c r="B3123" s="2" t="n">
        <v>43172.68497685185</v>
      </c>
      <c r="C3123" t="n">
        <v>0</v>
      </c>
      <c r="D3123" t="n">
        <v>14</v>
      </c>
      <c r="E3123" t="s">
        <v>3134</v>
      </c>
      <c r="F3123" t="s"/>
      <c r="G3123" t="s"/>
      <c r="H3123" t="s"/>
      <c r="I3123" t="s"/>
      <c r="J3123" t="n">
        <v>-0.0772</v>
      </c>
      <c r="K3123" t="n">
        <v>0.121</v>
      </c>
      <c r="L3123" t="n">
        <v>0.729</v>
      </c>
      <c r="M3123" t="n">
        <v>0.15</v>
      </c>
    </row>
    <row r="3124" spans="1:13">
      <c r="A3124" s="1">
        <f>HYPERLINK("http://www.twitter.com/NathanBLawrence/status/973590740742832131", "973590740742832131")</f>
        <v/>
      </c>
      <c r="B3124" s="2" t="n">
        <v>43172.67008101852</v>
      </c>
      <c r="C3124" t="n">
        <v>0</v>
      </c>
      <c r="D3124" t="n">
        <v>3131</v>
      </c>
      <c r="E3124" t="s">
        <v>3135</v>
      </c>
      <c r="F3124">
        <f>HYPERLINK("https://video.twimg.com/ext_tw_video/973575453154992129/pu/vid/1280x720/jbiDj-UCds7KqCY5.mp4", "https://video.twimg.com/ext_tw_video/973575453154992129/pu/vid/1280x720/jbiDj-UCds7KqCY5.mp4")</f>
        <v/>
      </c>
      <c r="G3124" t="s"/>
      <c r="H3124" t="s"/>
      <c r="I3124" t="s"/>
      <c r="J3124" t="n">
        <v>-0.7269</v>
      </c>
      <c r="K3124" t="n">
        <v>0.243</v>
      </c>
      <c r="L3124" t="n">
        <v>0.757</v>
      </c>
      <c r="M3124" t="n">
        <v>0</v>
      </c>
    </row>
    <row r="3125" spans="1:13">
      <c r="A3125" s="1">
        <f>HYPERLINK("http://www.twitter.com/NathanBLawrence/status/973590641786703878", "973590641786703878")</f>
        <v/>
      </c>
      <c r="B3125" s="2" t="n">
        <v>43172.66981481481</v>
      </c>
      <c r="C3125" t="n">
        <v>0</v>
      </c>
      <c r="D3125" t="n">
        <v>16597</v>
      </c>
      <c r="E3125" t="s">
        <v>3136</v>
      </c>
      <c r="F3125">
        <f>HYPERLINK("http://pbs.twimg.com/media/DYLPhyVVMAAm9KC.jpg", "http://pbs.twimg.com/media/DYLPhyVVMAAm9KC.jpg")</f>
        <v/>
      </c>
      <c r="G3125" t="s"/>
      <c r="H3125" t="s"/>
      <c r="I3125" t="s"/>
      <c r="J3125" t="n">
        <v>0</v>
      </c>
      <c r="K3125" t="n">
        <v>0</v>
      </c>
      <c r="L3125" t="n">
        <v>1</v>
      </c>
      <c r="M3125" t="n">
        <v>0</v>
      </c>
    </row>
    <row r="3126" spans="1:13">
      <c r="A3126" s="1">
        <f>HYPERLINK("http://www.twitter.com/NathanBLawrence/status/973590508634329089", "973590508634329089")</f>
        <v/>
      </c>
      <c r="B3126" s="2" t="n">
        <v>43172.66944444444</v>
      </c>
      <c r="C3126" t="n">
        <v>0</v>
      </c>
      <c r="D3126" t="n">
        <v>800</v>
      </c>
      <c r="E3126" t="s">
        <v>3137</v>
      </c>
      <c r="F3126" t="s"/>
      <c r="G3126" t="s"/>
      <c r="H3126" t="s"/>
      <c r="I3126" t="s"/>
      <c r="J3126" t="n">
        <v>-0.8552999999999999</v>
      </c>
      <c r="K3126" t="n">
        <v>0.267</v>
      </c>
      <c r="L3126" t="n">
        <v>0.733</v>
      </c>
      <c r="M3126" t="n">
        <v>0</v>
      </c>
    </row>
    <row r="3127" spans="1:13">
      <c r="A3127" s="1">
        <f>HYPERLINK("http://www.twitter.com/NathanBLawrence/status/973590256200159233", "973590256200159233")</f>
        <v/>
      </c>
      <c r="B3127" s="2" t="n">
        <v>43172.66875</v>
      </c>
      <c r="C3127" t="n">
        <v>0</v>
      </c>
      <c r="D3127" t="n">
        <v>19919</v>
      </c>
      <c r="E3127" t="s">
        <v>3138</v>
      </c>
      <c r="F3127" t="s"/>
      <c r="G3127" t="s"/>
      <c r="H3127" t="s"/>
      <c r="I3127" t="s"/>
      <c r="J3127" t="n">
        <v>-0.1027</v>
      </c>
      <c r="K3127" t="n">
        <v>0.065</v>
      </c>
      <c r="L3127" t="n">
        <v>0.9350000000000001</v>
      </c>
      <c r="M3127" t="n">
        <v>0</v>
      </c>
    </row>
    <row r="3128" spans="1:13">
      <c r="A3128" s="1">
        <f>HYPERLINK("http://www.twitter.com/NathanBLawrence/status/973590194485161984", "973590194485161984")</f>
        <v/>
      </c>
      <c r="B3128" s="2" t="n">
        <v>43172.66857638889</v>
      </c>
      <c r="C3128" t="n">
        <v>0</v>
      </c>
      <c r="D3128" t="n">
        <v>32364</v>
      </c>
      <c r="E3128" t="s">
        <v>3139</v>
      </c>
      <c r="F3128" t="s"/>
      <c r="G3128" t="s"/>
      <c r="H3128" t="s"/>
      <c r="I3128" t="s"/>
      <c r="J3128" t="n">
        <v>0.1531</v>
      </c>
      <c r="K3128" t="n">
        <v>0.145</v>
      </c>
      <c r="L3128" t="n">
        <v>0.645</v>
      </c>
      <c r="M3128" t="n">
        <v>0.21</v>
      </c>
    </row>
    <row r="3129" spans="1:13">
      <c r="A3129" s="1">
        <f>HYPERLINK("http://www.twitter.com/NathanBLawrence/status/973590133386760192", "973590133386760192")</f>
        <v/>
      </c>
      <c r="B3129" s="2" t="n">
        <v>43172.66840277778</v>
      </c>
      <c r="C3129" t="n">
        <v>0</v>
      </c>
      <c r="D3129" t="n">
        <v>1732</v>
      </c>
      <c r="E3129" t="s">
        <v>3140</v>
      </c>
      <c r="F3129" t="s"/>
      <c r="G3129" t="s"/>
      <c r="H3129" t="s"/>
      <c r="I3129" t="s"/>
      <c r="J3129" t="n">
        <v>0.6808</v>
      </c>
      <c r="K3129" t="n">
        <v>0</v>
      </c>
      <c r="L3129" t="n">
        <v>0.797</v>
      </c>
      <c r="M3129" t="n">
        <v>0.203</v>
      </c>
    </row>
    <row r="3130" spans="1:13">
      <c r="A3130" s="1">
        <f>HYPERLINK("http://www.twitter.com/NathanBLawrence/status/973565342915153920", "973565342915153920")</f>
        <v/>
      </c>
      <c r="B3130" s="2" t="n">
        <v>43172.6</v>
      </c>
      <c r="C3130" t="n">
        <v>0</v>
      </c>
      <c r="D3130" t="n">
        <v>40416</v>
      </c>
      <c r="E3130" t="s">
        <v>3141</v>
      </c>
      <c r="F3130" t="s"/>
      <c r="G3130" t="s"/>
      <c r="H3130" t="s"/>
      <c r="I3130" t="s"/>
      <c r="J3130" t="n">
        <v>0.75</v>
      </c>
      <c r="K3130" t="n">
        <v>0</v>
      </c>
      <c r="L3130" t="n">
        <v>0.775</v>
      </c>
      <c r="M3130" t="n">
        <v>0.225</v>
      </c>
    </row>
    <row r="3131" spans="1:13">
      <c r="A3131" s="1">
        <f>HYPERLINK("http://www.twitter.com/NathanBLawrence/status/973419415650873344", "973419415650873344")</f>
        <v/>
      </c>
      <c r="B3131" s="2" t="n">
        <v>43172.19731481482</v>
      </c>
      <c r="C3131" t="n">
        <v>0</v>
      </c>
      <c r="D3131" t="n">
        <v>14</v>
      </c>
      <c r="E3131" t="s">
        <v>3142</v>
      </c>
      <c r="F3131">
        <f>HYPERLINK("http://pbs.twimg.com/media/DYFx5AYW4AAV6Fs.jpg", "http://pbs.twimg.com/media/DYFx5AYW4AAV6Fs.jpg")</f>
        <v/>
      </c>
      <c r="G3131" t="s"/>
      <c r="H3131" t="s"/>
      <c r="I3131" t="s"/>
      <c r="J3131" t="n">
        <v>0</v>
      </c>
      <c r="K3131" t="n">
        <v>0</v>
      </c>
      <c r="L3131" t="n">
        <v>1</v>
      </c>
      <c r="M3131" t="n">
        <v>0</v>
      </c>
    </row>
    <row r="3132" spans="1:13">
      <c r="A3132" s="1">
        <f>HYPERLINK("http://www.twitter.com/NathanBLawrence/status/973416866629775366", "973416866629775366")</f>
        <v/>
      </c>
      <c r="B3132" s="2" t="n">
        <v>43172.19027777778</v>
      </c>
      <c r="C3132" t="n">
        <v>0</v>
      </c>
      <c r="D3132" t="n">
        <v>121</v>
      </c>
      <c r="E3132" t="s">
        <v>3143</v>
      </c>
      <c r="F3132" t="s"/>
      <c r="G3132" t="s"/>
      <c r="H3132" t="s"/>
      <c r="I3132" t="s"/>
      <c r="J3132" t="n">
        <v>0</v>
      </c>
      <c r="K3132" t="n">
        <v>0</v>
      </c>
      <c r="L3132" t="n">
        <v>1</v>
      </c>
      <c r="M3132" t="n">
        <v>0</v>
      </c>
    </row>
    <row r="3133" spans="1:13">
      <c r="A3133" s="1">
        <f>HYPERLINK("http://www.twitter.com/NathanBLawrence/status/973416316626456579", "973416316626456579")</f>
        <v/>
      </c>
      <c r="B3133" s="2" t="n">
        <v>43172.18876157407</v>
      </c>
      <c r="C3133" t="n">
        <v>0</v>
      </c>
      <c r="D3133" t="n">
        <v>1</v>
      </c>
      <c r="E3133" t="s">
        <v>3144</v>
      </c>
      <c r="F3133" t="s"/>
      <c r="G3133" t="s"/>
      <c r="H3133" t="s"/>
      <c r="I3133" t="s"/>
      <c r="J3133" t="n">
        <v>-0.0772</v>
      </c>
      <c r="K3133" t="n">
        <v>0.112</v>
      </c>
      <c r="L3133" t="n">
        <v>0.791</v>
      </c>
      <c r="M3133" t="n">
        <v>0.098</v>
      </c>
    </row>
    <row r="3134" spans="1:13">
      <c r="A3134" s="1">
        <f>HYPERLINK("http://www.twitter.com/NathanBLawrence/status/973415397071511552", "973415397071511552")</f>
        <v/>
      </c>
      <c r="B3134" s="2" t="n">
        <v>43172.18622685185</v>
      </c>
      <c r="C3134" t="n">
        <v>0</v>
      </c>
      <c r="D3134" t="n">
        <v>740</v>
      </c>
      <c r="E3134" t="s">
        <v>3145</v>
      </c>
      <c r="F3134">
        <f>HYPERLINK("http://pbs.twimg.com/media/DX9UAvBWAAEwUZ6.jpg", "http://pbs.twimg.com/media/DX9UAvBWAAEwUZ6.jpg")</f>
        <v/>
      </c>
      <c r="G3134" t="s"/>
      <c r="H3134" t="s"/>
      <c r="I3134" t="s"/>
      <c r="J3134" t="n">
        <v>0.6124000000000001</v>
      </c>
      <c r="K3134" t="n">
        <v>0</v>
      </c>
      <c r="L3134" t="n">
        <v>0.8080000000000001</v>
      </c>
      <c r="M3134" t="n">
        <v>0.192</v>
      </c>
    </row>
    <row r="3135" spans="1:13">
      <c r="A3135" s="1">
        <f>HYPERLINK("http://www.twitter.com/NathanBLawrence/status/973414004394725386", "973414004394725386")</f>
        <v/>
      </c>
      <c r="B3135" s="2" t="n">
        <v>43172.18238425926</v>
      </c>
      <c r="C3135" t="n">
        <v>0</v>
      </c>
      <c r="D3135" t="n">
        <v>234</v>
      </c>
      <c r="E3135" t="s">
        <v>3146</v>
      </c>
      <c r="F3135" t="s"/>
      <c r="G3135" t="s"/>
      <c r="H3135" t="s"/>
      <c r="I3135" t="s"/>
      <c r="J3135" t="n">
        <v>-0.296</v>
      </c>
      <c r="K3135" t="n">
        <v>0.196</v>
      </c>
      <c r="L3135" t="n">
        <v>0.804</v>
      </c>
      <c r="M3135" t="n">
        <v>0</v>
      </c>
    </row>
    <row r="3136" spans="1:13">
      <c r="A3136" s="1">
        <f>HYPERLINK("http://www.twitter.com/NathanBLawrence/status/973411991569264640", "973411991569264640")</f>
        <v/>
      </c>
      <c r="B3136" s="2" t="n">
        <v>43172.1768287037</v>
      </c>
      <c r="C3136" t="n">
        <v>0</v>
      </c>
      <c r="D3136" t="n">
        <v>444</v>
      </c>
      <c r="E3136" t="s">
        <v>3147</v>
      </c>
      <c r="F3136" t="s"/>
      <c r="G3136" t="s"/>
      <c r="H3136" t="s"/>
      <c r="I3136" t="s"/>
      <c r="J3136" t="n">
        <v>-0.7902</v>
      </c>
      <c r="K3136" t="n">
        <v>0.333</v>
      </c>
      <c r="L3136" t="n">
        <v>0.667</v>
      </c>
      <c r="M3136" t="n">
        <v>0</v>
      </c>
    </row>
    <row r="3137" spans="1:13">
      <c r="A3137" s="1">
        <f>HYPERLINK("http://www.twitter.com/NathanBLawrence/status/973411567088951296", "973411567088951296")</f>
        <v/>
      </c>
      <c r="B3137" s="2" t="n">
        <v>43172.17565972222</v>
      </c>
      <c r="C3137" t="n">
        <v>0</v>
      </c>
      <c r="D3137" t="n">
        <v>8</v>
      </c>
      <c r="E3137" t="s">
        <v>3148</v>
      </c>
      <c r="F3137" t="s"/>
      <c r="G3137" t="s"/>
      <c r="H3137" t="s"/>
      <c r="I3137" t="s"/>
      <c r="J3137" t="n">
        <v>0.6166</v>
      </c>
      <c r="K3137" t="n">
        <v>0.111</v>
      </c>
      <c r="L3137" t="n">
        <v>0.629</v>
      </c>
      <c r="M3137" t="n">
        <v>0.26</v>
      </c>
    </row>
    <row r="3138" spans="1:13">
      <c r="A3138" s="1">
        <f>HYPERLINK("http://www.twitter.com/NathanBLawrence/status/973411172627243008", "973411172627243008")</f>
        <v/>
      </c>
      <c r="B3138" s="2" t="n">
        <v>43172.17457175926</v>
      </c>
      <c r="C3138" t="n">
        <v>0</v>
      </c>
      <c r="D3138" t="n">
        <v>435</v>
      </c>
      <c r="E3138" t="s">
        <v>3149</v>
      </c>
      <c r="F3138" t="s"/>
      <c r="G3138" t="s"/>
      <c r="H3138" t="s"/>
      <c r="I3138" t="s"/>
      <c r="J3138" t="n">
        <v>-0.128</v>
      </c>
      <c r="K3138" t="n">
        <v>0.077</v>
      </c>
      <c r="L3138" t="n">
        <v>0.923</v>
      </c>
      <c r="M3138" t="n">
        <v>0</v>
      </c>
    </row>
    <row r="3139" spans="1:13">
      <c r="A3139" s="1">
        <f>HYPERLINK("http://www.twitter.com/NathanBLawrence/status/973410804337954816", "973410804337954816")</f>
        <v/>
      </c>
      <c r="B3139" s="2" t="n">
        <v>43172.17355324074</v>
      </c>
      <c r="C3139" t="n">
        <v>0</v>
      </c>
      <c r="D3139" t="n">
        <v>3</v>
      </c>
      <c r="E3139" t="s">
        <v>3150</v>
      </c>
      <c r="F3139" t="s"/>
      <c r="G3139" t="s"/>
      <c r="H3139" t="s"/>
      <c r="I3139" t="s"/>
      <c r="J3139" t="n">
        <v>0.2023</v>
      </c>
      <c r="K3139" t="n">
        <v>0.094</v>
      </c>
      <c r="L3139" t="n">
        <v>0.779</v>
      </c>
      <c r="M3139" t="n">
        <v>0.127</v>
      </c>
    </row>
    <row r="3140" spans="1:13">
      <c r="A3140" s="1">
        <f>HYPERLINK("http://www.twitter.com/NathanBLawrence/status/973410246193491969", "973410246193491969")</f>
        <v/>
      </c>
      <c r="B3140" s="2" t="n">
        <v>43172.17201388889</v>
      </c>
      <c r="C3140" t="n">
        <v>0</v>
      </c>
      <c r="D3140" t="n">
        <v>1089</v>
      </c>
      <c r="E3140" t="s">
        <v>3151</v>
      </c>
      <c r="F3140">
        <f>HYPERLINK("https://video.twimg.com/ext_tw_video/973263690907684864/pu/vid/1280x720/t6wW-99xy3yeXyKr.mp4", "https://video.twimg.com/ext_tw_video/973263690907684864/pu/vid/1280x720/t6wW-99xy3yeXyKr.mp4")</f>
        <v/>
      </c>
      <c r="G3140" t="s"/>
      <c r="H3140" t="s"/>
      <c r="I3140" t="s"/>
      <c r="J3140" t="n">
        <v>0</v>
      </c>
      <c r="K3140" t="n">
        <v>0</v>
      </c>
      <c r="L3140" t="n">
        <v>1</v>
      </c>
      <c r="M3140" t="n">
        <v>0</v>
      </c>
    </row>
    <row r="3141" spans="1:13">
      <c r="A3141" s="1">
        <f>HYPERLINK("http://www.twitter.com/NathanBLawrence/status/973410041150754816", "973410041150754816")</f>
        <v/>
      </c>
      <c r="B3141" s="2" t="n">
        <v>43172.17144675926</v>
      </c>
      <c r="C3141" t="n">
        <v>0</v>
      </c>
      <c r="D3141" t="n">
        <v>1104</v>
      </c>
      <c r="E3141" t="s">
        <v>3152</v>
      </c>
      <c r="F3141" t="s"/>
      <c r="G3141" t="s"/>
      <c r="H3141" t="s"/>
      <c r="I3141" t="s"/>
      <c r="J3141" t="n">
        <v>-0.3182</v>
      </c>
      <c r="K3141" t="n">
        <v>0.108</v>
      </c>
      <c r="L3141" t="n">
        <v>0.892</v>
      </c>
      <c r="M3141" t="n">
        <v>0</v>
      </c>
    </row>
    <row r="3142" spans="1:13">
      <c r="A3142" s="1">
        <f>HYPERLINK("http://www.twitter.com/NathanBLawrence/status/973409209126719488", "973409209126719488")</f>
        <v/>
      </c>
      <c r="B3142" s="2" t="n">
        <v>43172.16915509259</v>
      </c>
      <c r="C3142" t="n">
        <v>0</v>
      </c>
      <c r="D3142" t="n">
        <v>1351</v>
      </c>
      <c r="E3142" t="s">
        <v>3153</v>
      </c>
      <c r="F3142" t="s"/>
      <c r="G3142" t="s"/>
      <c r="H3142" t="s"/>
      <c r="I3142" t="s"/>
      <c r="J3142" t="n">
        <v>-0.0258</v>
      </c>
      <c r="K3142" t="n">
        <v>0.203</v>
      </c>
      <c r="L3142" t="n">
        <v>0.598</v>
      </c>
      <c r="M3142" t="n">
        <v>0.199</v>
      </c>
    </row>
    <row r="3143" spans="1:13">
      <c r="A3143" s="1">
        <f>HYPERLINK("http://www.twitter.com/NathanBLawrence/status/973408480307699712", "973408480307699712")</f>
        <v/>
      </c>
      <c r="B3143" s="2" t="n">
        <v>43172.1671412037</v>
      </c>
      <c r="C3143" t="n">
        <v>0</v>
      </c>
      <c r="D3143" t="n">
        <v>371</v>
      </c>
      <c r="E3143" t="s">
        <v>3154</v>
      </c>
      <c r="F3143">
        <f>HYPERLINK("http://pbs.twimg.com/media/DYI9KWAVAAAFzb8.jpg", "http://pbs.twimg.com/media/DYI9KWAVAAAFzb8.jpg")</f>
        <v/>
      </c>
      <c r="G3143" t="s"/>
      <c r="H3143" t="s"/>
      <c r="I3143" t="s"/>
      <c r="J3143" t="n">
        <v>-0.1759</v>
      </c>
      <c r="K3143" t="n">
        <v>0.101</v>
      </c>
      <c r="L3143" t="n">
        <v>0.899</v>
      </c>
      <c r="M3143" t="n">
        <v>0</v>
      </c>
    </row>
    <row r="3144" spans="1:13">
      <c r="A3144" s="1">
        <f>HYPERLINK("http://www.twitter.com/NathanBLawrence/status/973406655374331904", "973406655374331904")</f>
        <v/>
      </c>
      <c r="B3144" s="2" t="n">
        <v>43172.16210648148</v>
      </c>
      <c r="C3144" t="n">
        <v>0</v>
      </c>
      <c r="D3144" t="n">
        <v>61</v>
      </c>
      <c r="E3144" t="s">
        <v>3155</v>
      </c>
      <c r="F3144">
        <f>HYPERLINK("http://pbs.twimg.com/media/DYI5YNNX4AAT9Dq.jpg", "http://pbs.twimg.com/media/DYI5YNNX4AAT9Dq.jpg")</f>
        <v/>
      </c>
      <c r="G3144" t="s"/>
      <c r="H3144" t="s"/>
      <c r="I3144" t="s"/>
      <c r="J3144" t="n">
        <v>0.3182</v>
      </c>
      <c r="K3144" t="n">
        <v>0.08599999999999999</v>
      </c>
      <c r="L3144" t="n">
        <v>0.776</v>
      </c>
      <c r="M3144" t="n">
        <v>0.139</v>
      </c>
    </row>
    <row r="3145" spans="1:13">
      <c r="A3145" s="1">
        <f>HYPERLINK("http://www.twitter.com/NathanBLawrence/status/973405848335679489", "973405848335679489")</f>
        <v/>
      </c>
      <c r="B3145" s="2" t="n">
        <v>43172.15987268519</v>
      </c>
      <c r="C3145" t="n">
        <v>0</v>
      </c>
      <c r="D3145" t="n">
        <v>657</v>
      </c>
      <c r="E3145" t="s">
        <v>3156</v>
      </c>
      <c r="F3145">
        <f>HYPERLINK("http://pbs.twimg.com/media/DYHi2UzVoAAaZ_s.jpg", "http://pbs.twimg.com/media/DYHi2UzVoAAaZ_s.jpg")</f>
        <v/>
      </c>
      <c r="G3145" t="s"/>
      <c r="H3145" t="s"/>
      <c r="I3145" t="s"/>
      <c r="J3145" t="n">
        <v>0.4019</v>
      </c>
      <c r="K3145" t="n">
        <v>0</v>
      </c>
      <c r="L3145" t="n">
        <v>0.881</v>
      </c>
      <c r="M3145" t="n">
        <v>0.119</v>
      </c>
    </row>
    <row r="3146" spans="1:13">
      <c r="A3146" s="1">
        <f>HYPERLINK("http://www.twitter.com/NathanBLawrence/status/973404439859154944", "973404439859154944")</f>
        <v/>
      </c>
      <c r="B3146" s="2" t="n">
        <v>43172.15599537037</v>
      </c>
      <c r="C3146" t="n">
        <v>0</v>
      </c>
      <c r="D3146" t="n">
        <v>1</v>
      </c>
      <c r="E3146" t="s">
        <v>3157</v>
      </c>
      <c r="F3146" t="s"/>
      <c r="G3146" t="s"/>
      <c r="H3146" t="s"/>
      <c r="I3146" t="s"/>
      <c r="J3146" t="n">
        <v>0.3612</v>
      </c>
      <c r="K3146" t="n">
        <v>0.193</v>
      </c>
      <c r="L3146" t="n">
        <v>0.468</v>
      </c>
      <c r="M3146" t="n">
        <v>0.339</v>
      </c>
    </row>
    <row r="3147" spans="1:13">
      <c r="A3147" s="1">
        <f>HYPERLINK("http://www.twitter.com/NathanBLawrence/status/973403862886428672", "973403862886428672")</f>
        <v/>
      </c>
      <c r="B3147" s="2" t="n">
        <v>43172.15439814814</v>
      </c>
      <c r="C3147" t="n">
        <v>0</v>
      </c>
      <c r="D3147" t="n">
        <v>381</v>
      </c>
      <c r="E3147" t="s">
        <v>3158</v>
      </c>
      <c r="F3147">
        <f>HYPERLINK("https://video.twimg.com/ext_tw_video/941996280871501824/pu/vid/330x180/5A7tKb1qlRNx402C.mp4", "https://video.twimg.com/ext_tw_video/941996280871501824/pu/vid/330x180/5A7tKb1qlRNx402C.mp4")</f>
        <v/>
      </c>
      <c r="G3147" t="s"/>
      <c r="H3147" t="s"/>
      <c r="I3147" t="s"/>
      <c r="J3147" t="n">
        <v>-0.296</v>
      </c>
      <c r="K3147" t="n">
        <v>0.136</v>
      </c>
      <c r="L3147" t="n">
        <v>0.864</v>
      </c>
      <c r="M3147" t="n">
        <v>0</v>
      </c>
    </row>
    <row r="3148" spans="1:13">
      <c r="A3148" s="1">
        <f>HYPERLINK("http://www.twitter.com/NathanBLawrence/status/973402685281095683", "973402685281095683")</f>
        <v/>
      </c>
      <c r="B3148" s="2" t="n">
        <v>43172.15114583333</v>
      </c>
      <c r="C3148" t="n">
        <v>0</v>
      </c>
      <c r="D3148" t="n">
        <v>573</v>
      </c>
      <c r="E3148" t="s">
        <v>3159</v>
      </c>
      <c r="F3148" t="s"/>
      <c r="G3148" t="s"/>
      <c r="H3148" t="s"/>
      <c r="I3148" t="s"/>
      <c r="J3148" t="n">
        <v>0</v>
      </c>
      <c r="K3148" t="n">
        <v>0</v>
      </c>
      <c r="L3148" t="n">
        <v>1</v>
      </c>
      <c r="M3148" t="n">
        <v>0</v>
      </c>
    </row>
    <row r="3149" spans="1:13">
      <c r="A3149" s="1">
        <f>HYPERLINK("http://www.twitter.com/NathanBLawrence/status/973402601021693954", "973402601021693954")</f>
        <v/>
      </c>
      <c r="B3149" s="2" t="n">
        <v>43172.15091435185</v>
      </c>
      <c r="C3149" t="n">
        <v>0</v>
      </c>
      <c r="D3149" t="n">
        <v>121</v>
      </c>
      <c r="E3149" t="s">
        <v>3160</v>
      </c>
      <c r="F3149" t="s"/>
      <c r="G3149" t="s"/>
      <c r="H3149" t="s"/>
      <c r="I3149" t="s"/>
      <c r="J3149" t="n">
        <v>0</v>
      </c>
      <c r="K3149" t="n">
        <v>0</v>
      </c>
      <c r="L3149" t="n">
        <v>1</v>
      </c>
      <c r="M3149" t="n">
        <v>0</v>
      </c>
    </row>
    <row r="3150" spans="1:13">
      <c r="A3150" s="1">
        <f>HYPERLINK("http://www.twitter.com/NathanBLawrence/status/973402370351788032", "973402370351788032")</f>
        <v/>
      </c>
      <c r="B3150" s="2" t="n">
        <v>43172.15027777778</v>
      </c>
      <c r="C3150" t="n">
        <v>0</v>
      </c>
      <c r="D3150" t="n">
        <v>1656</v>
      </c>
      <c r="E3150" t="s">
        <v>3161</v>
      </c>
      <c r="F3150" t="s"/>
      <c r="G3150" t="s"/>
      <c r="H3150" t="s"/>
      <c r="I3150" t="s"/>
      <c r="J3150" t="n">
        <v>0.7003</v>
      </c>
      <c r="K3150" t="n">
        <v>0</v>
      </c>
      <c r="L3150" t="n">
        <v>0.547</v>
      </c>
      <c r="M3150" t="n">
        <v>0.453</v>
      </c>
    </row>
    <row r="3151" spans="1:13">
      <c r="A3151" s="1">
        <f>HYPERLINK("http://www.twitter.com/NathanBLawrence/status/973401999365541888", "973401999365541888")</f>
        <v/>
      </c>
      <c r="B3151" s="2" t="n">
        <v>43172.14925925926</v>
      </c>
      <c r="C3151" t="n">
        <v>0</v>
      </c>
      <c r="D3151" t="n">
        <v>2</v>
      </c>
      <c r="E3151" t="s">
        <v>3162</v>
      </c>
      <c r="F3151" t="s"/>
      <c r="G3151" t="s"/>
      <c r="H3151" t="s"/>
      <c r="I3151" t="s"/>
      <c r="J3151" t="n">
        <v>-0.2023</v>
      </c>
      <c r="K3151" t="n">
        <v>0.141</v>
      </c>
      <c r="L3151" t="n">
        <v>0.859</v>
      </c>
      <c r="M3151" t="n">
        <v>0</v>
      </c>
    </row>
    <row r="3152" spans="1:13">
      <c r="A3152" s="1">
        <f>HYPERLINK("http://www.twitter.com/NathanBLawrence/status/973401874815647749", "973401874815647749")</f>
        <v/>
      </c>
      <c r="B3152" s="2" t="n">
        <v>43172.14891203704</v>
      </c>
      <c r="C3152" t="n">
        <v>0</v>
      </c>
      <c r="D3152" t="n">
        <v>1441</v>
      </c>
      <c r="E3152" t="s">
        <v>3163</v>
      </c>
      <c r="F3152">
        <f>HYPERLINK("http://pbs.twimg.com/media/DYIg55eVoAAZm60.jpg", "http://pbs.twimg.com/media/DYIg55eVoAAZm60.jpg")</f>
        <v/>
      </c>
      <c r="G3152" t="s"/>
      <c r="H3152" t="s"/>
      <c r="I3152" t="s"/>
      <c r="J3152" t="n">
        <v>-0.25</v>
      </c>
      <c r="K3152" t="n">
        <v>0.15</v>
      </c>
      <c r="L3152" t="n">
        <v>0.733</v>
      </c>
      <c r="M3152" t="n">
        <v>0.117</v>
      </c>
    </row>
    <row r="3153" spans="1:13">
      <c r="A3153" s="1">
        <f>HYPERLINK("http://www.twitter.com/NathanBLawrence/status/973401803407622145", "973401803407622145")</f>
        <v/>
      </c>
      <c r="B3153" s="2" t="n">
        <v>43172.14871527778</v>
      </c>
      <c r="C3153" t="n">
        <v>0</v>
      </c>
      <c r="D3153" t="n">
        <v>101</v>
      </c>
      <c r="E3153" t="s">
        <v>3164</v>
      </c>
      <c r="F3153" t="s"/>
      <c r="G3153" t="s"/>
      <c r="H3153" t="s"/>
      <c r="I3153" t="s"/>
      <c r="J3153" t="n">
        <v>0</v>
      </c>
      <c r="K3153" t="n">
        <v>0</v>
      </c>
      <c r="L3153" t="n">
        <v>1</v>
      </c>
      <c r="M3153" t="n">
        <v>0</v>
      </c>
    </row>
    <row r="3154" spans="1:13">
      <c r="A3154" s="1">
        <f>HYPERLINK("http://www.twitter.com/NathanBLawrence/status/973401361726525441", "973401361726525441")</f>
        <v/>
      </c>
      <c r="B3154" s="2" t="n">
        <v>43172.1475</v>
      </c>
      <c r="C3154" t="n">
        <v>0</v>
      </c>
      <c r="D3154" t="n">
        <v>2610</v>
      </c>
      <c r="E3154" t="s">
        <v>3165</v>
      </c>
      <c r="F3154" t="s"/>
      <c r="G3154" t="s"/>
      <c r="H3154" t="s"/>
      <c r="I3154" t="s"/>
      <c r="J3154" t="n">
        <v>-0.4588</v>
      </c>
      <c r="K3154" t="n">
        <v>0.125</v>
      </c>
      <c r="L3154" t="n">
        <v>0.875</v>
      </c>
      <c r="M3154" t="n">
        <v>0</v>
      </c>
    </row>
    <row r="3155" spans="1:13">
      <c r="A3155" s="1">
        <f>HYPERLINK("http://www.twitter.com/NathanBLawrence/status/973401286132617216", "973401286132617216")</f>
        <v/>
      </c>
      <c r="B3155" s="2" t="n">
        <v>43172.14729166667</v>
      </c>
      <c r="C3155" t="n">
        <v>0</v>
      </c>
      <c r="D3155" t="n">
        <v>18</v>
      </c>
      <c r="E3155" t="s">
        <v>3166</v>
      </c>
      <c r="F3155">
        <f>HYPERLINK("https://video.twimg.com/ext_tw_video/973382994739175426/pu/vid/1280x720/0WkRsFsvlcEc4yBQ.mp4", "https://video.twimg.com/ext_tw_video/973382994739175426/pu/vid/1280x720/0WkRsFsvlcEc4yBQ.mp4")</f>
        <v/>
      </c>
      <c r="G3155" t="s"/>
      <c r="H3155" t="s"/>
      <c r="I3155" t="s"/>
      <c r="J3155" t="n">
        <v>-0.3595</v>
      </c>
      <c r="K3155" t="n">
        <v>0.106</v>
      </c>
      <c r="L3155" t="n">
        <v>0.894</v>
      </c>
      <c r="M3155" t="n">
        <v>0</v>
      </c>
    </row>
    <row r="3156" spans="1:13">
      <c r="A3156" s="1">
        <f>HYPERLINK("http://www.twitter.com/NathanBLawrence/status/973399258836754433", "973399258836754433")</f>
        <v/>
      </c>
      <c r="B3156" s="2" t="n">
        <v>43172.14168981482</v>
      </c>
      <c r="C3156" t="n">
        <v>0</v>
      </c>
      <c r="D3156" t="n">
        <v>7</v>
      </c>
      <c r="E3156" t="s">
        <v>3167</v>
      </c>
      <c r="F3156">
        <f>HYPERLINK("http://pbs.twimg.com/media/DYIyjMTUQAArMLH.jpg", "http://pbs.twimg.com/media/DYIyjMTUQAArMLH.jpg")</f>
        <v/>
      </c>
      <c r="G3156" t="s"/>
      <c r="H3156" t="s"/>
      <c r="I3156" t="s"/>
      <c r="J3156" t="n">
        <v>-0.4588</v>
      </c>
      <c r="K3156" t="n">
        <v>0.125</v>
      </c>
      <c r="L3156" t="n">
        <v>0.875</v>
      </c>
      <c r="M3156" t="n">
        <v>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2018-05-08T06:23:27Z</dcterms:created>
  <dcterms:modified xmlns:dcterms="http://purl.org/dc/terms/" xmlns:xsi="http://www.w3.org/2001/XMLSchema-instance" xsi:type="dcterms:W3CDTF">2018-05-08T06:23:27Z</dcterms:modified>
</cp:coreProperties>
</file>